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ml.chartshap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4.xml" ContentType="application/vnd.openxmlformats-officedocument.drawing+xml"/>
  <Override PartName="/xl/comments4.xml" ContentType="application/vnd.openxmlformats-officedocument.spreadsheetml.comments+xml"/>
  <Override PartName="/xl/charts/chart12.xml" ContentType="application/vnd.openxmlformats-officedocument.drawingml.chart+xml"/>
  <Override PartName="/xl/charts/style7.xml" ContentType="application/vnd.ms-office.chartstyle+xml"/>
  <Override PartName="/xl/charts/colors7.xml" ContentType="application/vnd.ms-office.chartcolorstyle+xml"/>
  <Override PartName="/xl/charts/chart13.xml" ContentType="application/vnd.openxmlformats-officedocument.drawingml.chart+xml"/>
  <Override PartName="/xl/charts/style8.xml" ContentType="application/vnd.ms-office.chartstyle+xml"/>
  <Override PartName="/xl/charts/colors8.xml" ContentType="application/vnd.ms-office.chartcolorstyle+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comments5.xml" ContentType="application/vnd.openxmlformats-officedocument.spreadsheetml.comments+xml"/>
  <Override PartName="/xl/charts/chart15.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ml.chartshapes+xml"/>
  <Override PartName="/xl/charts/chart16.xml" ContentType="application/vnd.openxmlformats-officedocument.drawingml.chart+xml"/>
  <Override PartName="/xl/charts/style11.xml" ContentType="application/vnd.ms-office.chartstyle+xml"/>
  <Override PartName="/xl/charts/colors11.xml" ContentType="application/vnd.ms-office.chartcolorstyle+xml"/>
  <Override PartName="/xl/charts/chart17.xml" ContentType="application/vnd.openxmlformats-officedocument.drawingml.chart+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7.xml" ContentType="application/vnd.openxmlformats-officedocument.drawing+xml"/>
  <Override PartName="/xl/comments6.xml" ContentType="application/vnd.openxmlformats-officedocument.spreadsheetml.comments+xml"/>
  <Override PartName="/xl/charts/chart19.xml" ContentType="application/vnd.openxmlformats-officedocument.drawingml.chart+xml"/>
  <Override PartName="/xl/charts/chart20.xml" ContentType="application/vnd.openxmlformats-officedocument.drawingml.chart+xml"/>
  <Override PartName="/xl/charts/style13.xml" ContentType="application/vnd.ms-office.chartstyle+xml"/>
  <Override PartName="/xl/charts/colors13.xml" ContentType="application/vnd.ms-office.chartcolorstyle+xml"/>
  <Override PartName="/xl/charts/chart21.xml" ContentType="application/vnd.openxmlformats-officedocument.drawingml.chart+xml"/>
  <Override PartName="/xl/charts/chart22.xml" ContentType="application/vnd.openxmlformats-officedocument.drawingml.chart+xml"/>
  <Override PartName="/xl/drawings/drawing8.xml" ContentType="application/vnd.openxmlformats-officedocument.drawing+xml"/>
  <Override PartName="/xl/comments7.xml" ContentType="application/vnd.openxmlformats-officedocument.spreadsheetml.comments+xml"/>
  <Override PartName="/xl/charts/chart23.xml" ContentType="application/vnd.openxmlformats-officedocument.drawingml.chart+xml"/>
  <Override PartName="/xl/charts/style14.xml" ContentType="application/vnd.ms-office.chartstyle+xml"/>
  <Override PartName="/xl/charts/colors14.xml" ContentType="application/vnd.ms-office.chartcolorstyle+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9.xml" ContentType="application/vnd.openxmlformats-officedocument.drawing+xml"/>
  <Override PartName="/xl/comments8.xml" ContentType="application/vnd.openxmlformats-officedocument.spreadsheetml.comments+xml"/>
  <Override PartName="/xl/charts/chart27.xml" ContentType="application/vnd.openxmlformats-officedocument.drawingml.chart+xml"/>
  <Override PartName="/xl/charts/style16.xml" ContentType="application/vnd.ms-office.chartstyle+xml"/>
  <Override PartName="/xl/charts/colors16.xml" ContentType="application/vnd.ms-office.chartcolorstyle+xml"/>
  <Override PartName="/xl/charts/chart28.xml" ContentType="application/vnd.openxmlformats-officedocument.drawingml.chart+xml"/>
  <Override PartName="/xl/charts/style17.xml" ContentType="application/vnd.ms-office.chartstyle+xml"/>
  <Override PartName="/xl/charts/colors17.xml" ContentType="application/vnd.ms-office.chartcolorstyle+xml"/>
  <Override PartName="/xl/charts/chart29.xml" ContentType="application/vnd.openxmlformats-officedocument.drawingml.chart+xml"/>
  <Override PartName="/xl/charts/chart30.xml" ContentType="application/vnd.openxmlformats-officedocument.drawingml.chart+xml"/>
  <Override PartName="/xl/drawings/drawing10.xml" ContentType="application/vnd.openxmlformats-officedocument.drawing+xml"/>
  <Override PartName="/xl/charts/chart31.xml" ContentType="application/vnd.openxmlformats-officedocument.drawingml.chart+xml"/>
  <Override PartName="/xl/charts/style18.xml" ContentType="application/vnd.ms-office.chartstyle+xml"/>
  <Override PartName="/xl/charts/colors18.xml" ContentType="application/vnd.ms-office.chartcolorstyle+xml"/>
  <Override PartName="/xl/charts/chart32.xml" ContentType="application/vnd.openxmlformats-officedocument.drawingml.chart+xml"/>
  <Override PartName="/xl/charts/style19.xml" ContentType="application/vnd.ms-office.chartstyle+xml"/>
  <Override PartName="/xl/charts/colors19.xml" ContentType="application/vnd.ms-office.chartcolorstyle+xml"/>
  <Override PartName="/xl/charts/chart33.xml" ContentType="application/vnd.openxmlformats-officedocument.drawingml.chart+xml"/>
  <Override PartName="/xl/charts/chart34.xml" ContentType="application/vnd.openxmlformats-officedocument.drawingml.chart+xml"/>
  <Override PartName="/xl/drawings/drawing11.xml" ContentType="application/vnd.openxmlformats-officedocument.drawing+xml"/>
  <Override PartName="/xl/comments9.xml" ContentType="application/vnd.openxmlformats-officedocument.spreadsheetml.comments+xml"/>
  <Override PartName="/xl/charts/chart35.xml" ContentType="application/vnd.openxmlformats-officedocument.drawingml.chart+xml"/>
  <Override PartName="/xl/charts/style20.xml" ContentType="application/vnd.ms-office.chartstyle+xml"/>
  <Override PartName="/xl/charts/colors20.xml" ContentType="application/vnd.ms-office.chartcolorstyle+xml"/>
  <Override PartName="/xl/charts/chart36.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2.xml" ContentType="application/vnd.openxmlformats-officedocument.drawingml.chartshapes+xml"/>
  <Override PartName="/xl/charts/chart37.xml" ContentType="application/vnd.openxmlformats-officedocument.drawingml.chart+xml"/>
  <Override PartName="/xl/charts/chart38.xml" ContentType="application/vnd.openxmlformats-officedocument.drawingml.chart+xml"/>
  <Override PartName="/xl/drawings/drawing13.xml" ContentType="application/vnd.openxmlformats-officedocument.drawing+xml"/>
  <Override PartName="/xl/comments10.xml" ContentType="application/vnd.openxmlformats-officedocument.spreadsheetml.comments+xml"/>
  <Override PartName="/xl/charts/chart39.xml" ContentType="application/vnd.openxmlformats-officedocument.drawingml.chart+xml"/>
  <Override PartName="/xl/charts/style22.xml" ContentType="application/vnd.ms-office.chartstyle+xml"/>
  <Override PartName="/xl/charts/colors22.xml" ContentType="application/vnd.ms-office.chartcolorstyle+xml"/>
  <Override PartName="/xl/charts/chart40.xml" ContentType="application/vnd.openxmlformats-officedocument.drawingml.chart+xml"/>
  <Override PartName="/xl/charts/style23.xml" ContentType="application/vnd.ms-office.chartstyle+xml"/>
  <Override PartName="/xl/charts/colors23.xml" ContentType="application/vnd.ms-office.chartcolorstyle+xml"/>
  <Override PartName="/xl/charts/chart41.xml" ContentType="application/vnd.openxmlformats-officedocument.drawingml.chart+xml"/>
  <Override PartName="/xl/charts/chart42.xml" ContentType="application/vnd.openxmlformats-officedocument.drawingml.chart+xml"/>
  <Override PartName="/xl/drawings/drawing14.xml" ContentType="application/vnd.openxmlformats-officedocument.drawing+xml"/>
  <Override PartName="/xl/comments11.xml" ContentType="application/vnd.openxmlformats-officedocument.spreadsheetml.comments+xml"/>
  <Override PartName="/xl/charts/chart43.xml" ContentType="application/vnd.openxmlformats-officedocument.drawingml.chart+xml"/>
  <Override PartName="/xl/charts/style24.xml" ContentType="application/vnd.ms-office.chartstyle+xml"/>
  <Override PartName="/xl/charts/colors24.xml" ContentType="application/vnd.ms-office.chartcolorstyle+xml"/>
  <Override PartName="/xl/charts/chart44.xml" ContentType="application/vnd.openxmlformats-officedocument.drawingml.chart+xml"/>
  <Override PartName="/xl/charts/style25.xml" ContentType="application/vnd.ms-office.chartstyle+xml"/>
  <Override PartName="/xl/charts/colors25.xml" ContentType="application/vnd.ms-office.chartcolorstyle+xml"/>
  <Override PartName="/xl/charts/chart45.xml" ContentType="application/vnd.openxmlformats-officedocument.drawingml.chart+xml"/>
  <Override PartName="/xl/charts/chart46.xml" ContentType="application/vnd.openxmlformats-officedocument.drawingml.chart+xml"/>
  <Override PartName="/xl/drawings/drawing15.xml" ContentType="application/vnd.openxmlformats-officedocument.drawing+xml"/>
  <Override PartName="/xl/comments12.xml" ContentType="application/vnd.openxmlformats-officedocument.spreadsheetml.comments+xml"/>
  <Override PartName="/xl/charts/chart47.xml" ContentType="application/vnd.openxmlformats-officedocument.drawingml.chart+xml"/>
  <Override PartName="/xl/charts/style26.xml" ContentType="application/vnd.ms-office.chartstyle+xml"/>
  <Override PartName="/xl/charts/colors26.xml" ContentType="application/vnd.ms-office.chartcolorstyle+xml"/>
  <Override PartName="/xl/charts/chart48.xml" ContentType="application/vnd.openxmlformats-officedocument.drawingml.chart+xml"/>
  <Override PartName="/xl/charts/style27.xml" ContentType="application/vnd.ms-office.chartstyle+xml"/>
  <Override PartName="/xl/charts/colors27.xml" ContentType="application/vnd.ms-office.chartcolorstyle+xml"/>
  <Override PartName="/xl/charts/chart49.xml" ContentType="application/vnd.openxmlformats-officedocument.drawingml.chart+xml"/>
  <Override PartName="/xl/charts/chart50.xml" ContentType="application/vnd.openxmlformats-officedocument.drawingml.chart+xml"/>
  <Override PartName="/xl/drawings/drawing16.xml" ContentType="application/vnd.openxmlformats-officedocument.drawing+xml"/>
  <Override PartName="/xl/comments13.xml" ContentType="application/vnd.openxmlformats-officedocument.spreadsheetml.comments+xml"/>
  <Override PartName="/xl/charts/chart51.xml" ContentType="application/vnd.openxmlformats-officedocument.drawingml.chart+xml"/>
  <Override PartName="/xl/charts/style28.xml" ContentType="application/vnd.ms-office.chartstyle+xml"/>
  <Override PartName="/xl/charts/colors28.xml" ContentType="application/vnd.ms-office.chartcolorstyle+xml"/>
  <Override PartName="/xl/charts/chart52.xml" ContentType="application/vnd.openxmlformats-officedocument.drawingml.chart+xml"/>
  <Override PartName="/xl/charts/style29.xml" ContentType="application/vnd.ms-office.chartstyle+xml"/>
  <Override PartName="/xl/charts/colors29.xml" ContentType="application/vnd.ms-office.chartcolorstyle+xml"/>
  <Override PartName="/xl/charts/chart53.xml" ContentType="application/vnd.openxmlformats-officedocument.drawingml.chart+xml"/>
  <Override PartName="/xl/charts/chart54.xml" ContentType="application/vnd.openxmlformats-officedocument.drawingml.chart+xml"/>
  <Override PartName="/xl/drawings/drawing17.xml" ContentType="application/vnd.openxmlformats-officedocument.drawing+xml"/>
  <Override PartName="/xl/comments14.xml" ContentType="application/vnd.openxmlformats-officedocument.spreadsheetml.comments+xml"/>
  <Override PartName="/xl/charts/chart55.xml" ContentType="application/vnd.openxmlformats-officedocument.drawingml.chart+xml"/>
  <Override PartName="/xl/charts/style30.xml" ContentType="application/vnd.ms-office.chartstyle+xml"/>
  <Override PartName="/xl/charts/colors30.xml" ContentType="application/vnd.ms-office.chartcolorstyle+xml"/>
  <Override PartName="/xl/charts/chart56.xml" ContentType="application/vnd.openxmlformats-officedocument.drawingml.chart+xml"/>
  <Override PartName="/xl/charts/style31.xml" ContentType="application/vnd.ms-office.chartstyle+xml"/>
  <Override PartName="/xl/charts/colors31.xml" ContentType="application/vnd.ms-office.chartcolorstyle+xml"/>
  <Override PartName="/xl/charts/chart57.xml" ContentType="application/vnd.openxmlformats-officedocument.drawingml.chart+xml"/>
  <Override PartName="/xl/charts/chart58.xml" ContentType="application/vnd.openxmlformats-officedocument.drawingml.chart+xml"/>
  <Override PartName="/xl/drawings/drawing18.xml" ContentType="application/vnd.openxmlformats-officedocument.drawing+xml"/>
  <Override PartName="/xl/comments15.xml" ContentType="application/vnd.openxmlformats-officedocument.spreadsheetml.comments+xml"/>
  <Override PartName="/xl/charts/chart59.xml" ContentType="application/vnd.openxmlformats-officedocument.drawingml.chart+xml"/>
  <Override PartName="/xl/charts/style32.xml" ContentType="application/vnd.ms-office.chartstyle+xml"/>
  <Override PartName="/xl/charts/colors32.xml" ContentType="application/vnd.ms-office.chartcolorstyle+xml"/>
  <Override PartName="/xl/charts/chart60.xml" ContentType="application/vnd.openxmlformats-officedocument.drawingml.chart+xml"/>
  <Override PartName="/xl/charts/style33.xml" ContentType="application/vnd.ms-office.chartstyle+xml"/>
  <Override PartName="/xl/charts/colors33.xml" ContentType="application/vnd.ms-office.chartcolorstyle+xml"/>
  <Override PartName="/xl/charts/chart61.xml" ContentType="application/vnd.openxmlformats-officedocument.drawingml.chart+xml"/>
  <Override PartName="/xl/charts/chart62.xml" ContentType="application/vnd.openxmlformats-officedocument.drawingml.chart+xml"/>
  <Override PartName="/xl/drawings/drawing19.xml" ContentType="application/vnd.openxmlformats-officedocument.drawing+xml"/>
  <Override PartName="/xl/comments16.xml" ContentType="application/vnd.openxmlformats-officedocument.spreadsheetml.comments+xml"/>
  <Override PartName="/xl/charts/chart63.xml" ContentType="application/vnd.openxmlformats-officedocument.drawingml.chart+xml"/>
  <Override PartName="/xl/charts/style34.xml" ContentType="application/vnd.ms-office.chartstyle+xml"/>
  <Override PartName="/xl/charts/colors34.xml" ContentType="application/vnd.ms-office.chartcolorstyle+xml"/>
  <Override PartName="/xl/charts/chart64.xml" ContentType="application/vnd.openxmlformats-officedocument.drawingml.chart+xml"/>
  <Override PartName="/xl/charts/style35.xml" ContentType="application/vnd.ms-office.chartstyle+xml"/>
  <Override PartName="/xl/charts/colors35.xml" ContentType="application/vnd.ms-office.chartcolorstyle+xml"/>
  <Override PartName="/xl/charts/chart65.xml" ContentType="application/vnd.openxmlformats-officedocument.drawingml.chart+xml"/>
  <Override PartName="/xl/charts/style36.xml" ContentType="application/vnd.ms-office.chartstyle+xml"/>
  <Override PartName="/xl/charts/colors36.xml" ContentType="application/vnd.ms-office.chartcolorstyle+xml"/>
  <Override PartName="/xl/charts/chart66.xml" ContentType="application/vnd.openxmlformats-officedocument.drawingml.chart+xml"/>
  <Override PartName="/xl/charts/chart67.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omments17.xml" ContentType="application/vnd.openxmlformats-officedocument.spreadsheetml.comments+xml"/>
  <Override PartName="/xl/charts/chart68.xml" ContentType="application/vnd.openxmlformats-officedocument.drawingml.chart+xml"/>
  <Override PartName="/xl/charts/style37.xml" ContentType="application/vnd.ms-office.chartstyle+xml"/>
  <Override PartName="/xl/charts/colors37.xml" ContentType="application/vnd.ms-office.chartcolorstyle+xml"/>
  <Override PartName="/xl/charts/chart69.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2.xml" ContentType="application/vnd.openxmlformats-officedocument.drawingml.chartshapes+xml"/>
  <Override PartName="/xl/charts/chart70.xml" ContentType="application/vnd.openxmlformats-officedocument.drawingml.chart+xml"/>
  <Override PartName="/xl/charts/chart71.xml" ContentType="application/vnd.openxmlformats-officedocument.drawingml.chart+xml"/>
  <Override PartName="/xl/drawings/drawing23.xml" ContentType="application/vnd.openxmlformats-officedocument.drawing+xml"/>
  <Override PartName="/xl/comments18.xml" ContentType="application/vnd.openxmlformats-officedocument.spreadsheetml.comments+xml"/>
  <Override PartName="/xl/charts/chart72.xml" ContentType="application/vnd.openxmlformats-officedocument.drawingml.chart+xml"/>
  <Override PartName="/xl/charts/style39.xml" ContentType="application/vnd.ms-office.chartstyle+xml"/>
  <Override PartName="/xl/charts/colors39.xml" ContentType="application/vnd.ms-office.chartcolorstyle+xml"/>
  <Override PartName="/xl/charts/chart73.xml" ContentType="application/vnd.openxmlformats-officedocument.drawingml.chart+xml"/>
  <Override PartName="/xl/charts/style40.xml" ContentType="application/vnd.ms-office.chartstyle+xml"/>
  <Override PartName="/xl/charts/colors40.xml" ContentType="application/vnd.ms-office.chartcolorstyle+xml"/>
  <Override PartName="/xl/charts/chart74.xml" ContentType="application/vnd.openxmlformats-officedocument.drawingml.chart+xml"/>
  <Override PartName="/xl/charts/chart75.xml" ContentType="application/vnd.openxmlformats-officedocument.drawingml.chart+xml"/>
  <Override PartName="/xl/drawings/drawing24.xml" ContentType="application/vnd.openxmlformats-officedocument.drawing+xml"/>
  <Override PartName="/xl/comments19.xml" ContentType="application/vnd.openxmlformats-officedocument.spreadsheetml.comments+xml"/>
  <Override PartName="/xl/charts/chart76.xml" ContentType="application/vnd.openxmlformats-officedocument.drawingml.chart+xml"/>
  <Override PartName="/xl/charts/style41.xml" ContentType="application/vnd.ms-office.chartstyle+xml"/>
  <Override PartName="/xl/charts/colors41.xml" ContentType="application/vnd.ms-office.chartcolorstyle+xml"/>
  <Override PartName="/xl/charts/chart77.xml" ContentType="application/vnd.openxmlformats-officedocument.drawingml.chart+xml"/>
  <Override PartName="/xl/charts/style42.xml" ContentType="application/vnd.ms-office.chartstyle+xml"/>
  <Override PartName="/xl/charts/colors42.xml" ContentType="application/vnd.ms-office.chartcolorstyle+xml"/>
  <Override PartName="/xl/charts/chart78.xml" ContentType="application/vnd.openxmlformats-officedocument.drawingml.chart+xml"/>
  <Override PartName="/xl/charts/chart79.xml" ContentType="application/vnd.openxmlformats-officedocument.drawingml.chart+xml"/>
  <Override PartName="/xl/drawings/drawing25.xml" ContentType="application/vnd.openxmlformats-officedocument.drawing+xml"/>
  <Override PartName="/xl/comments20.xml" ContentType="application/vnd.openxmlformats-officedocument.spreadsheetml.comments+xml"/>
  <Override PartName="/xl/charts/chart80.xml" ContentType="application/vnd.openxmlformats-officedocument.drawingml.chart+xml"/>
  <Override PartName="/xl/charts/chart81.xml" ContentType="application/vnd.openxmlformats-officedocument.drawingml.chart+xml"/>
  <Override PartName="/xl/charts/style43.xml" ContentType="application/vnd.ms-office.chartstyle+xml"/>
  <Override PartName="/xl/charts/colors43.xml" ContentType="application/vnd.ms-office.chartcolorstyle+xml"/>
  <Override PartName="/xl/charts/chart82.xml" ContentType="application/vnd.openxmlformats-officedocument.drawingml.chart+xml"/>
  <Override PartName="/xl/charts/chart83.xml" ContentType="application/vnd.openxmlformats-officedocument.drawingml.chart+xml"/>
  <Override PartName="/xl/drawings/drawing26.xml" ContentType="application/vnd.openxmlformats-officedocument.drawing+xml"/>
  <Override PartName="/xl/comments21.xml" ContentType="application/vnd.openxmlformats-officedocument.spreadsheetml.comments+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drawings/drawing27.xml" ContentType="application/vnd.openxmlformats-officedocument.drawing+xml"/>
  <Override PartName="/xl/charts/chart94.xml" ContentType="application/vnd.openxmlformats-officedocument.drawingml.chart+xml"/>
  <Override PartName="/xl/charts/chart95.xml" ContentType="application/vnd.openxmlformats-officedocument.drawingml.chart+xml"/>
  <Override PartName="/xl/comments22.xml" ContentType="application/vnd.openxmlformats-officedocument.spreadsheetml.comments+xml"/>
  <Override PartName="/xl/drawings/drawing28.xml" ContentType="application/vnd.openxmlformats-officedocument.drawing+xml"/>
  <Override PartName="/xl/comments23.xml" ContentType="application/vnd.openxmlformats-officedocument.spreadsheetml.comments+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V:\IntraDepartment Shares\Finance Collaborations\Budget Dashboard\"/>
    </mc:Choice>
  </mc:AlternateContent>
  <bookViews>
    <workbookView xWindow="0" yWindow="0" windowWidth="28800" windowHeight="11775" tabRatio="728" activeTab="1"/>
  </bookViews>
  <sheets>
    <sheet name="Assumptions &amp; Notes" sheetId="43" r:id="rId1"/>
    <sheet name="All Depts" sheetId="16" r:id="rId2"/>
    <sheet name="Stats" sheetId="19" r:id="rId3"/>
    <sheet name="Template" sheetId="20" state="hidden" r:id="rId4"/>
    <sheet name="Legis" sheetId="17" r:id="rId5"/>
    <sheet name="Exec-Legal" sheetId="18" r:id="rId6"/>
    <sheet name="City Manager only" sheetId="34" r:id="rId7"/>
    <sheet name="City Attorney only" sheetId="35" r:id="rId8"/>
    <sheet name="Municipal Court only" sheetId="36" r:id="rId9"/>
    <sheet name="City Clerk" sheetId="3" r:id="rId10"/>
    <sheet name="Cult. Svc." sheetId="4" r:id="rId11"/>
    <sheet name="Dev. Svc." sheetId="5" r:id="rId12"/>
    <sheet name="Econ Dev" sheetId="6" r:id="rId13"/>
    <sheet name="Finance" sheetId="7" r:id="rId14"/>
    <sheet name="Human Res" sheetId="8" r:id="rId15"/>
    <sheet name="IT" sheetId="9" r:id="rId16"/>
    <sheet name="Library" sheetId="10" r:id="rId17"/>
    <sheet name="Parks &amp; Rec" sheetId="11" r:id="rId18"/>
    <sheet name="Police" sheetId="12" r:id="rId19"/>
    <sheet name="Public Works" sheetId="13" r:id="rId20"/>
    <sheet name="Water &amp; Power" sheetId="14" r:id="rId21"/>
    <sheet name="LFRA" sheetId="24" r:id="rId22"/>
    <sheet name="Airport" sheetId="23" state="hidden" r:id="rId23"/>
    <sheet name="Non Dept " sheetId="21" r:id="rId24"/>
    <sheet name="Non-Departmental Breakdown" sheetId="44" r:id="rId25"/>
    <sheet name="Other Spec Revenue" sheetId="42" state="hidden" r:id="rId26"/>
  </sheets>
  <definedNames>
    <definedName name="City_Atty_Graphs">'City Attorney only'!$A$1:$O$32</definedName>
    <definedName name="City_Manager_Graphs">'City Manager only'!$A$1:$N$34</definedName>
    <definedName name="cityclerkgraphs">'City Clerk'!$O$1:$Z$92</definedName>
    <definedName name="Cultual_serv_graphs">'Cult. Svc.'!$O$1:$W$140</definedName>
    <definedName name="Devel_Serv_graphs">'Dev. Svc.'!$O$1:$Y$117</definedName>
    <definedName name="Econ_Develop_graphs">'Econ Dev'!$O$1:$Y$142</definedName>
    <definedName name="Exec_Legal_Graphs">'Exec-Legal'!$O$2:$U$100</definedName>
    <definedName name="Finance_graphs">Finance!$O$1:$X$153</definedName>
    <definedName name="Fire_Graphs">LFRA!$O$1:$AA$105</definedName>
    <definedName name="HR_graphs">'Human Res'!$O$1:$V$82</definedName>
    <definedName name="IT_graphs">IT!$O$1:$Y$144</definedName>
    <definedName name="Legislative_Graphs">Legis!$P$1:$W$51</definedName>
    <definedName name="LFRA_graphs">LFRA!$O$1:$U$46</definedName>
    <definedName name="Library_graphs">Library!$O$1:$Z$128</definedName>
    <definedName name="Municipal_Court_Graphs">'Municipal Court only'!$A$1:$N$32</definedName>
    <definedName name="ParksRec_Graphs">'Parks &amp; Rec'!$O$1:$AB$114</definedName>
    <definedName name="Police_graphs">Police!$O$1:$V$146</definedName>
    <definedName name="_xlnm.Print_Area" localSheetId="1">'All Depts'!$A$1:$AB$247</definedName>
    <definedName name="_xlnm.Print_Area" localSheetId="10">'Cult. Svc.'!$A$1:$N$85</definedName>
    <definedName name="_xlnm.Print_Area" localSheetId="11">'Dev. Svc.'!$A$1:$M$92</definedName>
    <definedName name="_xlnm.Print_Area" localSheetId="13">Finance!$A$1:$L$96</definedName>
    <definedName name="_xlnm.Print_Area" localSheetId="18">Police!$A$1:$L$79</definedName>
    <definedName name="_xlnm.Print_Area" localSheetId="19">'Public Works'!$A$1:$W$71</definedName>
    <definedName name="_xlnm.Print_Titles" localSheetId="1">'All Depts'!$1:$7</definedName>
    <definedName name="_xlnm.Print_Titles" localSheetId="10">'Cult. Svc.'!$1:$4</definedName>
    <definedName name="_xlnm.Print_Titles" localSheetId="11">'Dev. Svc.'!$1:$4</definedName>
    <definedName name="_xlnm.Print_Titles" localSheetId="13">Finance!$1:$4</definedName>
    <definedName name="_xlnm.Print_Titles" localSheetId="18">Police!$1:$13</definedName>
    <definedName name="_xlnm.Print_Titles" localSheetId="19">'Public Works'!$1:$6</definedName>
    <definedName name="PublicWorks_graphs">'Public Works'!$O$1:$Z$173</definedName>
    <definedName name="Total_City_Graphs">'All Depts'!$T$2:$AB$95</definedName>
    <definedName name="Water_and_Power_Graphs">'Water &amp; Power'!$O$1:$AA$112</definedName>
  </definedNames>
  <calcPr calcId="162913"/>
</workbook>
</file>

<file path=xl/calcChain.xml><?xml version="1.0" encoding="utf-8"?>
<calcChain xmlns="http://schemas.openxmlformats.org/spreadsheetml/2006/main">
  <c r="N65" i="21" l="1"/>
  <c r="L8" i="13" l="1"/>
  <c r="L9" i="13"/>
  <c r="L10" i="13"/>
  <c r="L17" i="13"/>
  <c r="L18" i="13"/>
  <c r="L19" i="13"/>
  <c r="L26" i="13"/>
  <c r="L25" i="13" s="1"/>
  <c r="L43" i="13"/>
  <c r="L29" i="13" s="1"/>
  <c r="L28" i="13" s="1"/>
  <c r="L49" i="13"/>
  <c r="L54" i="13"/>
  <c r="M8" i="13"/>
  <c r="M9" i="13"/>
  <c r="M10" i="13"/>
  <c r="M17" i="13"/>
  <c r="M18" i="13"/>
  <c r="M19" i="13"/>
  <c r="M26" i="13"/>
  <c r="M25" i="13" s="1"/>
  <c r="M43" i="13"/>
  <c r="M49" i="13"/>
  <c r="M54" i="13"/>
  <c r="B21" i="13"/>
  <c r="L12" i="13" l="1"/>
  <c r="L21" i="13"/>
  <c r="L61" i="13"/>
  <c r="M61" i="13"/>
  <c r="M12" i="13"/>
  <c r="M21" i="13"/>
  <c r="M29" i="13"/>
  <c r="M28" i="13" s="1"/>
  <c r="E33" i="44"/>
  <c r="F33" i="44"/>
  <c r="G33" i="44"/>
  <c r="H33" i="44"/>
  <c r="I33" i="44"/>
  <c r="J33" i="44"/>
  <c r="K33" i="44"/>
  <c r="L33" i="44"/>
  <c r="M33" i="44"/>
  <c r="N33" i="44"/>
  <c r="O33" i="44"/>
  <c r="D33" i="44"/>
  <c r="C12" i="16" l="1"/>
  <c r="B52" i="16"/>
  <c r="M50" i="16"/>
  <c r="J50" i="16"/>
  <c r="K219" i="16"/>
  <c r="L219" i="16"/>
  <c r="M219" i="16"/>
  <c r="J219" i="16"/>
  <c r="I219" i="16"/>
  <c r="H219" i="16"/>
  <c r="G219" i="16"/>
  <c r="F219" i="16"/>
  <c r="E219" i="16"/>
  <c r="D219" i="16"/>
  <c r="C219" i="16"/>
  <c r="B219" i="16"/>
  <c r="B16" i="6" l="1"/>
  <c r="B17" i="18"/>
  <c r="B16" i="5"/>
  <c r="B26" i="13" l="1"/>
  <c r="O34" i="44" l="1"/>
  <c r="N34" i="44"/>
  <c r="M34" i="44"/>
  <c r="L34" i="44"/>
  <c r="L38" i="44" s="1"/>
  <c r="K34" i="44"/>
  <c r="J34" i="44"/>
  <c r="I34" i="44"/>
  <c r="H34" i="44"/>
  <c r="H38" i="44" s="1"/>
  <c r="G34" i="44"/>
  <c r="F34" i="44"/>
  <c r="E34" i="44"/>
  <c r="D34" i="44"/>
  <c r="D38" i="44" s="1"/>
  <c r="O28" i="44"/>
  <c r="O39" i="44" s="1"/>
  <c r="O23" i="44"/>
  <c r="M23" i="44"/>
  <c r="L23" i="44"/>
  <c r="K23" i="44"/>
  <c r="I23" i="44"/>
  <c r="H23" i="44"/>
  <c r="E20" i="44"/>
  <c r="I19" i="44"/>
  <c r="H19" i="44"/>
  <c r="G19" i="44"/>
  <c r="F19" i="44"/>
  <c r="N17" i="44"/>
  <c r="N16" i="44"/>
  <c r="J14" i="44"/>
  <c r="H14" i="44"/>
  <c r="F14" i="44"/>
  <c r="J13" i="44"/>
  <c r="E13" i="44"/>
  <c r="E6" i="44" s="1"/>
  <c r="J11" i="44"/>
  <c r="I11" i="44"/>
  <c r="H11" i="44"/>
  <c r="G11" i="44"/>
  <c r="G6" i="44" s="1"/>
  <c r="G24" i="44" s="1"/>
  <c r="G27" i="44" s="1"/>
  <c r="F11" i="44"/>
  <c r="J8" i="44"/>
  <c r="I8" i="44"/>
  <c r="I6" i="44" s="1"/>
  <c r="H8" i="44"/>
  <c r="H6" i="44" s="1"/>
  <c r="H24" i="44" s="1"/>
  <c r="H27" i="44" s="1"/>
  <c r="G8" i="44"/>
  <c r="N7" i="44"/>
  <c r="O6" i="44"/>
  <c r="O24" i="44" s="1"/>
  <c r="O27" i="44" s="1"/>
  <c r="N6" i="44"/>
  <c r="N24" i="44" s="1"/>
  <c r="N27" i="44" s="1"/>
  <c r="M6" i="44"/>
  <c r="M24" i="44" s="1"/>
  <c r="M27" i="44" s="1"/>
  <c r="L6" i="44"/>
  <c r="K6" i="44"/>
  <c r="K24" i="44" s="1"/>
  <c r="K27" i="44" s="1"/>
  <c r="J6" i="44"/>
  <c r="J24" i="44" s="1"/>
  <c r="J27" i="44" s="1"/>
  <c r="F6" i="44"/>
  <c r="F5" i="44" s="1"/>
  <c r="F24" i="44" s="1"/>
  <c r="F27" i="44" s="1"/>
  <c r="D6" i="44"/>
  <c r="L5" i="44"/>
  <c r="L24" i="44" s="1"/>
  <c r="L27" i="44" s="1"/>
  <c r="I5" i="44"/>
  <c r="E5" i="44"/>
  <c r="E24" i="44" s="1"/>
  <c r="E27" i="44" s="1"/>
  <c r="D5" i="44"/>
  <c r="D24" i="44" s="1"/>
  <c r="D27" i="44" s="1"/>
  <c r="D40" i="44" l="1"/>
  <c r="D44" i="44"/>
  <c r="H40" i="44"/>
  <c r="H44" i="44"/>
  <c r="L40" i="44"/>
  <c r="L44" i="44"/>
  <c r="I24" i="44"/>
  <c r="I27" i="44" s="1"/>
  <c r="E38" i="44"/>
  <c r="M38" i="44"/>
  <c r="F38" i="44"/>
  <c r="J38" i="44"/>
  <c r="N38" i="44"/>
  <c r="G38" i="44"/>
  <c r="K38" i="44"/>
  <c r="O38" i="44"/>
  <c r="O44" i="44" s="1"/>
  <c r="G36" i="44"/>
  <c r="K36" i="44"/>
  <c r="O36" i="44"/>
  <c r="E36" i="44"/>
  <c r="I36" i="44"/>
  <c r="M36" i="44"/>
  <c r="F36" i="44"/>
  <c r="J36" i="44"/>
  <c r="N36" i="44"/>
  <c r="D36" i="44"/>
  <c r="H36" i="44"/>
  <c r="L36" i="44"/>
  <c r="K16" i="11"/>
  <c r="K50" i="16" s="1"/>
  <c r="L16" i="11"/>
  <c r="L17" i="21"/>
  <c r="K17" i="21"/>
  <c r="L50" i="16" l="1"/>
  <c r="O40" i="44"/>
  <c r="K40" i="44"/>
  <c r="K44" i="44"/>
  <c r="J40" i="44"/>
  <c r="J44" i="44"/>
  <c r="G40" i="44"/>
  <c r="G44" i="44"/>
  <c r="F40" i="44"/>
  <c r="F44" i="44"/>
  <c r="M40" i="44"/>
  <c r="M44" i="44"/>
  <c r="N40" i="44"/>
  <c r="N44" i="44"/>
  <c r="E40" i="44"/>
  <c r="E44" i="44"/>
  <c r="I38" i="44"/>
  <c r="O242" i="16"/>
  <c r="O243" i="16" s="1"/>
  <c r="K2" i="16"/>
  <c r="I40" i="44" l="1"/>
  <c r="I44" i="44"/>
  <c r="K7" i="12" l="1"/>
  <c r="L7" i="12"/>
  <c r="M7" i="12"/>
  <c r="J7" i="12"/>
  <c r="K7" i="11"/>
  <c r="L7" i="11"/>
  <c r="M7" i="11"/>
  <c r="J7" i="11"/>
  <c r="K7" i="10"/>
  <c r="K12" i="10" s="1"/>
  <c r="J7" i="10"/>
  <c r="L7" i="10"/>
  <c r="M7" i="10"/>
  <c r="K41" i="7"/>
  <c r="L41" i="7"/>
  <c r="M41" i="7"/>
  <c r="J41" i="7"/>
  <c r="I41" i="7"/>
  <c r="H41" i="7"/>
  <c r="G41" i="7"/>
  <c r="F41" i="7"/>
  <c r="E41" i="7"/>
  <c r="D41" i="7"/>
  <c r="K7" i="4"/>
  <c r="L7" i="4"/>
  <c r="M7" i="4"/>
  <c r="J7" i="4"/>
  <c r="K12" i="3"/>
  <c r="K65" i="36"/>
  <c r="K29" i="36" s="1"/>
  <c r="K60" i="36"/>
  <c r="K77" i="36" s="1"/>
  <c r="K42" i="36"/>
  <c r="K21" i="36"/>
  <c r="K12" i="36"/>
  <c r="K36" i="36" s="1"/>
  <c r="K62" i="35"/>
  <c r="K54" i="35"/>
  <c r="K49" i="35"/>
  <c r="L49" i="35"/>
  <c r="M49" i="35"/>
  <c r="J49" i="35"/>
  <c r="I49" i="35"/>
  <c r="H49" i="35"/>
  <c r="G49" i="35"/>
  <c r="F49" i="35"/>
  <c r="E49" i="35"/>
  <c r="D49" i="35"/>
  <c r="C49" i="35"/>
  <c r="B49" i="35"/>
  <c r="K35" i="35"/>
  <c r="K12" i="35"/>
  <c r="K64" i="34"/>
  <c r="K59" i="34"/>
  <c r="K53" i="34"/>
  <c r="K68" i="34" s="1"/>
  <c r="K36" i="34"/>
  <c r="K40" i="34" s="1"/>
  <c r="K15" i="34" s="1"/>
  <c r="K20" i="34" s="1"/>
  <c r="K50" i="34" s="1"/>
  <c r="K12" i="34"/>
  <c r="M39" i="18"/>
  <c r="J39" i="18"/>
  <c r="M7" i="18"/>
  <c r="K7" i="18"/>
  <c r="L7" i="18"/>
  <c r="J7" i="18"/>
  <c r="K8" i="13"/>
  <c r="J8" i="13"/>
  <c r="K9" i="13"/>
  <c r="K12" i="16" s="1"/>
  <c r="K22" i="16" s="1"/>
  <c r="J18" i="13"/>
  <c r="K17" i="13"/>
  <c r="J17" i="13"/>
  <c r="J9" i="13"/>
  <c r="K9" i="14"/>
  <c r="L9" i="14"/>
  <c r="L12" i="16" s="1"/>
  <c r="M9" i="14"/>
  <c r="M12" i="16" s="1"/>
  <c r="J9" i="14"/>
  <c r="K18" i="13"/>
  <c r="L52" i="16"/>
  <c r="K18" i="14"/>
  <c r="L18" i="14"/>
  <c r="M18" i="14"/>
  <c r="M52" i="16" s="1"/>
  <c r="J18" i="14"/>
  <c r="K10" i="4"/>
  <c r="K12" i="4" s="1"/>
  <c r="L10" i="4"/>
  <c r="M10" i="4"/>
  <c r="J10" i="4"/>
  <c r="K10" i="9"/>
  <c r="K12" i="9" s="1"/>
  <c r="L10" i="9"/>
  <c r="M10" i="9"/>
  <c r="J10" i="9"/>
  <c r="K10" i="13"/>
  <c r="J10" i="13"/>
  <c r="K10" i="21"/>
  <c r="L10" i="21"/>
  <c r="M10" i="21"/>
  <c r="J10" i="21"/>
  <c r="K10" i="12"/>
  <c r="K12" i="12" s="1"/>
  <c r="L10" i="12"/>
  <c r="M10" i="12"/>
  <c r="J10" i="12"/>
  <c r="K10" i="11"/>
  <c r="K12" i="11" s="1"/>
  <c r="L10" i="11"/>
  <c r="M10" i="11"/>
  <c r="J10" i="11"/>
  <c r="K10" i="6"/>
  <c r="K12" i="6" s="1"/>
  <c r="L10" i="6"/>
  <c r="M10" i="6"/>
  <c r="J10" i="6"/>
  <c r="K10" i="18"/>
  <c r="K12" i="18" s="1"/>
  <c r="L10" i="18"/>
  <c r="M10" i="18"/>
  <c r="J10" i="18"/>
  <c r="K19" i="12"/>
  <c r="K21" i="12" s="1"/>
  <c r="L19" i="12"/>
  <c r="L164" i="16" s="1"/>
  <c r="M19" i="12"/>
  <c r="K19" i="11"/>
  <c r="K21" i="11" s="1"/>
  <c r="M19" i="11"/>
  <c r="J19" i="12"/>
  <c r="K19" i="13"/>
  <c r="J19" i="13"/>
  <c r="K20" i="21"/>
  <c r="L20" i="21"/>
  <c r="L23" i="21" s="1"/>
  <c r="N42" i="44" s="1"/>
  <c r="M20" i="21"/>
  <c r="J20" i="21"/>
  <c r="K19" i="4"/>
  <c r="K21" i="4" s="1"/>
  <c r="L19" i="4"/>
  <c r="M19" i="4"/>
  <c r="J19" i="4"/>
  <c r="L19" i="11"/>
  <c r="L156" i="16" s="1"/>
  <c r="J19" i="11"/>
  <c r="K19" i="9"/>
  <c r="K21" i="9" s="1"/>
  <c r="L19" i="9"/>
  <c r="L140" i="16" s="1"/>
  <c r="M19" i="9"/>
  <c r="J19" i="9"/>
  <c r="K19" i="6"/>
  <c r="K21" i="6" s="1"/>
  <c r="L19" i="6"/>
  <c r="M19" i="6"/>
  <c r="J19" i="6"/>
  <c r="K20" i="18"/>
  <c r="K22" i="18" s="1"/>
  <c r="L20" i="18"/>
  <c r="M20" i="18"/>
  <c r="J20" i="18"/>
  <c r="K23" i="21"/>
  <c r="O42" i="44" s="1"/>
  <c r="K13" i="21"/>
  <c r="K29" i="24"/>
  <c r="K23" i="24"/>
  <c r="K31" i="24" s="1"/>
  <c r="K13" i="24"/>
  <c r="K39" i="14"/>
  <c r="K29" i="14" s="1"/>
  <c r="K182" i="16" s="1"/>
  <c r="K26" i="14"/>
  <c r="K21" i="14"/>
  <c r="K12" i="14"/>
  <c r="K54" i="13"/>
  <c r="K49" i="13"/>
  <c r="K43" i="13"/>
  <c r="K29" i="13" s="1"/>
  <c r="K28" i="13" s="1"/>
  <c r="K26" i="13"/>
  <c r="K25" i="13" s="1"/>
  <c r="K40" i="12"/>
  <c r="K29" i="12" s="1"/>
  <c r="K26" i="12"/>
  <c r="K25" i="12" s="1"/>
  <c r="K47" i="11"/>
  <c r="K39" i="11"/>
  <c r="K26" i="11"/>
  <c r="K25" i="11" s="1"/>
  <c r="K42" i="10"/>
  <c r="K29" i="10" s="1"/>
  <c r="K26" i="10"/>
  <c r="K25" i="10" s="1"/>
  <c r="K21" i="10"/>
  <c r="K39" i="9"/>
  <c r="K29" i="9" s="1"/>
  <c r="K28" i="9" s="1"/>
  <c r="K26" i="9"/>
  <c r="K25" i="9" s="1"/>
  <c r="K57" i="8"/>
  <c r="K17" i="8" s="1"/>
  <c r="K49" i="8"/>
  <c r="K8" i="8" s="1"/>
  <c r="K39" i="8"/>
  <c r="K29" i="8" s="1"/>
  <c r="K28" i="8" s="1"/>
  <c r="K26" i="8"/>
  <c r="K25" i="8" s="1"/>
  <c r="K29" i="7"/>
  <c r="K26" i="7"/>
  <c r="K25" i="7" s="1"/>
  <c r="K21" i="7"/>
  <c r="K12" i="7"/>
  <c r="K39" i="6"/>
  <c r="K26" i="6"/>
  <c r="K25" i="6" s="1"/>
  <c r="K29" i="6"/>
  <c r="K28" i="6" s="1"/>
  <c r="K39" i="5"/>
  <c r="K26" i="5"/>
  <c r="K25" i="5" s="1"/>
  <c r="K29" i="5"/>
  <c r="K21" i="5"/>
  <c r="K12" i="5"/>
  <c r="K37" i="4"/>
  <c r="K30" i="4" s="1"/>
  <c r="K27" i="4"/>
  <c r="K26" i="4" s="1"/>
  <c r="K36" i="3"/>
  <c r="K26" i="3"/>
  <c r="L26" i="3"/>
  <c r="M26" i="3"/>
  <c r="J26" i="3"/>
  <c r="I26" i="3"/>
  <c r="H26" i="3"/>
  <c r="G26" i="3"/>
  <c r="F26" i="3"/>
  <c r="E26" i="3"/>
  <c r="D26" i="3"/>
  <c r="C26" i="3"/>
  <c r="B26" i="3"/>
  <c r="K21" i="3"/>
  <c r="K41" i="18"/>
  <c r="K30" i="18" s="1"/>
  <c r="K29" i="18" s="1"/>
  <c r="K27" i="18"/>
  <c r="K26" i="17"/>
  <c r="K21" i="17"/>
  <c r="K12" i="17"/>
  <c r="K212" i="16"/>
  <c r="L212" i="16"/>
  <c r="K211" i="16"/>
  <c r="L211" i="16"/>
  <c r="K210" i="16"/>
  <c r="L210" i="16"/>
  <c r="K209" i="16"/>
  <c r="L209" i="16"/>
  <c r="K208" i="16"/>
  <c r="L208" i="16"/>
  <c r="K197" i="16"/>
  <c r="K226" i="16"/>
  <c r="L226" i="16"/>
  <c r="K225" i="16"/>
  <c r="L225" i="16"/>
  <c r="K224" i="16"/>
  <c r="L224" i="16"/>
  <c r="K223" i="16"/>
  <c r="K228" i="16" s="1"/>
  <c r="L223" i="16"/>
  <c r="K234" i="16"/>
  <c r="L234" i="16"/>
  <c r="K233" i="16"/>
  <c r="L233" i="16"/>
  <c r="K232" i="16"/>
  <c r="L232" i="16"/>
  <c r="K180" i="16"/>
  <c r="L180" i="16"/>
  <c r="K178" i="16"/>
  <c r="L178" i="16"/>
  <c r="K163" i="16"/>
  <c r="L163" i="16"/>
  <c r="K162" i="16"/>
  <c r="L162" i="16"/>
  <c r="K155" i="16"/>
  <c r="L155" i="16"/>
  <c r="K154" i="16"/>
  <c r="L154" i="16"/>
  <c r="K148" i="16"/>
  <c r="L148" i="16"/>
  <c r="K147" i="16"/>
  <c r="L147" i="16"/>
  <c r="K146" i="16"/>
  <c r="L146" i="16"/>
  <c r="K139" i="16"/>
  <c r="L139" i="16"/>
  <c r="K138" i="16"/>
  <c r="L138" i="16"/>
  <c r="K132" i="16"/>
  <c r="L132" i="16"/>
  <c r="K131" i="16"/>
  <c r="L131" i="16"/>
  <c r="K124" i="16"/>
  <c r="L124" i="16"/>
  <c r="K123" i="16"/>
  <c r="L123" i="16"/>
  <c r="K122" i="16"/>
  <c r="L122" i="16"/>
  <c r="L116" i="16"/>
  <c r="K115" i="16"/>
  <c r="L115" i="16"/>
  <c r="K114" i="16"/>
  <c r="L114" i="16"/>
  <c r="K108" i="16"/>
  <c r="L108" i="16"/>
  <c r="K107" i="16"/>
  <c r="L107" i="16"/>
  <c r="K106" i="16"/>
  <c r="L106" i="16"/>
  <c r="L100" i="16"/>
  <c r="K99" i="16"/>
  <c r="L99" i="16"/>
  <c r="K98" i="16"/>
  <c r="L98" i="16"/>
  <c r="K92" i="16"/>
  <c r="L92" i="16"/>
  <c r="K91" i="16"/>
  <c r="L91" i="16"/>
  <c r="K90" i="16"/>
  <c r="L90" i="16"/>
  <c r="K83" i="16"/>
  <c r="L83" i="16"/>
  <c r="K82" i="16"/>
  <c r="L82" i="16"/>
  <c r="K245" i="16"/>
  <c r="K236" i="16"/>
  <c r="K231" i="16"/>
  <c r="K220" i="16"/>
  <c r="K205" i="16"/>
  <c r="K188" i="16"/>
  <c r="K187" i="16"/>
  <c r="K186" i="16"/>
  <c r="K185" i="16"/>
  <c r="K179" i="16"/>
  <c r="K177" i="16"/>
  <c r="K171" i="16"/>
  <c r="K169" i="16"/>
  <c r="K161" i="16"/>
  <c r="K153" i="16"/>
  <c r="K145" i="16"/>
  <c r="K137" i="16"/>
  <c r="K129" i="16"/>
  <c r="K121" i="16"/>
  <c r="K113" i="16"/>
  <c r="K110" i="16"/>
  <c r="K105" i="16"/>
  <c r="K97" i="16"/>
  <c r="K89" i="16"/>
  <c r="K81" i="16"/>
  <c r="K75" i="16"/>
  <c r="K74" i="16"/>
  <c r="K73" i="16"/>
  <c r="K72" i="16"/>
  <c r="K71" i="16"/>
  <c r="I7" i="21"/>
  <c r="I7" i="5"/>
  <c r="I7" i="13"/>
  <c r="I7" i="12"/>
  <c r="I7" i="11"/>
  <c r="I7" i="10"/>
  <c r="I7" i="9"/>
  <c r="I7" i="7"/>
  <c r="I7" i="6"/>
  <c r="I7" i="4"/>
  <c r="I7" i="3"/>
  <c r="I7" i="36"/>
  <c r="I7" i="35"/>
  <c r="L59" i="34"/>
  <c r="M59" i="34"/>
  <c r="J59" i="34"/>
  <c r="I59" i="34"/>
  <c r="H59" i="34"/>
  <c r="G59" i="34"/>
  <c r="F59" i="34"/>
  <c r="E59" i="34"/>
  <c r="D59" i="34"/>
  <c r="C59" i="34"/>
  <c r="B59" i="34"/>
  <c r="I7" i="18"/>
  <c r="I10" i="9"/>
  <c r="I10" i="12"/>
  <c r="I10" i="4"/>
  <c r="I10" i="18"/>
  <c r="I10" i="11"/>
  <c r="I10" i="6"/>
  <c r="I10" i="13"/>
  <c r="I19" i="9"/>
  <c r="I19" i="12"/>
  <c r="I19" i="4"/>
  <c r="I19" i="11"/>
  <c r="I19" i="6"/>
  <c r="I19" i="13"/>
  <c r="I9" i="13"/>
  <c r="I9" i="14"/>
  <c r="I18" i="13"/>
  <c r="I18" i="14"/>
  <c r="I8" i="13"/>
  <c r="I17" i="13"/>
  <c r="I17" i="21"/>
  <c r="I50" i="16" s="1"/>
  <c r="H7" i="21"/>
  <c r="H7" i="13"/>
  <c r="H7" i="12"/>
  <c r="H7" i="11"/>
  <c r="H7" i="10"/>
  <c r="H7" i="9"/>
  <c r="H7" i="7"/>
  <c r="H7" i="6"/>
  <c r="H7" i="5"/>
  <c r="H7" i="4"/>
  <c r="H7" i="3"/>
  <c r="H7" i="34"/>
  <c r="H7" i="36"/>
  <c r="H7" i="35"/>
  <c r="H7" i="18"/>
  <c r="H10" i="9"/>
  <c r="H10" i="12"/>
  <c r="H10" i="4"/>
  <c r="H10" i="11"/>
  <c r="H10" i="6"/>
  <c r="H10" i="13"/>
  <c r="H19" i="12"/>
  <c r="H19" i="4"/>
  <c r="H19" i="11"/>
  <c r="H19" i="6"/>
  <c r="H19" i="13"/>
  <c r="H9" i="14"/>
  <c r="H18" i="14"/>
  <c r="H9" i="13"/>
  <c r="H18" i="13"/>
  <c r="H8" i="13"/>
  <c r="H17" i="13"/>
  <c r="H17" i="21"/>
  <c r="H50" i="16" s="1"/>
  <c r="G7" i="4"/>
  <c r="G7" i="21"/>
  <c r="G7" i="13"/>
  <c r="G7" i="12"/>
  <c r="G7" i="11"/>
  <c r="G7" i="10"/>
  <c r="G7" i="9"/>
  <c r="G7" i="8"/>
  <c r="G7" i="7"/>
  <c r="G7" i="6"/>
  <c r="G7" i="18"/>
  <c r="G7" i="5"/>
  <c r="G7" i="3"/>
  <c r="G7" i="36"/>
  <c r="F7" i="36"/>
  <c r="G7" i="35"/>
  <c r="G10" i="9"/>
  <c r="G10" i="12"/>
  <c r="G10" i="4"/>
  <c r="G10" i="11"/>
  <c r="G10" i="6"/>
  <c r="G10" i="13"/>
  <c r="G19" i="12"/>
  <c r="G19" i="13"/>
  <c r="G19" i="11"/>
  <c r="G19" i="6"/>
  <c r="G19" i="4"/>
  <c r="G9" i="14"/>
  <c r="G18" i="14"/>
  <c r="G18" i="13"/>
  <c r="G17" i="13"/>
  <c r="G9" i="13"/>
  <c r="G12" i="16" s="1"/>
  <c r="G8" i="13"/>
  <c r="G17" i="21"/>
  <c r="G17" i="18"/>
  <c r="G16" i="5"/>
  <c r="F7" i="21"/>
  <c r="F7" i="13"/>
  <c r="G50" i="16" l="1"/>
  <c r="H52" i="16"/>
  <c r="K52" i="16"/>
  <c r="K46" i="16" s="1"/>
  <c r="G52" i="16"/>
  <c r="I12" i="16"/>
  <c r="H12" i="16"/>
  <c r="I52" i="16"/>
  <c r="J12" i="16"/>
  <c r="J52" i="16"/>
  <c r="K164" i="16"/>
  <c r="K74" i="36"/>
  <c r="K78" i="36"/>
  <c r="K70" i="36"/>
  <c r="K26" i="36"/>
  <c r="K28" i="24"/>
  <c r="K156" i="16"/>
  <c r="J10" i="16"/>
  <c r="K10" i="16"/>
  <c r="K32" i="16" s="1"/>
  <c r="K140" i="16"/>
  <c r="K141" i="16" s="1"/>
  <c r="K142" i="16"/>
  <c r="K21" i="8"/>
  <c r="K130" i="16"/>
  <c r="K133" i="16" s="1"/>
  <c r="K11" i="16"/>
  <c r="K33" i="16" s="1"/>
  <c r="K51" i="16"/>
  <c r="K45" i="16" s="1"/>
  <c r="K116" i="16"/>
  <c r="K117" i="16" s="1"/>
  <c r="G53" i="16"/>
  <c r="G13" i="16"/>
  <c r="H13" i="16"/>
  <c r="I53" i="16"/>
  <c r="K100" i="16"/>
  <c r="K101" i="16" s="1"/>
  <c r="M13" i="16"/>
  <c r="L13" i="16"/>
  <c r="M10" i="16"/>
  <c r="H53" i="16"/>
  <c r="L53" i="16"/>
  <c r="L10" i="16"/>
  <c r="M53" i="16"/>
  <c r="K25" i="3"/>
  <c r="K63" i="35"/>
  <c r="K36" i="35"/>
  <c r="K16" i="35" s="1"/>
  <c r="K21" i="35" s="1"/>
  <c r="K46" i="35" s="1"/>
  <c r="K67" i="35"/>
  <c r="K66" i="35"/>
  <c r="K59" i="35"/>
  <c r="K45" i="34"/>
  <c r="K65" i="34"/>
  <c r="K60" i="34"/>
  <c r="K69" i="34"/>
  <c r="H10" i="16"/>
  <c r="K84" i="16"/>
  <c r="K85" i="16" s="1"/>
  <c r="K53" i="16"/>
  <c r="K41" i="16" s="1"/>
  <c r="I13" i="16"/>
  <c r="J53" i="16"/>
  <c r="G10" i="16"/>
  <c r="I10" i="16"/>
  <c r="K13" i="16"/>
  <c r="K23" i="16" s="1"/>
  <c r="J13" i="16"/>
  <c r="K25" i="17"/>
  <c r="K170" i="16"/>
  <c r="K12" i="13"/>
  <c r="K172" i="16"/>
  <c r="K61" i="13"/>
  <c r="K174" i="16" s="1"/>
  <c r="K21" i="13"/>
  <c r="K213" i="16"/>
  <c r="K93" i="16"/>
  <c r="K125" i="16"/>
  <c r="K77" i="16"/>
  <c r="K109" i="16"/>
  <c r="K157" i="16"/>
  <c r="K50" i="11"/>
  <c r="K158" i="16" s="1"/>
  <c r="K43" i="36"/>
  <c r="K48" i="36" s="1"/>
  <c r="K50" i="36" s="1"/>
  <c r="K27" i="34"/>
  <c r="K24" i="34"/>
  <c r="K12" i="8"/>
  <c r="K25" i="14"/>
  <c r="K181" i="16"/>
  <c r="K28" i="14"/>
  <c r="K189" i="16"/>
  <c r="K165" i="16"/>
  <c r="K235" i="16"/>
  <c r="K26" i="18"/>
  <c r="K34" i="16"/>
  <c r="K166" i="16"/>
  <c r="K28" i="12"/>
  <c r="K29" i="11"/>
  <c r="K28" i="11" s="1"/>
  <c r="K150" i="16"/>
  <c r="K28" i="10"/>
  <c r="K42" i="8"/>
  <c r="K134" i="16" s="1"/>
  <c r="K28" i="7"/>
  <c r="K126" i="16"/>
  <c r="K118" i="16"/>
  <c r="K28" i="5"/>
  <c r="K29" i="4"/>
  <c r="K102" i="16"/>
  <c r="K39" i="4"/>
  <c r="K29" i="3"/>
  <c r="K86" i="16"/>
  <c r="K44" i="16"/>
  <c r="K38" i="16"/>
  <c r="K239" i="16"/>
  <c r="K149" i="16"/>
  <c r="K241" i="16"/>
  <c r="K40" i="16" l="1"/>
  <c r="K52" i="36"/>
  <c r="K73" i="36"/>
  <c r="K57" i="36"/>
  <c r="K20" i="16"/>
  <c r="K21" i="16"/>
  <c r="K240" i="16"/>
  <c r="K39" i="16"/>
  <c r="K25" i="35"/>
  <c r="K28" i="35"/>
  <c r="K41" i="35"/>
  <c r="K35" i="16"/>
  <c r="K55" i="16"/>
  <c r="K57" i="16" s="1"/>
  <c r="K47" i="16"/>
  <c r="K15" i="16"/>
  <c r="K173" i="16"/>
  <c r="K242" i="16"/>
  <c r="K94" i="16"/>
  <c r="K28" i="3"/>
  <c r="F7" i="12"/>
  <c r="F7" i="11"/>
  <c r="F7" i="10"/>
  <c r="F7" i="7"/>
  <c r="L29" i="6"/>
  <c r="L118" i="16" s="1"/>
  <c r="M29" i="6"/>
  <c r="J29" i="6"/>
  <c r="I29" i="6"/>
  <c r="H29" i="6"/>
  <c r="G29" i="6"/>
  <c r="F29" i="6"/>
  <c r="E29" i="6"/>
  <c r="D29" i="6"/>
  <c r="C29" i="6"/>
  <c r="B29" i="6"/>
  <c r="F7" i="5"/>
  <c r="L37" i="4"/>
  <c r="L30" i="4" s="1"/>
  <c r="M37" i="4"/>
  <c r="M39" i="4" s="1"/>
  <c r="J37" i="4"/>
  <c r="J39" i="4" s="1"/>
  <c r="I37" i="4"/>
  <c r="I39" i="4" s="1"/>
  <c r="H37" i="4"/>
  <c r="H30" i="4" s="1"/>
  <c r="G37" i="4"/>
  <c r="G30" i="4" s="1"/>
  <c r="F37" i="4"/>
  <c r="F30" i="4" s="1"/>
  <c r="E37" i="4"/>
  <c r="E39" i="4" s="1"/>
  <c r="D37" i="4"/>
  <c r="D30" i="4" s="1"/>
  <c r="C37" i="4"/>
  <c r="C39" i="4" s="1"/>
  <c r="B37" i="4"/>
  <c r="B39" i="4" s="1"/>
  <c r="F7" i="4"/>
  <c r="F7" i="3"/>
  <c r="C10" i="10"/>
  <c r="C19" i="10"/>
  <c r="F7" i="18"/>
  <c r="F10" i="13"/>
  <c r="F10" i="12"/>
  <c r="F10" i="11"/>
  <c r="F10" i="4"/>
  <c r="F19" i="12"/>
  <c r="F19" i="13"/>
  <c r="F19" i="11"/>
  <c r="F19" i="4"/>
  <c r="F9" i="14"/>
  <c r="F9" i="13"/>
  <c r="F18" i="14"/>
  <c r="F18" i="13"/>
  <c r="F8" i="13"/>
  <c r="F17" i="13"/>
  <c r="F17" i="21"/>
  <c r="F17" i="18"/>
  <c r="F16" i="5"/>
  <c r="M234" i="16"/>
  <c r="J234" i="16"/>
  <c r="I234" i="16"/>
  <c r="H234" i="16"/>
  <c r="G234" i="16"/>
  <c r="F234" i="16"/>
  <c r="E234" i="16"/>
  <c r="D234" i="16"/>
  <c r="C234" i="16"/>
  <c r="B234" i="16"/>
  <c r="E7" i="13"/>
  <c r="E7" i="12"/>
  <c r="E7" i="11"/>
  <c r="E7" i="10"/>
  <c r="E7" i="7"/>
  <c r="E7" i="5"/>
  <c r="E7" i="4"/>
  <c r="E7" i="36"/>
  <c r="E7" i="18"/>
  <c r="E10" i="13"/>
  <c r="E10" i="11"/>
  <c r="E10" i="12"/>
  <c r="E20" i="18"/>
  <c r="D19" i="10"/>
  <c r="D10" i="10"/>
  <c r="E10" i="4"/>
  <c r="E19" i="11"/>
  <c r="E19" i="13"/>
  <c r="E19" i="12"/>
  <c r="E9" i="14"/>
  <c r="E9" i="13"/>
  <c r="E18" i="14"/>
  <c r="E18" i="13"/>
  <c r="E8" i="13"/>
  <c r="E17" i="13"/>
  <c r="E17" i="21"/>
  <c r="E17" i="18"/>
  <c r="E16" i="5"/>
  <c r="E12" i="16" l="1"/>
  <c r="E52" i="16"/>
  <c r="F12" i="16"/>
  <c r="F52" i="16"/>
  <c r="E53" i="16"/>
  <c r="K243" i="16"/>
  <c r="K248" i="16" s="1"/>
  <c r="F50" i="16"/>
  <c r="E50" i="16"/>
  <c r="F39" i="4"/>
  <c r="J30" i="4"/>
  <c r="B30" i="4"/>
  <c r="G39" i="4"/>
  <c r="C30" i="4"/>
  <c r="M30" i="4"/>
  <c r="E13" i="16"/>
  <c r="F53" i="16"/>
  <c r="D39" i="4"/>
  <c r="H39" i="4"/>
  <c r="L39" i="4"/>
  <c r="K40" i="4" s="1"/>
  <c r="E30" i="4"/>
  <c r="I30" i="4"/>
  <c r="F13" i="16"/>
  <c r="F10" i="16"/>
  <c r="E10" i="16"/>
  <c r="D231" i="16"/>
  <c r="D7" i="21"/>
  <c r="D7" i="7"/>
  <c r="D7" i="18"/>
  <c r="D32" i="24"/>
  <c r="D11" i="24"/>
  <c r="D7" i="13"/>
  <c r="D7" i="12"/>
  <c r="D7" i="11"/>
  <c r="D7" i="10"/>
  <c r="D7" i="6"/>
  <c r="D7" i="5" l="1"/>
  <c r="D7" i="4"/>
  <c r="D7" i="36"/>
  <c r="D10" i="13"/>
  <c r="D10" i="12"/>
  <c r="D10" i="11"/>
  <c r="D10" i="4"/>
  <c r="D19" i="12"/>
  <c r="D19" i="13"/>
  <c r="D19" i="4"/>
  <c r="D19" i="11"/>
  <c r="D9" i="14"/>
  <c r="D18" i="14"/>
  <c r="D18" i="13"/>
  <c r="D9" i="13"/>
  <c r="D8" i="13"/>
  <c r="D17" i="13"/>
  <c r="D17" i="21"/>
  <c r="D17" i="18"/>
  <c r="D16" i="5"/>
  <c r="C17" i="21"/>
  <c r="C17" i="18"/>
  <c r="C17" i="13"/>
  <c r="C18" i="13"/>
  <c r="C52" i="16" s="1"/>
  <c r="C7" i="21"/>
  <c r="C10" i="4"/>
  <c r="C19" i="12"/>
  <c r="C10" i="12"/>
  <c r="C19" i="11"/>
  <c r="C10" i="11"/>
  <c r="L13" i="21"/>
  <c r="M13" i="21"/>
  <c r="J13" i="21"/>
  <c r="I13" i="21"/>
  <c r="H13" i="21"/>
  <c r="G13" i="21"/>
  <c r="F13" i="21"/>
  <c r="E13" i="21"/>
  <c r="D13" i="21"/>
  <c r="C13" i="21"/>
  <c r="C7" i="13"/>
  <c r="C7" i="12"/>
  <c r="C7" i="11"/>
  <c r="C32" i="24"/>
  <c r="C7" i="24"/>
  <c r="C16" i="7"/>
  <c r="C7" i="7"/>
  <c r="C16" i="5"/>
  <c r="C7" i="5"/>
  <c r="C7" i="18"/>
  <c r="C7" i="4"/>
  <c r="C7" i="36"/>
  <c r="L188" i="16"/>
  <c r="M188" i="16"/>
  <c r="J188" i="16"/>
  <c r="I188" i="16"/>
  <c r="H188" i="16"/>
  <c r="G188" i="16"/>
  <c r="F188" i="16"/>
  <c r="E188" i="16"/>
  <c r="D188" i="16"/>
  <c r="C188" i="16"/>
  <c r="L187" i="16"/>
  <c r="M187" i="16"/>
  <c r="J187" i="16"/>
  <c r="I187" i="16"/>
  <c r="H187" i="16"/>
  <c r="G187" i="16"/>
  <c r="F187" i="16"/>
  <c r="E187" i="16"/>
  <c r="D187" i="16"/>
  <c r="C187" i="16"/>
  <c r="L186" i="16"/>
  <c r="M186" i="16"/>
  <c r="J186" i="16"/>
  <c r="I186" i="16"/>
  <c r="H186" i="16"/>
  <c r="G186" i="16"/>
  <c r="F186" i="16"/>
  <c r="E186" i="16"/>
  <c r="D186" i="16"/>
  <c r="C186" i="16"/>
  <c r="L185" i="16"/>
  <c r="M185" i="16"/>
  <c r="J185" i="16"/>
  <c r="I185" i="16"/>
  <c r="H185" i="16"/>
  <c r="G185" i="16"/>
  <c r="F185" i="16"/>
  <c r="E185" i="16"/>
  <c r="D185" i="16"/>
  <c r="C185" i="16"/>
  <c r="B188" i="16"/>
  <c r="B186" i="16"/>
  <c r="L236" i="16"/>
  <c r="M236" i="16"/>
  <c r="J236" i="16"/>
  <c r="I236" i="16"/>
  <c r="H236" i="16"/>
  <c r="G236" i="16"/>
  <c r="F236" i="16"/>
  <c r="E236" i="16"/>
  <c r="D236" i="16"/>
  <c r="C236" i="16"/>
  <c r="L231" i="16"/>
  <c r="M231" i="16"/>
  <c r="J231" i="16"/>
  <c r="I231" i="16"/>
  <c r="H231" i="16"/>
  <c r="G231" i="16"/>
  <c r="F231" i="16"/>
  <c r="E231" i="16"/>
  <c r="C231" i="16"/>
  <c r="B231" i="16"/>
  <c r="B19" i="12"/>
  <c r="D12" i="16" l="1"/>
  <c r="D52" i="16"/>
  <c r="C53" i="16"/>
  <c r="C13" i="16"/>
  <c r="D13" i="16"/>
  <c r="C50" i="16"/>
  <c r="D50" i="16"/>
  <c r="D10" i="16"/>
  <c r="D53" i="16"/>
  <c r="C10" i="16"/>
  <c r="B7" i="21"/>
  <c r="B7" i="18"/>
  <c r="B10" i="16" s="1"/>
  <c r="B10" i="21"/>
  <c r="B9" i="14"/>
  <c r="B12" i="16" s="1"/>
  <c r="B13" i="21" l="1"/>
  <c r="L63" i="16"/>
  <c r="K63" i="16"/>
  <c r="B10" i="11"/>
  <c r="B10" i="12"/>
  <c r="B19" i="4"/>
  <c r="B53" i="16" s="1"/>
  <c r="B10" i="4"/>
  <c r="B19" i="11"/>
  <c r="J54" i="13"/>
  <c r="I54" i="13"/>
  <c r="H54" i="13"/>
  <c r="G54" i="13"/>
  <c r="F54" i="13"/>
  <c r="E54" i="13"/>
  <c r="D54" i="13"/>
  <c r="C54" i="13"/>
  <c r="B54" i="13"/>
  <c r="J49" i="13"/>
  <c r="I49" i="13"/>
  <c r="H49" i="13"/>
  <c r="G49" i="13"/>
  <c r="F49" i="13"/>
  <c r="E49" i="13"/>
  <c r="D49" i="13"/>
  <c r="C49" i="13"/>
  <c r="B49" i="13"/>
  <c r="L47" i="11"/>
  <c r="M47" i="11"/>
  <c r="J47" i="11"/>
  <c r="I47" i="11"/>
  <c r="H47" i="11"/>
  <c r="G47" i="11"/>
  <c r="F47" i="11"/>
  <c r="E47" i="11"/>
  <c r="D47" i="11"/>
  <c r="C47" i="11"/>
  <c r="B47" i="11"/>
  <c r="B32" i="24"/>
  <c r="B236" i="16" s="1"/>
  <c r="B39" i="7"/>
  <c r="B41" i="7" s="1"/>
  <c r="L57" i="8"/>
  <c r="L17" i="8" s="1"/>
  <c r="L51" i="16" s="1"/>
  <c r="M57" i="8"/>
  <c r="M17" i="8" s="1"/>
  <c r="M51" i="16" s="1"/>
  <c r="J57" i="8"/>
  <c r="J17" i="8" s="1"/>
  <c r="J51" i="16" s="1"/>
  <c r="I57" i="8"/>
  <c r="I17" i="8" s="1"/>
  <c r="I51" i="16" s="1"/>
  <c r="H57" i="8"/>
  <c r="H17" i="8" s="1"/>
  <c r="H51" i="16" s="1"/>
  <c r="G57" i="8"/>
  <c r="G17" i="8" s="1"/>
  <c r="G51" i="16" s="1"/>
  <c r="F57" i="8"/>
  <c r="F17" i="8" s="1"/>
  <c r="F51" i="16" s="1"/>
  <c r="E57" i="8"/>
  <c r="E17" i="8" s="1"/>
  <c r="E51" i="16" s="1"/>
  <c r="D57" i="8"/>
  <c r="D17" i="8" s="1"/>
  <c r="D51" i="16" s="1"/>
  <c r="C57" i="8"/>
  <c r="C17" i="8" s="1"/>
  <c r="C51" i="16" s="1"/>
  <c r="B57" i="8"/>
  <c r="B17" i="8" s="1"/>
  <c r="B51" i="16" s="1"/>
  <c r="K62" i="16" s="1"/>
  <c r="L49" i="8"/>
  <c r="L8" i="8" s="1"/>
  <c r="L11" i="16" s="1"/>
  <c r="M49" i="8"/>
  <c r="M8" i="8" s="1"/>
  <c r="M11" i="16" s="1"/>
  <c r="J49" i="8"/>
  <c r="J8" i="8" s="1"/>
  <c r="J11" i="16" s="1"/>
  <c r="I49" i="8"/>
  <c r="I8" i="8" s="1"/>
  <c r="H49" i="8"/>
  <c r="H8" i="8" s="1"/>
  <c r="H11" i="16" s="1"/>
  <c r="G49" i="8"/>
  <c r="G8" i="8" s="1"/>
  <c r="G11" i="16" s="1"/>
  <c r="F49" i="8"/>
  <c r="F8" i="8" s="1"/>
  <c r="F11" i="16" s="1"/>
  <c r="E49" i="8"/>
  <c r="E8" i="8" s="1"/>
  <c r="E11" i="16" s="1"/>
  <c r="D49" i="8"/>
  <c r="D8" i="8" s="1"/>
  <c r="D11" i="16" s="1"/>
  <c r="C49" i="8"/>
  <c r="C8" i="8" s="1"/>
  <c r="C11" i="16" s="1"/>
  <c r="B49" i="8"/>
  <c r="B8" i="8" s="1"/>
  <c r="B11" i="16" s="1"/>
  <c r="B16" i="7"/>
  <c r="B50" i="16" s="1"/>
  <c r="L61" i="16" s="1"/>
  <c r="B13" i="16" l="1"/>
  <c r="I11" i="16"/>
  <c r="I15" i="16" s="1"/>
  <c r="L62" i="16"/>
  <c r="K61" i="16"/>
  <c r="K64" i="16"/>
  <c r="L64" i="16"/>
  <c r="B185" i="16"/>
  <c r="B187" i="16"/>
  <c r="H245" i="16"/>
  <c r="G245" i="16"/>
  <c r="F245" i="16"/>
  <c r="E245" i="16"/>
  <c r="D245" i="16"/>
  <c r="C245" i="16"/>
  <c r="B245" i="16"/>
  <c r="L245" i="16"/>
  <c r="M245" i="16"/>
  <c r="J245" i="16"/>
  <c r="I245" i="16"/>
  <c r="K66" i="16" l="1"/>
  <c r="L66" i="16"/>
  <c r="B205" i="16"/>
  <c r="F205" i="16"/>
  <c r="J205" i="16"/>
  <c r="C205" i="16"/>
  <c r="G205" i="16"/>
  <c r="M205" i="16"/>
  <c r="D205" i="16"/>
  <c r="H205" i="16"/>
  <c r="B208" i="16"/>
  <c r="C208" i="16"/>
  <c r="D208" i="16"/>
  <c r="E208" i="16"/>
  <c r="F208" i="16"/>
  <c r="G208" i="16"/>
  <c r="H208" i="16"/>
  <c r="I208" i="16"/>
  <c r="J208" i="16"/>
  <c r="M208" i="16"/>
  <c r="B209" i="16"/>
  <c r="C209" i="16"/>
  <c r="D209" i="16"/>
  <c r="E209" i="16"/>
  <c r="F209" i="16"/>
  <c r="G209" i="16"/>
  <c r="H209" i="16"/>
  <c r="I209" i="16"/>
  <c r="J209" i="16"/>
  <c r="M209" i="16"/>
  <c r="B210" i="16"/>
  <c r="C210" i="16"/>
  <c r="D210" i="16"/>
  <c r="E210" i="16"/>
  <c r="F210" i="16"/>
  <c r="G210" i="16"/>
  <c r="H210" i="16"/>
  <c r="I210" i="16"/>
  <c r="J210" i="16"/>
  <c r="M210" i="16"/>
  <c r="B211" i="16"/>
  <c r="C211" i="16"/>
  <c r="D211" i="16"/>
  <c r="E211" i="16"/>
  <c r="F211" i="16"/>
  <c r="G211" i="16"/>
  <c r="H211" i="16"/>
  <c r="I211" i="16"/>
  <c r="J211" i="16"/>
  <c r="M211" i="16"/>
  <c r="B212" i="16"/>
  <c r="C212" i="16"/>
  <c r="D212" i="16"/>
  <c r="E212" i="16"/>
  <c r="F212" i="16"/>
  <c r="G212" i="16"/>
  <c r="H212" i="16"/>
  <c r="I212" i="16"/>
  <c r="J212" i="16"/>
  <c r="M212" i="16"/>
  <c r="B223" i="16"/>
  <c r="C223" i="16"/>
  <c r="D223" i="16"/>
  <c r="E223" i="16"/>
  <c r="F223" i="16"/>
  <c r="G223" i="16"/>
  <c r="H223" i="16"/>
  <c r="I223" i="16"/>
  <c r="J223" i="16"/>
  <c r="M223" i="16"/>
  <c r="B224" i="16"/>
  <c r="C224" i="16"/>
  <c r="D224" i="16"/>
  <c r="E224" i="16"/>
  <c r="F224" i="16"/>
  <c r="G224" i="16"/>
  <c r="H224" i="16"/>
  <c r="I224" i="16"/>
  <c r="J224" i="16"/>
  <c r="M224" i="16"/>
  <c r="B225" i="16"/>
  <c r="C225" i="16"/>
  <c r="D225" i="16"/>
  <c r="E225" i="16"/>
  <c r="F225" i="16"/>
  <c r="G225" i="16"/>
  <c r="H225" i="16"/>
  <c r="I225" i="16"/>
  <c r="J225" i="16"/>
  <c r="M225" i="16"/>
  <c r="B226" i="16"/>
  <c r="C226" i="16"/>
  <c r="D226" i="16"/>
  <c r="E226" i="16"/>
  <c r="F226" i="16"/>
  <c r="G226" i="16"/>
  <c r="H226" i="16"/>
  <c r="I226" i="16"/>
  <c r="J226" i="16"/>
  <c r="M226" i="16"/>
  <c r="B227" i="16"/>
  <c r="C227" i="16"/>
  <c r="D227" i="16"/>
  <c r="E227" i="16"/>
  <c r="F227" i="16"/>
  <c r="G227" i="16"/>
  <c r="H227" i="16"/>
  <c r="I227" i="16"/>
  <c r="L228" i="16"/>
  <c r="B232" i="16"/>
  <c r="C232" i="16"/>
  <c r="D232" i="16"/>
  <c r="E232" i="16"/>
  <c r="F232" i="16"/>
  <c r="G232" i="16"/>
  <c r="H232" i="16"/>
  <c r="I232" i="16"/>
  <c r="J232" i="16"/>
  <c r="M232" i="16"/>
  <c r="B233" i="16"/>
  <c r="C233" i="16"/>
  <c r="D233" i="16"/>
  <c r="E233" i="16"/>
  <c r="F233" i="16"/>
  <c r="G233" i="16"/>
  <c r="H233" i="16"/>
  <c r="I233" i="16"/>
  <c r="J233" i="16"/>
  <c r="M233" i="16"/>
  <c r="E213" i="16" l="1"/>
  <c r="I235" i="16"/>
  <c r="C228" i="16"/>
  <c r="I213" i="16"/>
  <c r="M228" i="16"/>
  <c r="G228" i="16"/>
  <c r="I228" i="16"/>
  <c r="H228" i="16"/>
  <c r="M220" i="16"/>
  <c r="G220" i="16"/>
  <c r="C220" i="16"/>
  <c r="J197" i="16"/>
  <c r="F197" i="16"/>
  <c r="B197" i="16"/>
  <c r="D228" i="16"/>
  <c r="E235" i="16"/>
  <c r="H235" i="16"/>
  <c r="F235" i="16"/>
  <c r="E228" i="16"/>
  <c r="I220" i="16"/>
  <c r="E220" i="16"/>
  <c r="I205" i="16"/>
  <c r="E205" i="16"/>
  <c r="M197" i="16"/>
  <c r="G197" i="16"/>
  <c r="C197" i="16"/>
  <c r="I197" i="16"/>
  <c r="E197" i="16"/>
  <c r="H197" i="16"/>
  <c r="D197" i="16"/>
  <c r="M235" i="16"/>
  <c r="G235" i="16"/>
  <c r="C235" i="16"/>
  <c r="J213" i="16"/>
  <c r="F213" i="16"/>
  <c r="B213" i="16"/>
  <c r="H213" i="16"/>
  <c r="D213" i="16"/>
  <c r="D235" i="16"/>
  <c r="J235" i="16"/>
  <c r="B235" i="16"/>
  <c r="J228" i="16"/>
  <c r="F228" i="16"/>
  <c r="B228" i="16"/>
  <c r="H220" i="16"/>
  <c r="D220" i="16"/>
  <c r="J220" i="16"/>
  <c r="F220" i="16"/>
  <c r="B220" i="16"/>
  <c r="M213" i="16"/>
  <c r="G213" i="16"/>
  <c r="C213" i="16"/>
  <c r="L213" i="16"/>
  <c r="L205" i="16"/>
  <c r="L197" i="16"/>
  <c r="L235" i="16"/>
  <c r="L220" i="16"/>
  <c r="L39" i="14" l="1"/>
  <c r="L29" i="14" s="1"/>
  <c r="L182" i="16" s="1"/>
  <c r="M39" i="14"/>
  <c r="M29" i="14" s="1"/>
  <c r="M182" i="16" s="1"/>
  <c r="J39" i="14"/>
  <c r="J29" i="14" s="1"/>
  <c r="J182" i="16" s="1"/>
  <c r="I39" i="14"/>
  <c r="I29" i="14" s="1"/>
  <c r="I182" i="16" s="1"/>
  <c r="H39" i="14"/>
  <c r="H29" i="14" s="1"/>
  <c r="H182" i="16" s="1"/>
  <c r="G39" i="14"/>
  <c r="G29" i="14" s="1"/>
  <c r="G182" i="16" s="1"/>
  <c r="F39" i="14"/>
  <c r="F29" i="14" s="1"/>
  <c r="F182" i="16" s="1"/>
  <c r="E39" i="14"/>
  <c r="E29" i="14" s="1"/>
  <c r="E182" i="16" s="1"/>
  <c r="D39" i="14"/>
  <c r="D29" i="14" s="1"/>
  <c r="D182" i="16" s="1"/>
  <c r="B39" i="14"/>
  <c r="B29" i="14" s="1"/>
  <c r="B182" i="16" s="1"/>
  <c r="C37" i="14"/>
  <c r="C39" i="14" s="1"/>
  <c r="C29" i="14" s="1"/>
  <c r="C182" i="16" s="1"/>
  <c r="J43" i="13"/>
  <c r="I43" i="13"/>
  <c r="I61" i="13" s="1"/>
  <c r="H43" i="13"/>
  <c r="H61" i="13" s="1"/>
  <c r="G43" i="13"/>
  <c r="G61" i="13" s="1"/>
  <c r="F43" i="13"/>
  <c r="F61" i="13" s="1"/>
  <c r="E43" i="13"/>
  <c r="E61" i="13" s="1"/>
  <c r="D43" i="13"/>
  <c r="D61" i="13" s="1"/>
  <c r="C43" i="13"/>
  <c r="C61" i="13" s="1"/>
  <c r="B43" i="13"/>
  <c r="L40" i="12"/>
  <c r="L29" i="12" s="1"/>
  <c r="M40" i="12"/>
  <c r="M29" i="12" s="1"/>
  <c r="J40" i="12"/>
  <c r="J29" i="12" s="1"/>
  <c r="I40" i="12"/>
  <c r="I29" i="12" s="1"/>
  <c r="H40" i="12"/>
  <c r="H29" i="12" s="1"/>
  <c r="G40" i="12"/>
  <c r="G29" i="12" s="1"/>
  <c r="F40" i="12"/>
  <c r="F29" i="12" s="1"/>
  <c r="E40" i="12"/>
  <c r="E29" i="12" s="1"/>
  <c r="D40" i="12"/>
  <c r="D29" i="12" s="1"/>
  <c r="C40" i="12"/>
  <c r="C29" i="12" s="1"/>
  <c r="B40" i="12"/>
  <c r="B29" i="12" s="1"/>
  <c r="L39" i="11"/>
  <c r="L50" i="11" s="1"/>
  <c r="L158" i="16" s="1"/>
  <c r="M39" i="11"/>
  <c r="J39" i="11"/>
  <c r="I39" i="11"/>
  <c r="H39" i="11"/>
  <c r="H50" i="11" s="1"/>
  <c r="H158" i="16" s="1"/>
  <c r="G39" i="11"/>
  <c r="F39" i="11"/>
  <c r="E39" i="11"/>
  <c r="D39" i="11"/>
  <c r="D50" i="11" s="1"/>
  <c r="D158" i="16" s="1"/>
  <c r="C39" i="11"/>
  <c r="B39" i="11"/>
  <c r="L42" i="10"/>
  <c r="L29" i="10" s="1"/>
  <c r="M42" i="10"/>
  <c r="M29" i="10" s="1"/>
  <c r="J42" i="10"/>
  <c r="J29" i="10" s="1"/>
  <c r="I42" i="10"/>
  <c r="I29" i="10" s="1"/>
  <c r="H42" i="10"/>
  <c r="H29" i="10" s="1"/>
  <c r="G42" i="10"/>
  <c r="G29" i="10" s="1"/>
  <c r="F42" i="10"/>
  <c r="F29" i="10" s="1"/>
  <c r="E42" i="10"/>
  <c r="E29" i="10" s="1"/>
  <c r="D42" i="10"/>
  <c r="D29" i="10" s="1"/>
  <c r="C42" i="10"/>
  <c r="C29" i="10" s="1"/>
  <c r="B42" i="10"/>
  <c r="B29" i="10" s="1"/>
  <c r="L39" i="9"/>
  <c r="L29" i="9" s="1"/>
  <c r="L142" i="16" s="1"/>
  <c r="M39" i="9"/>
  <c r="M29" i="9" s="1"/>
  <c r="J39" i="9"/>
  <c r="J29" i="9" s="1"/>
  <c r="I39" i="9"/>
  <c r="I29" i="9" s="1"/>
  <c r="H39" i="9"/>
  <c r="H29" i="9" s="1"/>
  <c r="G39" i="9"/>
  <c r="G29" i="9" s="1"/>
  <c r="F39" i="9"/>
  <c r="F29" i="9" s="1"/>
  <c r="E39" i="9"/>
  <c r="E29" i="9" s="1"/>
  <c r="D39" i="9"/>
  <c r="D29" i="9" s="1"/>
  <c r="C39" i="9"/>
  <c r="C29" i="9" s="1"/>
  <c r="B39" i="9"/>
  <c r="B29" i="9" s="1"/>
  <c r="L39" i="8"/>
  <c r="M39" i="8"/>
  <c r="J39" i="8"/>
  <c r="I39" i="8"/>
  <c r="H39" i="8"/>
  <c r="G39" i="8"/>
  <c r="F39" i="8"/>
  <c r="E39" i="8"/>
  <c r="D39" i="8"/>
  <c r="C39" i="8"/>
  <c r="B39" i="8"/>
  <c r="G29" i="7"/>
  <c r="I29" i="7"/>
  <c r="H29" i="7"/>
  <c r="F29" i="7"/>
  <c r="E29" i="7"/>
  <c r="D29" i="7"/>
  <c r="L29" i="7"/>
  <c r="M29" i="7"/>
  <c r="J29" i="7"/>
  <c r="C39" i="7"/>
  <c r="B29" i="7"/>
  <c r="L39" i="6"/>
  <c r="K40" i="6" s="1"/>
  <c r="M39" i="6"/>
  <c r="J39" i="6"/>
  <c r="I39" i="6"/>
  <c r="H39" i="6"/>
  <c r="G39" i="6"/>
  <c r="F39" i="6"/>
  <c r="E39" i="6"/>
  <c r="D39" i="6"/>
  <c r="C39" i="6"/>
  <c r="B39" i="6"/>
  <c r="L39" i="5"/>
  <c r="M39" i="5"/>
  <c r="J39" i="5"/>
  <c r="I39" i="5"/>
  <c r="I29" i="5" s="1"/>
  <c r="H39" i="5"/>
  <c r="I40" i="5" s="1"/>
  <c r="G39" i="5"/>
  <c r="F39" i="5"/>
  <c r="E39" i="5"/>
  <c r="E29" i="5" s="1"/>
  <c r="D39" i="5"/>
  <c r="E40" i="5" s="1"/>
  <c r="C39" i="5"/>
  <c r="B39" i="5"/>
  <c r="B29" i="5" s="1"/>
  <c r="L40" i="4"/>
  <c r="M102" i="16"/>
  <c r="I102" i="16"/>
  <c r="H102" i="16"/>
  <c r="G102" i="16"/>
  <c r="D102" i="16"/>
  <c r="C102" i="16"/>
  <c r="B102" i="16"/>
  <c r="B36" i="3"/>
  <c r="C36" i="3"/>
  <c r="C29" i="3" s="1"/>
  <c r="C94" i="16" s="1"/>
  <c r="D36" i="3"/>
  <c r="E36" i="3"/>
  <c r="E37" i="3" s="1"/>
  <c r="F36" i="3"/>
  <c r="F29" i="3" s="1"/>
  <c r="F94" i="16" s="1"/>
  <c r="G36" i="3"/>
  <c r="G29" i="3" s="1"/>
  <c r="G94" i="16" s="1"/>
  <c r="H36" i="3"/>
  <c r="I36" i="3"/>
  <c r="J36" i="3"/>
  <c r="J29" i="3" s="1"/>
  <c r="J94" i="16" s="1"/>
  <c r="M36" i="3"/>
  <c r="M29" i="3" s="1"/>
  <c r="M94" i="16" s="1"/>
  <c r="L36" i="3"/>
  <c r="K37" i="3" s="1"/>
  <c r="L29" i="11" l="1"/>
  <c r="B29" i="8"/>
  <c r="B42" i="8"/>
  <c r="B134" i="16" s="1"/>
  <c r="F29" i="8"/>
  <c r="F42" i="8"/>
  <c r="F134" i="16" s="1"/>
  <c r="J29" i="8"/>
  <c r="J42" i="8"/>
  <c r="J134" i="16" s="1"/>
  <c r="C29" i="8"/>
  <c r="C42" i="8"/>
  <c r="C134" i="16" s="1"/>
  <c r="G29" i="8"/>
  <c r="G42" i="8"/>
  <c r="G134" i="16" s="1"/>
  <c r="M29" i="8"/>
  <c r="M42" i="8"/>
  <c r="M134" i="16" s="1"/>
  <c r="D42" i="8"/>
  <c r="D134" i="16" s="1"/>
  <c r="D29" i="8"/>
  <c r="H29" i="8"/>
  <c r="H42" i="8"/>
  <c r="H134" i="16" s="1"/>
  <c r="L29" i="8"/>
  <c r="L42" i="8"/>
  <c r="L134" i="16" s="1"/>
  <c r="E42" i="8"/>
  <c r="E134" i="16" s="1"/>
  <c r="E29" i="8"/>
  <c r="I42" i="8"/>
  <c r="I134" i="16" s="1"/>
  <c r="I29" i="8"/>
  <c r="C41" i="7"/>
  <c r="C29" i="7" s="1"/>
  <c r="C40" i="6"/>
  <c r="F40" i="5"/>
  <c r="J40" i="5"/>
  <c r="F29" i="5"/>
  <c r="D40" i="5"/>
  <c r="H40" i="5"/>
  <c r="M40" i="5"/>
  <c r="L29" i="5"/>
  <c r="K40" i="5"/>
  <c r="J29" i="5"/>
  <c r="G37" i="3"/>
  <c r="H37" i="3"/>
  <c r="D37" i="3"/>
  <c r="C37" i="3"/>
  <c r="B29" i="13"/>
  <c r="B61" i="13"/>
  <c r="B174" i="16" s="1"/>
  <c r="M174" i="16"/>
  <c r="J29" i="13"/>
  <c r="J61" i="13"/>
  <c r="J174" i="16" s="1"/>
  <c r="L174" i="16"/>
  <c r="E29" i="11"/>
  <c r="E50" i="11"/>
  <c r="E158" i="16" s="1"/>
  <c r="B29" i="11"/>
  <c r="B50" i="11"/>
  <c r="B158" i="16" s="1"/>
  <c r="F29" i="11"/>
  <c r="F50" i="11"/>
  <c r="F158" i="16" s="1"/>
  <c r="J29" i="11"/>
  <c r="J50" i="11"/>
  <c r="J158" i="16" s="1"/>
  <c r="H29" i="11"/>
  <c r="I29" i="11"/>
  <c r="I50" i="11"/>
  <c r="I158" i="16" s="1"/>
  <c r="C29" i="11"/>
  <c r="C50" i="11"/>
  <c r="C158" i="16" s="1"/>
  <c r="G29" i="11"/>
  <c r="G50" i="11"/>
  <c r="G158" i="16" s="1"/>
  <c r="D29" i="11"/>
  <c r="M29" i="11"/>
  <c r="M50" i="11"/>
  <c r="M158" i="16" s="1"/>
  <c r="L37" i="3"/>
  <c r="I29" i="13"/>
  <c r="I174" i="16"/>
  <c r="H29" i="13"/>
  <c r="H174" i="16"/>
  <c r="G29" i="13"/>
  <c r="G174" i="16"/>
  <c r="F29" i="13"/>
  <c r="F174" i="16"/>
  <c r="D40" i="4"/>
  <c r="E40" i="4"/>
  <c r="E102" i="16"/>
  <c r="F40" i="4"/>
  <c r="J40" i="4"/>
  <c r="L102" i="16"/>
  <c r="E29" i="13"/>
  <c r="E174" i="16"/>
  <c r="I40" i="6"/>
  <c r="D40" i="6"/>
  <c r="H40" i="6"/>
  <c r="L40" i="6"/>
  <c r="D29" i="13"/>
  <c r="D174" i="16"/>
  <c r="E40" i="6"/>
  <c r="C29" i="13"/>
  <c r="C174" i="16"/>
  <c r="M29" i="5"/>
  <c r="C29" i="5"/>
  <c r="L40" i="5"/>
  <c r="J37" i="3"/>
  <c r="B29" i="3"/>
  <c r="B94" i="16" s="1"/>
  <c r="M37" i="3"/>
  <c r="I40" i="4"/>
  <c r="C40" i="4"/>
  <c r="J102" i="16"/>
  <c r="F102" i="16"/>
  <c r="H29" i="5"/>
  <c r="D29" i="5"/>
  <c r="C40" i="5"/>
  <c r="G40" i="5"/>
  <c r="I29" i="3"/>
  <c r="I94" i="16" s="1"/>
  <c r="H40" i="4"/>
  <c r="F40" i="6"/>
  <c r="J40" i="6"/>
  <c r="G40" i="6"/>
  <c r="G29" i="5"/>
  <c r="E29" i="3"/>
  <c r="E94" i="16" s="1"/>
  <c r="L29" i="3"/>
  <c r="L94" i="16" s="1"/>
  <c r="H29" i="3"/>
  <c r="H94" i="16" s="1"/>
  <c r="D29" i="3"/>
  <c r="D94" i="16" s="1"/>
  <c r="M40" i="4"/>
  <c r="M40" i="6"/>
  <c r="G40" i="4"/>
  <c r="F37" i="3"/>
  <c r="I37" i="3"/>
  <c r="L41" i="18" l="1"/>
  <c r="K42" i="18" s="1"/>
  <c r="M41" i="18"/>
  <c r="J41" i="18"/>
  <c r="I41" i="18"/>
  <c r="I30" i="18" s="1"/>
  <c r="H41" i="18"/>
  <c r="H30" i="18" s="1"/>
  <c r="G41" i="18"/>
  <c r="F41" i="18"/>
  <c r="E41" i="18"/>
  <c r="D41" i="18"/>
  <c r="C41" i="18"/>
  <c r="B41" i="18"/>
  <c r="B30" i="18" s="1"/>
  <c r="E42" i="18" l="1"/>
  <c r="I42" i="18"/>
  <c r="F42" i="18"/>
  <c r="J42" i="18"/>
  <c r="E30" i="18"/>
  <c r="J30" i="18"/>
  <c r="C42" i="18"/>
  <c r="G42" i="18"/>
  <c r="D42" i="18"/>
  <c r="L42" i="18"/>
  <c r="L30" i="18"/>
  <c r="D30" i="18"/>
  <c r="F30" i="18"/>
  <c r="M42" i="18"/>
  <c r="H42" i="18"/>
  <c r="M30" i="18"/>
  <c r="G30" i="18"/>
  <c r="C30" i="18"/>
  <c r="J45" i="16"/>
  <c r="B26" i="12" l="1"/>
  <c r="C26" i="12"/>
  <c r="D26" i="12"/>
  <c r="E26" i="12"/>
  <c r="F26" i="12"/>
  <c r="G26" i="12"/>
  <c r="H26" i="12"/>
  <c r="I26" i="12"/>
  <c r="J26" i="12"/>
  <c r="M26" i="12"/>
  <c r="L26" i="12"/>
  <c r="B26" i="17"/>
  <c r="C26" i="17"/>
  <c r="D26" i="17"/>
  <c r="E26" i="17"/>
  <c r="F26" i="17"/>
  <c r="G26" i="17"/>
  <c r="H26" i="17"/>
  <c r="I26" i="17"/>
  <c r="J26" i="17"/>
  <c r="M26" i="17"/>
  <c r="L26" i="17"/>
  <c r="E71" i="16"/>
  <c r="I71" i="16"/>
  <c r="C72" i="16"/>
  <c r="D72" i="16"/>
  <c r="E72" i="16"/>
  <c r="F72" i="16"/>
  <c r="G72" i="16"/>
  <c r="H72" i="16"/>
  <c r="I72" i="16"/>
  <c r="J72" i="16"/>
  <c r="M72" i="16"/>
  <c r="L72" i="16"/>
  <c r="C73" i="16"/>
  <c r="D73" i="16"/>
  <c r="E73" i="16"/>
  <c r="F73" i="16"/>
  <c r="G73" i="16"/>
  <c r="H73" i="16"/>
  <c r="I73" i="16"/>
  <c r="J73" i="16"/>
  <c r="M73" i="16"/>
  <c r="L73" i="16"/>
  <c r="C74" i="16"/>
  <c r="D74" i="16"/>
  <c r="E74" i="16"/>
  <c r="F74" i="16"/>
  <c r="G74" i="16"/>
  <c r="H74" i="16"/>
  <c r="I74" i="16"/>
  <c r="J74" i="16"/>
  <c r="M74" i="16"/>
  <c r="L74" i="16"/>
  <c r="C75" i="16"/>
  <c r="D75" i="16"/>
  <c r="E75" i="16"/>
  <c r="F75" i="16"/>
  <c r="G75" i="16"/>
  <c r="H75" i="16"/>
  <c r="I75" i="16"/>
  <c r="J75" i="16"/>
  <c r="M75" i="16"/>
  <c r="L75" i="16"/>
  <c r="B72" i="16"/>
  <c r="B73" i="16"/>
  <c r="B74" i="16"/>
  <c r="B75" i="16"/>
  <c r="M45" i="16"/>
  <c r="L45" i="16"/>
  <c r="Q243" i="16" l="1"/>
  <c r="P243" i="16"/>
  <c r="R266" i="16"/>
  <c r="R267" i="16"/>
  <c r="R268" i="16"/>
  <c r="R269" i="16"/>
  <c r="R270" i="16"/>
  <c r="R271" i="16"/>
  <c r="M148" i="16"/>
  <c r="L179" i="16" l="1"/>
  <c r="L177" i="16"/>
  <c r="L172" i="16"/>
  <c r="L171" i="16"/>
  <c r="L170" i="16"/>
  <c r="L169" i="16"/>
  <c r="L161" i="16"/>
  <c r="L145" i="16"/>
  <c r="L137" i="16"/>
  <c r="L130" i="16"/>
  <c r="L129" i="16"/>
  <c r="L126" i="16"/>
  <c r="L121" i="16"/>
  <c r="L113" i="16"/>
  <c r="L110" i="16"/>
  <c r="M110" i="16"/>
  <c r="J110" i="16"/>
  <c r="L97" i="16"/>
  <c r="L89" i="16"/>
  <c r="L86" i="16"/>
  <c r="L105" i="16"/>
  <c r="L84" i="16"/>
  <c r="L81" i="16"/>
  <c r="O17" i="16"/>
  <c r="Q17" i="16"/>
  <c r="L242" i="16" l="1"/>
  <c r="I119" i="11" l="1"/>
  <c r="L2" i="16" l="1"/>
  <c r="K3" i="16" s="1"/>
  <c r="M2" i="16"/>
  <c r="J2" i="16"/>
  <c r="I2" i="16"/>
  <c r="H2" i="16"/>
  <c r="G2" i="16"/>
  <c r="F2" i="16"/>
  <c r="E2" i="16"/>
  <c r="D2" i="16"/>
  <c r="C2" i="16"/>
  <c r="B2" i="16"/>
  <c r="K4" i="16" s="1"/>
  <c r="L29" i="24" l="1"/>
  <c r="M29" i="24"/>
  <c r="J29" i="24"/>
  <c r="I29" i="24"/>
  <c r="H29" i="24"/>
  <c r="G29" i="24"/>
  <c r="F29" i="24"/>
  <c r="E29" i="24"/>
  <c r="D29" i="24"/>
  <c r="C29" i="24"/>
  <c r="B29" i="24"/>
  <c r="L26" i="14"/>
  <c r="M26" i="14"/>
  <c r="J26" i="14"/>
  <c r="I26" i="14"/>
  <c r="H26" i="14"/>
  <c r="G26" i="14"/>
  <c r="F26" i="14"/>
  <c r="E26" i="14"/>
  <c r="D26" i="14"/>
  <c r="C26" i="14"/>
  <c r="B26" i="14"/>
  <c r="J26" i="13"/>
  <c r="J25" i="13" s="1"/>
  <c r="I26" i="13"/>
  <c r="I25" i="13" s="1"/>
  <c r="H26" i="13"/>
  <c r="H25" i="13" s="1"/>
  <c r="G26" i="13"/>
  <c r="G25" i="13" s="1"/>
  <c r="F26" i="13"/>
  <c r="F25" i="13" s="1"/>
  <c r="E26" i="13"/>
  <c r="E25" i="13" s="1"/>
  <c r="D26" i="13"/>
  <c r="D25" i="13" s="1"/>
  <c r="C26" i="13"/>
  <c r="C25" i="13" s="1"/>
  <c r="B25" i="13"/>
  <c r="L25" i="12"/>
  <c r="M25" i="12"/>
  <c r="I25" i="12"/>
  <c r="H25" i="12"/>
  <c r="F25" i="12"/>
  <c r="E25" i="12"/>
  <c r="D25" i="12"/>
  <c r="C25" i="12"/>
  <c r="B25" i="12"/>
  <c r="G25" i="12"/>
  <c r="J25" i="12" l="1"/>
  <c r="L26" i="11"/>
  <c r="M26" i="11"/>
  <c r="M25" i="11" s="1"/>
  <c r="J26" i="11"/>
  <c r="J25" i="11" s="1"/>
  <c r="I26" i="11"/>
  <c r="I25" i="11" s="1"/>
  <c r="H26" i="11"/>
  <c r="G26" i="11"/>
  <c r="F26" i="11"/>
  <c r="E26" i="11"/>
  <c r="D26" i="11"/>
  <c r="C26" i="11"/>
  <c r="B26" i="11"/>
  <c r="L26" i="10"/>
  <c r="L25" i="10" s="1"/>
  <c r="M26" i="10"/>
  <c r="M25" i="10" s="1"/>
  <c r="J26" i="10"/>
  <c r="J25" i="10" s="1"/>
  <c r="I26" i="10"/>
  <c r="I25" i="10" s="1"/>
  <c r="H26" i="10"/>
  <c r="G26" i="10"/>
  <c r="F26" i="10"/>
  <c r="E26" i="10"/>
  <c r="D26" i="10"/>
  <c r="C26" i="10"/>
  <c r="B26" i="10"/>
  <c r="L26" i="9"/>
  <c r="L25" i="9" s="1"/>
  <c r="M26" i="9"/>
  <c r="M25" i="9" s="1"/>
  <c r="J26" i="9"/>
  <c r="J25" i="9" s="1"/>
  <c r="I26" i="9"/>
  <c r="I25" i="9" s="1"/>
  <c r="H26" i="9"/>
  <c r="G26" i="9"/>
  <c r="F26" i="9"/>
  <c r="E26" i="9"/>
  <c r="D26" i="9"/>
  <c r="C26" i="9"/>
  <c r="B26" i="9"/>
  <c r="L26" i="8"/>
  <c r="L25" i="8" s="1"/>
  <c r="M26" i="8"/>
  <c r="M25" i="8" s="1"/>
  <c r="J26" i="8"/>
  <c r="J25" i="8" s="1"/>
  <c r="I26" i="8"/>
  <c r="I25" i="8" s="1"/>
  <c r="H26" i="8"/>
  <c r="G26" i="8"/>
  <c r="F26" i="8"/>
  <c r="E26" i="8"/>
  <c r="D26" i="8"/>
  <c r="C26" i="8"/>
  <c r="B26" i="8"/>
  <c r="L26" i="7"/>
  <c r="L25" i="7" s="1"/>
  <c r="M26" i="7"/>
  <c r="M25" i="7" s="1"/>
  <c r="J26" i="7"/>
  <c r="J25" i="7" s="1"/>
  <c r="I26" i="7"/>
  <c r="I25" i="7" s="1"/>
  <c r="H26" i="7"/>
  <c r="G26" i="7"/>
  <c r="F26" i="7"/>
  <c r="E26" i="7"/>
  <c r="D26" i="7"/>
  <c r="C26" i="7"/>
  <c r="B26" i="7"/>
  <c r="L26" i="6"/>
  <c r="L25" i="6" s="1"/>
  <c r="M26" i="6"/>
  <c r="M25" i="6" s="1"/>
  <c r="J26" i="6"/>
  <c r="J25" i="6" s="1"/>
  <c r="I26" i="6"/>
  <c r="I25" i="6" s="1"/>
  <c r="H26" i="6"/>
  <c r="G26" i="6"/>
  <c r="F26" i="6"/>
  <c r="E26" i="6"/>
  <c r="D26" i="6"/>
  <c r="C26" i="6"/>
  <c r="B26" i="6"/>
  <c r="I12" i="6"/>
  <c r="G12" i="6"/>
  <c r="F12" i="6"/>
  <c r="E12" i="6"/>
  <c r="D12" i="6"/>
  <c r="C12" i="6"/>
  <c r="B12" i="6"/>
  <c r="L12" i="6"/>
  <c r="M12" i="6"/>
  <c r="J12" i="6"/>
  <c r="H12" i="6"/>
  <c r="L26" i="5"/>
  <c r="L25" i="5" s="1"/>
  <c r="M26" i="5"/>
  <c r="M25" i="5" s="1"/>
  <c r="J26" i="5"/>
  <c r="J25" i="5" s="1"/>
  <c r="I26" i="5"/>
  <c r="I25" i="5" s="1"/>
  <c r="H26" i="5"/>
  <c r="G26" i="5"/>
  <c r="F26" i="5"/>
  <c r="E26" i="5"/>
  <c r="D26" i="5"/>
  <c r="C26" i="5"/>
  <c r="B26" i="5"/>
  <c r="H29" i="18"/>
  <c r="G29" i="18"/>
  <c r="F29" i="18"/>
  <c r="E29" i="18"/>
  <c r="D29" i="18"/>
  <c r="C29" i="18"/>
  <c r="B29" i="18"/>
  <c r="L27" i="4"/>
  <c r="L26" i="4" s="1"/>
  <c r="M27" i="4"/>
  <c r="M26" i="4" s="1"/>
  <c r="J27" i="4"/>
  <c r="J26" i="4" s="1"/>
  <c r="I27" i="4"/>
  <c r="H27" i="4"/>
  <c r="G27" i="4"/>
  <c r="F27" i="4"/>
  <c r="E27" i="4"/>
  <c r="D27" i="4"/>
  <c r="C27" i="4"/>
  <c r="B27" i="4"/>
  <c r="L60" i="36"/>
  <c r="M60" i="36"/>
  <c r="J60" i="36"/>
  <c r="I60" i="36"/>
  <c r="H60" i="36"/>
  <c r="G60" i="36"/>
  <c r="F60" i="36"/>
  <c r="E60" i="36"/>
  <c r="D60" i="36"/>
  <c r="C60" i="36"/>
  <c r="B60" i="36"/>
  <c r="L53" i="34" l="1"/>
  <c r="M53" i="34"/>
  <c r="J53" i="34"/>
  <c r="I53" i="34"/>
  <c r="H53" i="34"/>
  <c r="G53" i="34"/>
  <c r="F53" i="34"/>
  <c r="E53" i="34"/>
  <c r="D53" i="34"/>
  <c r="C53" i="34"/>
  <c r="B53" i="34"/>
  <c r="L27" i="18" l="1"/>
  <c r="M27" i="18"/>
  <c r="J27" i="18"/>
  <c r="I27" i="18"/>
  <c r="H27" i="18"/>
  <c r="G27" i="18"/>
  <c r="F27" i="18"/>
  <c r="E27" i="18"/>
  <c r="D27" i="18"/>
  <c r="C27" i="18"/>
  <c r="B27" i="18"/>
  <c r="L71" i="16" l="1"/>
  <c r="I26" i="42"/>
  <c r="E26" i="42"/>
  <c r="K26" i="42"/>
  <c r="H26" i="42"/>
  <c r="G26" i="42"/>
  <c r="D26" i="42"/>
  <c r="C26" i="42"/>
  <c r="L26" i="42" l="1"/>
  <c r="B26" i="42"/>
  <c r="F26" i="42"/>
  <c r="J26" i="42"/>
  <c r="L21" i="36" l="1"/>
  <c r="L26" i="36" s="1"/>
  <c r="M21" i="36"/>
  <c r="J21" i="36"/>
  <c r="J26" i="36" s="1"/>
  <c r="I21" i="36"/>
  <c r="H21" i="36"/>
  <c r="G21" i="36"/>
  <c r="F21" i="36"/>
  <c r="E21" i="36"/>
  <c r="D21" i="36"/>
  <c r="C21" i="36"/>
  <c r="B21" i="36"/>
  <c r="M28" i="11"/>
  <c r="J28" i="11"/>
  <c r="I28" i="11"/>
  <c r="I26" i="36" l="1"/>
  <c r="B26" i="36"/>
  <c r="F26" i="36"/>
  <c r="C26" i="36"/>
  <c r="G26" i="36"/>
  <c r="E26" i="36"/>
  <c r="D26" i="36"/>
  <c r="H26" i="36"/>
  <c r="M26" i="36"/>
  <c r="L149" i="16" l="1"/>
  <c r="L133" i="16" l="1"/>
  <c r="L141" i="16"/>
  <c r="L101" i="16"/>
  <c r="L181" i="16"/>
  <c r="L189" i="16"/>
  <c r="L117" i="16"/>
  <c r="L77" i="16"/>
  <c r="L241" i="16"/>
  <c r="L93" i="16"/>
  <c r="L109" i="16"/>
  <c r="L125" i="16"/>
  <c r="L173" i="16"/>
  <c r="L85" i="16"/>
  <c r="L165" i="16"/>
  <c r="L240" i="16"/>
  <c r="Q55" i="16" l="1"/>
  <c r="Q57" i="16" s="1"/>
  <c r="P55" i="16"/>
  <c r="P57" i="16" s="1"/>
  <c r="O55" i="16"/>
  <c r="O57" i="16" s="1"/>
  <c r="D177" i="16" l="1"/>
  <c r="E177" i="16"/>
  <c r="F177" i="16"/>
  <c r="G177" i="16"/>
  <c r="H177" i="16"/>
  <c r="I177" i="16"/>
  <c r="J177" i="16"/>
  <c r="M177" i="16"/>
  <c r="D178" i="16"/>
  <c r="E178" i="16"/>
  <c r="F178" i="16"/>
  <c r="G178" i="16"/>
  <c r="H178" i="16"/>
  <c r="I178" i="16"/>
  <c r="J178" i="16"/>
  <c r="M178" i="16"/>
  <c r="D180" i="16"/>
  <c r="E180" i="16"/>
  <c r="F180" i="16"/>
  <c r="G180" i="16"/>
  <c r="H180" i="16"/>
  <c r="I180" i="16"/>
  <c r="J180" i="16"/>
  <c r="M180" i="16"/>
  <c r="C178" i="16"/>
  <c r="C180" i="16"/>
  <c r="C177" i="16"/>
  <c r="B178" i="16"/>
  <c r="B180" i="16"/>
  <c r="B177" i="16"/>
  <c r="D169" i="16"/>
  <c r="E169" i="16"/>
  <c r="F169" i="16"/>
  <c r="G169" i="16"/>
  <c r="H169" i="16"/>
  <c r="I169" i="16"/>
  <c r="J169" i="16"/>
  <c r="M169" i="16"/>
  <c r="D170" i="16"/>
  <c r="E170" i="16"/>
  <c r="F170" i="16"/>
  <c r="G170" i="16"/>
  <c r="H170" i="16"/>
  <c r="I170" i="16"/>
  <c r="J170" i="16"/>
  <c r="M170" i="16"/>
  <c r="D171" i="16"/>
  <c r="E171" i="16"/>
  <c r="F171" i="16"/>
  <c r="G171" i="16"/>
  <c r="H171" i="16"/>
  <c r="I171" i="16"/>
  <c r="J171" i="16"/>
  <c r="M171" i="16"/>
  <c r="D172" i="16"/>
  <c r="E172" i="16"/>
  <c r="F172" i="16"/>
  <c r="G172" i="16"/>
  <c r="H172" i="16"/>
  <c r="I172" i="16"/>
  <c r="J172" i="16"/>
  <c r="M172" i="16"/>
  <c r="C170" i="16"/>
  <c r="C171" i="16"/>
  <c r="C172" i="16"/>
  <c r="C169" i="16"/>
  <c r="B170" i="16"/>
  <c r="B171" i="16"/>
  <c r="B172" i="16"/>
  <c r="B169" i="16"/>
  <c r="D161" i="16"/>
  <c r="E161" i="16"/>
  <c r="F161" i="16"/>
  <c r="G161" i="16"/>
  <c r="H161" i="16"/>
  <c r="I161" i="16"/>
  <c r="J161" i="16"/>
  <c r="M161" i="16"/>
  <c r="D162" i="16"/>
  <c r="E162" i="16"/>
  <c r="F162" i="16"/>
  <c r="G162" i="16"/>
  <c r="H162" i="16"/>
  <c r="I162" i="16"/>
  <c r="J162" i="16"/>
  <c r="M162" i="16"/>
  <c r="D163" i="16"/>
  <c r="E163" i="16"/>
  <c r="F163" i="16"/>
  <c r="G163" i="16"/>
  <c r="H163" i="16"/>
  <c r="I163" i="16"/>
  <c r="J163" i="16"/>
  <c r="M163" i="16"/>
  <c r="D164" i="16"/>
  <c r="E164" i="16"/>
  <c r="F164" i="16"/>
  <c r="G164" i="16"/>
  <c r="H164" i="16"/>
  <c r="I164" i="16"/>
  <c r="J164" i="16"/>
  <c r="M164" i="16"/>
  <c r="C162" i="16"/>
  <c r="C163" i="16"/>
  <c r="C164" i="16"/>
  <c r="C161" i="16"/>
  <c r="B162" i="16"/>
  <c r="B163" i="16"/>
  <c r="B164" i="16"/>
  <c r="B161" i="16"/>
  <c r="D154" i="16"/>
  <c r="E154" i="16"/>
  <c r="F154" i="16"/>
  <c r="G154" i="16"/>
  <c r="H154" i="16"/>
  <c r="I154" i="16"/>
  <c r="J154" i="16"/>
  <c r="M154" i="16"/>
  <c r="C154" i="16"/>
  <c r="B154" i="16"/>
  <c r="D146" i="16"/>
  <c r="E146" i="16"/>
  <c r="F146" i="16"/>
  <c r="G146" i="16"/>
  <c r="H146" i="16"/>
  <c r="I146" i="16"/>
  <c r="J146" i="16"/>
  <c r="M146" i="16"/>
  <c r="D147" i="16"/>
  <c r="E147" i="16"/>
  <c r="F147" i="16"/>
  <c r="G147" i="16"/>
  <c r="H147" i="16"/>
  <c r="I147" i="16"/>
  <c r="J147" i="16"/>
  <c r="M147" i="16"/>
  <c r="C146" i="16"/>
  <c r="C147" i="16"/>
  <c r="B146" i="16"/>
  <c r="B147" i="16"/>
  <c r="D138" i="16"/>
  <c r="E138" i="16"/>
  <c r="F138" i="16"/>
  <c r="G138" i="16"/>
  <c r="H138" i="16"/>
  <c r="I138" i="16"/>
  <c r="J138" i="16"/>
  <c r="M138" i="16"/>
  <c r="D139" i="16"/>
  <c r="E139" i="16"/>
  <c r="F139" i="16"/>
  <c r="G139" i="16"/>
  <c r="H139" i="16"/>
  <c r="I139" i="16"/>
  <c r="J139" i="16"/>
  <c r="M139" i="16"/>
  <c r="C138" i="16"/>
  <c r="C139" i="16"/>
  <c r="B138" i="16"/>
  <c r="B139" i="16"/>
  <c r="D131" i="16"/>
  <c r="E131" i="16"/>
  <c r="F131" i="16"/>
  <c r="G131" i="16"/>
  <c r="H131" i="16"/>
  <c r="I131" i="16"/>
  <c r="J131" i="16"/>
  <c r="M131" i="16"/>
  <c r="D132" i="16"/>
  <c r="E132" i="16"/>
  <c r="F132" i="16"/>
  <c r="G132" i="16"/>
  <c r="H132" i="16"/>
  <c r="I132" i="16"/>
  <c r="J132" i="16"/>
  <c r="M132" i="16"/>
  <c r="C131" i="16"/>
  <c r="C132" i="16"/>
  <c r="B131" i="16"/>
  <c r="B132" i="16"/>
  <c r="D124" i="16"/>
  <c r="E124" i="16"/>
  <c r="F124" i="16"/>
  <c r="G124" i="16"/>
  <c r="H124" i="16"/>
  <c r="I124" i="16"/>
  <c r="J124" i="16"/>
  <c r="M124" i="16"/>
  <c r="C124" i="16"/>
  <c r="B124" i="16"/>
  <c r="D114" i="16"/>
  <c r="E114" i="16"/>
  <c r="F114" i="16"/>
  <c r="G114" i="16"/>
  <c r="H114" i="16"/>
  <c r="I114" i="16"/>
  <c r="J114" i="16"/>
  <c r="M114" i="16"/>
  <c r="D115" i="16"/>
  <c r="E115" i="16"/>
  <c r="F115" i="16"/>
  <c r="G115" i="16"/>
  <c r="H115" i="16"/>
  <c r="I115" i="16"/>
  <c r="J115" i="16"/>
  <c r="M115" i="16"/>
  <c r="C114" i="16"/>
  <c r="C115" i="16"/>
  <c r="B114" i="16"/>
  <c r="B115" i="16"/>
  <c r="D106" i="16"/>
  <c r="E106" i="16"/>
  <c r="F106" i="16"/>
  <c r="G106" i="16"/>
  <c r="H106" i="16"/>
  <c r="I106" i="16"/>
  <c r="J106" i="16"/>
  <c r="M106" i="16"/>
  <c r="D107" i="16"/>
  <c r="E107" i="16"/>
  <c r="F107" i="16"/>
  <c r="G107" i="16"/>
  <c r="H107" i="16"/>
  <c r="I107" i="16"/>
  <c r="J107" i="16"/>
  <c r="M107" i="16"/>
  <c r="C106" i="16"/>
  <c r="C107" i="16"/>
  <c r="B106" i="16"/>
  <c r="B107" i="16"/>
  <c r="D98" i="16"/>
  <c r="E98" i="16"/>
  <c r="F98" i="16"/>
  <c r="G98" i="16"/>
  <c r="H98" i="16"/>
  <c r="I98" i="16"/>
  <c r="J98" i="16"/>
  <c r="M98" i="16"/>
  <c r="D99" i="16"/>
  <c r="E99" i="16"/>
  <c r="F99" i="16"/>
  <c r="G99" i="16"/>
  <c r="H99" i="16"/>
  <c r="I99" i="16"/>
  <c r="J99" i="16"/>
  <c r="M99" i="16"/>
  <c r="C98" i="16"/>
  <c r="C99" i="16"/>
  <c r="B98" i="16"/>
  <c r="B99" i="16"/>
  <c r="M90" i="16"/>
  <c r="M91" i="16"/>
  <c r="M92" i="16"/>
  <c r="J89" i="16"/>
  <c r="D90" i="16"/>
  <c r="E90" i="16"/>
  <c r="F90" i="16"/>
  <c r="G90" i="16"/>
  <c r="H90" i="16"/>
  <c r="I90" i="16"/>
  <c r="J90" i="16"/>
  <c r="D91" i="16"/>
  <c r="E91" i="16"/>
  <c r="F91" i="16"/>
  <c r="G91" i="16"/>
  <c r="H91" i="16"/>
  <c r="I91" i="16"/>
  <c r="J91" i="16"/>
  <c r="D92" i="16"/>
  <c r="E92" i="16"/>
  <c r="F92" i="16"/>
  <c r="G92" i="16"/>
  <c r="H92" i="16"/>
  <c r="I92" i="16"/>
  <c r="J92" i="16"/>
  <c r="C90" i="16"/>
  <c r="C91" i="16"/>
  <c r="C92" i="16"/>
  <c r="B90" i="16"/>
  <c r="B91" i="16"/>
  <c r="B92" i="16"/>
  <c r="D82" i="16"/>
  <c r="E82" i="16"/>
  <c r="F82" i="16"/>
  <c r="G82" i="16"/>
  <c r="H82" i="16"/>
  <c r="I82" i="16"/>
  <c r="J82" i="16"/>
  <c r="M82" i="16"/>
  <c r="D83" i="16"/>
  <c r="E83" i="16"/>
  <c r="F83" i="16"/>
  <c r="G83" i="16"/>
  <c r="H83" i="16"/>
  <c r="I83" i="16"/>
  <c r="J83" i="16"/>
  <c r="M83" i="16"/>
  <c r="C82" i="16"/>
  <c r="C83" i="16"/>
  <c r="B82" i="16"/>
  <c r="B83" i="16"/>
  <c r="J184" i="11"/>
  <c r="M184" i="11"/>
  <c r="L184" i="11"/>
  <c r="B23" i="21" l="1"/>
  <c r="D42" i="44" s="1"/>
  <c r="H23" i="21"/>
  <c r="J42" i="44" s="1"/>
  <c r="H189" i="16"/>
  <c r="D23" i="21"/>
  <c r="F42" i="44" s="1"/>
  <c r="D189" i="16"/>
  <c r="M23" i="21"/>
  <c r="M42" i="44" s="1"/>
  <c r="M189" i="16"/>
  <c r="G23" i="21"/>
  <c r="I42" i="44" s="1"/>
  <c r="G189" i="16"/>
  <c r="C23" i="21"/>
  <c r="E42" i="44" s="1"/>
  <c r="J23" i="21"/>
  <c r="L42" i="44" s="1"/>
  <c r="F23" i="21"/>
  <c r="H42" i="44" s="1"/>
  <c r="F189" i="16"/>
  <c r="I23" i="21"/>
  <c r="K42" i="44" s="1"/>
  <c r="E189" i="16"/>
  <c r="E23" i="21"/>
  <c r="G42" i="44" s="1"/>
  <c r="I165" i="16"/>
  <c r="E165" i="16"/>
  <c r="B165" i="16"/>
  <c r="C165" i="16"/>
  <c r="H165" i="16"/>
  <c r="D165" i="16"/>
  <c r="M165" i="16"/>
  <c r="G165" i="16"/>
  <c r="J165" i="16"/>
  <c r="F165" i="16"/>
  <c r="J93" i="16"/>
  <c r="I189" i="16" l="1"/>
  <c r="C189" i="16"/>
  <c r="B189" i="16"/>
  <c r="J189" i="16"/>
  <c r="L20" i="23" l="1"/>
  <c r="B12" i="8" l="1"/>
  <c r="C12" i="8"/>
  <c r="D12" i="8"/>
  <c r="E12" i="8"/>
  <c r="F12" i="8"/>
  <c r="G12" i="8"/>
  <c r="H12" i="8"/>
  <c r="I12" i="8"/>
  <c r="J12" i="8"/>
  <c r="M12" i="8"/>
  <c r="L12" i="8"/>
  <c r="D129" i="16"/>
  <c r="G129" i="16"/>
  <c r="H129" i="16"/>
  <c r="M129" i="16"/>
  <c r="E130" i="16"/>
  <c r="G130" i="16"/>
  <c r="J130" i="16"/>
  <c r="B130" i="16" l="1"/>
  <c r="H130" i="16"/>
  <c r="D130" i="16"/>
  <c r="E25" i="8"/>
  <c r="H25" i="8"/>
  <c r="D25" i="8"/>
  <c r="G25" i="8"/>
  <c r="C25" i="8"/>
  <c r="F130" i="16"/>
  <c r="I130" i="16"/>
  <c r="M130" i="16"/>
  <c r="C130" i="16"/>
  <c r="I129" i="16"/>
  <c r="E129" i="16"/>
  <c r="J129" i="16"/>
  <c r="C129" i="16"/>
  <c r="F25" i="8" l="1"/>
  <c r="F129" i="16"/>
  <c r="B25" i="8"/>
  <c r="B129" i="16"/>
  <c r="L65" i="36" l="1"/>
  <c r="M65" i="36"/>
  <c r="M29" i="36" s="1"/>
  <c r="J65" i="36"/>
  <c r="J29" i="36" s="1"/>
  <c r="I65" i="36"/>
  <c r="I29" i="36" s="1"/>
  <c r="H65" i="36"/>
  <c r="H29" i="36" s="1"/>
  <c r="G65" i="36"/>
  <c r="G29" i="36" s="1"/>
  <c r="F65" i="36"/>
  <c r="F29" i="36" s="1"/>
  <c r="E65" i="36"/>
  <c r="E29" i="36" s="1"/>
  <c r="D65" i="36"/>
  <c r="D29" i="36" s="1"/>
  <c r="C65" i="36"/>
  <c r="C29" i="36" s="1"/>
  <c r="B65" i="36"/>
  <c r="B29" i="36" s="1"/>
  <c r="L77" i="36"/>
  <c r="M77" i="36"/>
  <c r="J77" i="36"/>
  <c r="I77" i="36"/>
  <c r="H77" i="36"/>
  <c r="G77" i="36"/>
  <c r="F77" i="36"/>
  <c r="E77" i="36"/>
  <c r="D77" i="36"/>
  <c r="C77" i="36"/>
  <c r="B77" i="36"/>
  <c r="L42" i="36"/>
  <c r="K44" i="36" s="1"/>
  <c r="M42" i="36"/>
  <c r="M43" i="36" s="1"/>
  <c r="M48" i="36" s="1"/>
  <c r="M50" i="36" s="1"/>
  <c r="J42" i="36"/>
  <c r="I42" i="36"/>
  <c r="H42" i="36"/>
  <c r="G42" i="36"/>
  <c r="F42" i="36"/>
  <c r="F43" i="36" s="1"/>
  <c r="F48" i="36" s="1"/>
  <c r="E42" i="36"/>
  <c r="D42" i="36"/>
  <c r="C42" i="36"/>
  <c r="B42" i="36"/>
  <c r="B43" i="36" s="1"/>
  <c r="B48" i="36" s="1"/>
  <c r="L12" i="36"/>
  <c r="L36" i="36" s="1"/>
  <c r="M12" i="36"/>
  <c r="M36" i="36" s="1"/>
  <c r="J12" i="36"/>
  <c r="I12" i="36"/>
  <c r="I36" i="36" s="1"/>
  <c r="H12" i="36"/>
  <c r="H36" i="36" s="1"/>
  <c r="G12" i="36"/>
  <c r="G36" i="36" s="1"/>
  <c r="F12" i="36"/>
  <c r="E12" i="36"/>
  <c r="E36" i="36" s="1"/>
  <c r="D12" i="36"/>
  <c r="D36" i="36" s="1"/>
  <c r="C12" i="36"/>
  <c r="C36" i="36" s="1"/>
  <c r="B12" i="36"/>
  <c r="L36" i="34"/>
  <c r="K41" i="34" s="1"/>
  <c r="M36" i="34"/>
  <c r="J36" i="34"/>
  <c r="I36" i="34"/>
  <c r="H36" i="34"/>
  <c r="G36" i="34"/>
  <c r="F36" i="34"/>
  <c r="E36" i="34"/>
  <c r="D36" i="34"/>
  <c r="C36" i="34"/>
  <c r="B36" i="34"/>
  <c r="L62" i="35"/>
  <c r="M62" i="35"/>
  <c r="J62" i="35"/>
  <c r="I62" i="35"/>
  <c r="H62" i="35"/>
  <c r="G62" i="35"/>
  <c r="F62" i="35"/>
  <c r="E62" i="35"/>
  <c r="D62" i="35"/>
  <c r="C62" i="35"/>
  <c r="L54" i="35"/>
  <c r="K55" i="35" s="1"/>
  <c r="M54" i="35"/>
  <c r="J54" i="35"/>
  <c r="I54" i="35"/>
  <c r="H54" i="35"/>
  <c r="G54" i="35"/>
  <c r="F54" i="35"/>
  <c r="E54" i="35"/>
  <c r="D54" i="35"/>
  <c r="C54" i="35"/>
  <c r="B54" i="35"/>
  <c r="L66" i="35"/>
  <c r="M66" i="35"/>
  <c r="J66" i="35"/>
  <c r="I66" i="35"/>
  <c r="H66" i="35"/>
  <c r="G66" i="35"/>
  <c r="F66" i="35"/>
  <c r="E66" i="35"/>
  <c r="D66" i="35"/>
  <c r="C66" i="35"/>
  <c r="B66" i="35"/>
  <c r="L35" i="35"/>
  <c r="K37" i="35" s="1"/>
  <c r="M35" i="35"/>
  <c r="J35" i="35"/>
  <c r="I35" i="35"/>
  <c r="H35" i="35"/>
  <c r="G35" i="35"/>
  <c r="F35" i="35"/>
  <c r="E35" i="35"/>
  <c r="D35" i="35"/>
  <c r="C35" i="35"/>
  <c r="L12" i="35"/>
  <c r="M12" i="35"/>
  <c r="J12" i="35"/>
  <c r="I12" i="35"/>
  <c r="H12" i="35"/>
  <c r="G12" i="35"/>
  <c r="F12" i="35"/>
  <c r="E12" i="35"/>
  <c r="D12" i="35"/>
  <c r="C12" i="35"/>
  <c r="B12" i="35"/>
  <c r="L64" i="34"/>
  <c r="M64" i="34"/>
  <c r="J64" i="34"/>
  <c r="I64" i="34"/>
  <c r="H64" i="34"/>
  <c r="G64" i="34"/>
  <c r="F64" i="34"/>
  <c r="E64" i="34"/>
  <c r="D64" i="34"/>
  <c r="C64" i="34"/>
  <c r="B64" i="34"/>
  <c r="L68" i="34"/>
  <c r="M68" i="34"/>
  <c r="H68" i="34"/>
  <c r="G68" i="34"/>
  <c r="E69" i="34"/>
  <c r="D68" i="34"/>
  <c r="C68" i="34"/>
  <c r="B68" i="34"/>
  <c r="L12" i="34"/>
  <c r="M12" i="34"/>
  <c r="J12" i="34"/>
  <c r="I12" i="34"/>
  <c r="H12" i="34"/>
  <c r="G12" i="34"/>
  <c r="F12" i="34"/>
  <c r="E12" i="34"/>
  <c r="D12" i="34"/>
  <c r="C12" i="34"/>
  <c r="B12" i="34"/>
  <c r="L29" i="36" l="1"/>
  <c r="K66" i="36"/>
  <c r="D55" i="35"/>
  <c r="M73" i="36"/>
  <c r="M57" i="36"/>
  <c r="F63" i="35"/>
  <c r="J63" i="35"/>
  <c r="I69" i="34"/>
  <c r="F69" i="34"/>
  <c r="J69" i="34"/>
  <c r="C69" i="34"/>
  <c r="G69" i="34"/>
  <c r="E68" i="34"/>
  <c r="M69" i="34"/>
  <c r="I68" i="34"/>
  <c r="F68" i="34"/>
  <c r="J68" i="34"/>
  <c r="D69" i="34"/>
  <c r="H69" i="34"/>
  <c r="L69" i="34"/>
  <c r="D70" i="36"/>
  <c r="H70" i="36"/>
  <c r="L70" i="36"/>
  <c r="C44" i="36"/>
  <c r="E66" i="36"/>
  <c r="E78" i="36"/>
  <c r="E74" i="36"/>
  <c r="I74" i="36"/>
  <c r="F66" i="36"/>
  <c r="B74" i="36"/>
  <c r="F74" i="36"/>
  <c r="J74" i="36"/>
  <c r="B70" i="36"/>
  <c r="J70" i="36"/>
  <c r="C66" i="36"/>
  <c r="G66" i="36"/>
  <c r="M66" i="36"/>
  <c r="C74" i="36"/>
  <c r="G74" i="36"/>
  <c r="M44" i="36"/>
  <c r="G43" i="36"/>
  <c r="G48" i="36" s="1"/>
  <c r="G50" i="36" s="1"/>
  <c r="G57" i="36" s="1"/>
  <c r="D78" i="36"/>
  <c r="H78" i="36"/>
  <c r="L78" i="36"/>
  <c r="B50" i="36"/>
  <c r="B57" i="36" s="1"/>
  <c r="I66" i="36"/>
  <c r="C43" i="36"/>
  <c r="C48" i="36" s="1"/>
  <c r="C50" i="36" s="1"/>
  <c r="I43" i="36"/>
  <c r="I48" i="36" s="1"/>
  <c r="I50" i="36" s="1"/>
  <c r="I57" i="36" s="1"/>
  <c r="G44" i="36"/>
  <c r="D66" i="36"/>
  <c r="L66" i="36"/>
  <c r="F50" i="36"/>
  <c r="F57" i="36" s="1"/>
  <c r="H66" i="36"/>
  <c r="M74" i="36"/>
  <c r="E43" i="36"/>
  <c r="E48" i="36" s="1"/>
  <c r="E50" i="36" s="1"/>
  <c r="E57" i="36" s="1"/>
  <c r="J43" i="36"/>
  <c r="J48" i="36" s="1"/>
  <c r="J50" i="36" s="1"/>
  <c r="J57" i="36" s="1"/>
  <c r="B78" i="36"/>
  <c r="J78" i="36"/>
  <c r="M52" i="36"/>
  <c r="I70" i="36"/>
  <c r="I78" i="36"/>
  <c r="H44" i="36"/>
  <c r="F70" i="36"/>
  <c r="D74" i="36"/>
  <c r="L74" i="36"/>
  <c r="F78" i="36"/>
  <c r="E44" i="36"/>
  <c r="I44" i="36"/>
  <c r="J66" i="36"/>
  <c r="C70" i="36"/>
  <c r="G70" i="36"/>
  <c r="M70" i="36"/>
  <c r="C78" i="36"/>
  <c r="G78" i="36"/>
  <c r="M78" i="36"/>
  <c r="E70" i="36"/>
  <c r="D44" i="36"/>
  <c r="L44" i="36"/>
  <c r="H74" i="36"/>
  <c r="B36" i="36"/>
  <c r="F36" i="36"/>
  <c r="J36" i="36"/>
  <c r="D43" i="36"/>
  <c r="D48" i="36" s="1"/>
  <c r="D50" i="36" s="1"/>
  <c r="H43" i="36"/>
  <c r="H48" i="36" s="1"/>
  <c r="H50" i="36" s="1"/>
  <c r="L43" i="36"/>
  <c r="F44" i="36"/>
  <c r="J44" i="36"/>
  <c r="C59" i="35"/>
  <c r="I55" i="35"/>
  <c r="M59" i="35"/>
  <c r="E55" i="35"/>
  <c r="G59" i="35"/>
  <c r="C55" i="35"/>
  <c r="G55" i="35"/>
  <c r="M55" i="35"/>
  <c r="E63" i="35"/>
  <c r="I63" i="35"/>
  <c r="M37" i="35"/>
  <c r="H55" i="35"/>
  <c r="E36" i="35"/>
  <c r="E16" i="35" s="1"/>
  <c r="M63" i="35"/>
  <c r="I36" i="35"/>
  <c r="E67" i="35"/>
  <c r="I59" i="35"/>
  <c r="B67" i="35"/>
  <c r="F55" i="35"/>
  <c r="J55" i="35"/>
  <c r="C63" i="35"/>
  <c r="L55" i="35"/>
  <c r="D59" i="35"/>
  <c r="H59" i="35"/>
  <c r="L59" i="35"/>
  <c r="G37" i="35"/>
  <c r="D67" i="35"/>
  <c r="H67" i="35"/>
  <c r="L67" i="35"/>
  <c r="G63" i="35"/>
  <c r="I67" i="35"/>
  <c r="F36" i="35"/>
  <c r="J36" i="35"/>
  <c r="D37" i="35"/>
  <c r="H37" i="35"/>
  <c r="L37" i="35"/>
  <c r="F59" i="35"/>
  <c r="J59" i="35"/>
  <c r="D63" i="35"/>
  <c r="H63" i="35"/>
  <c r="L63" i="35"/>
  <c r="F67" i="35"/>
  <c r="J67" i="35"/>
  <c r="E59" i="35"/>
  <c r="C36" i="35"/>
  <c r="C16" i="35" s="1"/>
  <c r="G36" i="35"/>
  <c r="M36" i="35"/>
  <c r="E37" i="35"/>
  <c r="I37" i="35"/>
  <c r="C67" i="35"/>
  <c r="G67" i="35"/>
  <c r="M67" i="35"/>
  <c r="D36" i="35"/>
  <c r="D16" i="35" s="1"/>
  <c r="H36" i="35"/>
  <c r="L36" i="35"/>
  <c r="L16" i="35" s="1"/>
  <c r="F37" i="35"/>
  <c r="J37" i="35"/>
  <c r="I41" i="34"/>
  <c r="C60" i="34"/>
  <c r="G60" i="34"/>
  <c r="M60" i="34"/>
  <c r="B69" i="34"/>
  <c r="E40" i="34"/>
  <c r="E15" i="34" s="1"/>
  <c r="G40" i="34"/>
  <c r="L40" i="34"/>
  <c r="L15" i="34" s="1"/>
  <c r="M40" i="34"/>
  <c r="M15" i="34" s="1"/>
  <c r="F60" i="34"/>
  <c r="C40" i="34"/>
  <c r="C15" i="34" s="1"/>
  <c r="H40" i="34"/>
  <c r="E41" i="34"/>
  <c r="J60" i="34"/>
  <c r="D40" i="34"/>
  <c r="D15" i="34" s="1"/>
  <c r="I40" i="34"/>
  <c r="I15" i="34" s="1"/>
  <c r="H24" i="34"/>
  <c r="E60" i="34"/>
  <c r="I60" i="34"/>
  <c r="F41" i="34"/>
  <c r="D24" i="34"/>
  <c r="L24" i="34"/>
  <c r="C41" i="34"/>
  <c r="G41" i="34"/>
  <c r="M41" i="34"/>
  <c r="D60" i="34"/>
  <c r="H60" i="34"/>
  <c r="L60" i="34"/>
  <c r="E24" i="34"/>
  <c r="I24" i="34"/>
  <c r="B40" i="34"/>
  <c r="F40" i="34"/>
  <c r="J40" i="34"/>
  <c r="J15" i="34" s="1"/>
  <c r="D41" i="34"/>
  <c r="H41" i="34"/>
  <c r="L41" i="34"/>
  <c r="B24" i="34"/>
  <c r="F24" i="34"/>
  <c r="J24" i="34"/>
  <c r="G24" i="34"/>
  <c r="C24" i="34"/>
  <c r="M24" i="34"/>
  <c r="J41" i="34"/>
  <c r="B32" i="16"/>
  <c r="M16" i="35" l="1"/>
  <c r="M21" i="35" s="1"/>
  <c r="D73" i="36"/>
  <c r="D57" i="36"/>
  <c r="C73" i="36"/>
  <c r="C57" i="36"/>
  <c r="H73" i="36"/>
  <c r="H57" i="36"/>
  <c r="H16" i="35"/>
  <c r="H21" i="35" s="1"/>
  <c r="G16" i="35"/>
  <c r="G21" i="35" s="1"/>
  <c r="D21" i="35"/>
  <c r="C21" i="35"/>
  <c r="E21" i="35"/>
  <c r="F16" i="35"/>
  <c r="F21" i="35" s="1"/>
  <c r="J16" i="35"/>
  <c r="J21" i="35" s="1"/>
  <c r="I16" i="35"/>
  <c r="I21" i="35" s="1"/>
  <c r="E52" i="36"/>
  <c r="E73" i="36"/>
  <c r="B73" i="36"/>
  <c r="G73" i="36"/>
  <c r="J73" i="36"/>
  <c r="F73" i="36"/>
  <c r="I73" i="36"/>
  <c r="J20" i="34"/>
  <c r="J65" i="34"/>
  <c r="I20" i="34"/>
  <c r="I65" i="34"/>
  <c r="H15" i="34"/>
  <c r="H20" i="34" s="1"/>
  <c r="H65" i="34"/>
  <c r="L20" i="34"/>
  <c r="L65" i="34"/>
  <c r="F15" i="34"/>
  <c r="F20" i="34" s="1"/>
  <c r="F65" i="34"/>
  <c r="D20" i="34"/>
  <c r="D65" i="34"/>
  <c r="C20" i="34"/>
  <c r="C45" i="34" s="1"/>
  <c r="C65" i="34"/>
  <c r="G15" i="34"/>
  <c r="G20" i="34" s="1"/>
  <c r="G65" i="34"/>
  <c r="E20" i="34"/>
  <c r="E65" i="34"/>
  <c r="B15" i="34"/>
  <c r="B20" i="34" s="1"/>
  <c r="B65" i="34"/>
  <c r="M20" i="34"/>
  <c r="M45" i="34" s="1"/>
  <c r="M65" i="34"/>
  <c r="I52" i="36"/>
  <c r="F52" i="36"/>
  <c r="G52" i="36"/>
  <c r="J52" i="36"/>
  <c r="B52" i="36"/>
  <c r="D52" i="36"/>
  <c r="L48" i="36"/>
  <c r="L50" i="36" s="1"/>
  <c r="L73" i="36" s="1"/>
  <c r="H52" i="36"/>
  <c r="C52" i="36"/>
  <c r="L21" i="35"/>
  <c r="I105" i="16"/>
  <c r="M105" i="16"/>
  <c r="L11" i="5"/>
  <c r="L12" i="5" s="1"/>
  <c r="M11" i="5"/>
  <c r="M12" i="5" s="1"/>
  <c r="C12" i="10"/>
  <c r="C32" i="16"/>
  <c r="D32" i="16"/>
  <c r="E32" i="16"/>
  <c r="F32" i="16"/>
  <c r="G32" i="16"/>
  <c r="I32" i="16"/>
  <c r="B35" i="16"/>
  <c r="B33" i="16"/>
  <c r="B34" i="16"/>
  <c r="C33" i="16"/>
  <c r="D33" i="16"/>
  <c r="D34" i="16"/>
  <c r="D35" i="16"/>
  <c r="E33" i="16"/>
  <c r="E34" i="16"/>
  <c r="E35" i="16"/>
  <c r="F33" i="16"/>
  <c r="F34" i="16"/>
  <c r="F35" i="16"/>
  <c r="G33" i="16"/>
  <c r="G34" i="16"/>
  <c r="G35" i="16"/>
  <c r="H33" i="16"/>
  <c r="H34" i="16"/>
  <c r="H35" i="16"/>
  <c r="I33" i="16"/>
  <c r="I34" i="16"/>
  <c r="C34" i="16"/>
  <c r="C35" i="16"/>
  <c r="I35" i="16"/>
  <c r="I11" i="5"/>
  <c r="J11" i="5"/>
  <c r="J12" i="10"/>
  <c r="Q15" i="16"/>
  <c r="Q18" i="16" s="1"/>
  <c r="H155" i="16"/>
  <c r="L124" i="11"/>
  <c r="B25" i="19"/>
  <c r="C25" i="19"/>
  <c r="D25" i="19"/>
  <c r="F25" i="19"/>
  <c r="G25" i="19"/>
  <c r="H25" i="19"/>
  <c r="I25" i="19"/>
  <c r="J25" i="19"/>
  <c r="K25" i="19"/>
  <c r="L25" i="19"/>
  <c r="M25" i="19"/>
  <c r="E25" i="19"/>
  <c r="C108" i="11"/>
  <c r="C155" i="16"/>
  <c r="C124" i="11"/>
  <c r="D108" i="11"/>
  <c r="E109" i="11" s="1"/>
  <c r="D155" i="16"/>
  <c r="D124" i="11"/>
  <c r="E108" i="11"/>
  <c r="E155" i="16"/>
  <c r="E124" i="11"/>
  <c r="F108" i="11"/>
  <c r="F155" i="16"/>
  <c r="F124" i="11"/>
  <c r="G108" i="11"/>
  <c r="G155" i="16"/>
  <c r="G124" i="11"/>
  <c r="H108" i="11"/>
  <c r="H124" i="11"/>
  <c r="I23" i="24"/>
  <c r="I31" i="24" s="1"/>
  <c r="I108" i="11"/>
  <c r="I155" i="16"/>
  <c r="I124" i="11"/>
  <c r="I156" i="16" s="1"/>
  <c r="J108" i="11"/>
  <c r="J124" i="11"/>
  <c r="M124" i="11"/>
  <c r="B108" i="11"/>
  <c r="B155" i="16"/>
  <c r="B124" i="11"/>
  <c r="L12" i="14"/>
  <c r="L25" i="14" s="1"/>
  <c r="C12" i="14"/>
  <c r="C25" i="14" s="1"/>
  <c r="D12" i="14"/>
  <c r="D25" i="14" s="1"/>
  <c r="E12" i="14"/>
  <c r="E25" i="14" s="1"/>
  <c r="F12" i="14"/>
  <c r="F25" i="14" s="1"/>
  <c r="G12" i="14"/>
  <c r="G25" i="14" s="1"/>
  <c r="H12" i="14"/>
  <c r="H25" i="14" s="1"/>
  <c r="I12" i="14"/>
  <c r="I25" i="14" s="1"/>
  <c r="J12" i="14"/>
  <c r="J25" i="14" s="1"/>
  <c r="M12" i="14"/>
  <c r="M25" i="14" s="1"/>
  <c r="B12" i="14"/>
  <c r="B25" i="14" s="1"/>
  <c r="C12" i="12"/>
  <c r="D12" i="12"/>
  <c r="E12" i="12"/>
  <c r="F12" i="12"/>
  <c r="G12" i="12"/>
  <c r="H12" i="12"/>
  <c r="I12" i="12"/>
  <c r="J12" i="12"/>
  <c r="M12" i="12"/>
  <c r="L12" i="12"/>
  <c r="B12" i="12"/>
  <c r="C12" i="11"/>
  <c r="D12" i="11"/>
  <c r="E12" i="11"/>
  <c r="F12" i="11"/>
  <c r="G12" i="11"/>
  <c r="H12" i="11"/>
  <c r="I153" i="16"/>
  <c r="I12" i="11"/>
  <c r="J12" i="11"/>
  <c r="M108" i="11"/>
  <c r="M12" i="11"/>
  <c r="L108" i="11"/>
  <c r="L12" i="11"/>
  <c r="B12" i="11"/>
  <c r="B12" i="17"/>
  <c r="D12" i="10"/>
  <c r="F12" i="10"/>
  <c r="G12" i="10"/>
  <c r="H12" i="10"/>
  <c r="I12" i="10"/>
  <c r="M12" i="10"/>
  <c r="L12" i="10"/>
  <c r="E12" i="10"/>
  <c r="E148" i="16"/>
  <c r="F148" i="16"/>
  <c r="I148" i="16"/>
  <c r="J148" i="16"/>
  <c r="B148" i="16"/>
  <c r="J140" i="16"/>
  <c r="M140" i="16"/>
  <c r="I145" i="16"/>
  <c r="I137" i="16"/>
  <c r="C12" i="9"/>
  <c r="D12" i="9"/>
  <c r="E12" i="9"/>
  <c r="F12" i="9"/>
  <c r="G12" i="9"/>
  <c r="H12" i="9"/>
  <c r="I12" i="9"/>
  <c r="J12" i="9"/>
  <c r="M12" i="9"/>
  <c r="L12" i="9"/>
  <c r="B12" i="9"/>
  <c r="E122" i="16"/>
  <c r="E240" i="16" s="1"/>
  <c r="F122" i="16"/>
  <c r="F240" i="16" s="1"/>
  <c r="G122" i="16"/>
  <c r="G240" i="16" s="1"/>
  <c r="H122" i="16"/>
  <c r="H240" i="16" s="1"/>
  <c r="I122" i="16"/>
  <c r="I240" i="16" s="1"/>
  <c r="J122" i="16"/>
  <c r="M122" i="16"/>
  <c r="E123" i="16"/>
  <c r="F123" i="16"/>
  <c r="G123" i="16"/>
  <c r="I123" i="16"/>
  <c r="J123" i="16"/>
  <c r="M123" i="16"/>
  <c r="I113" i="16"/>
  <c r="J113" i="16"/>
  <c r="D108" i="16"/>
  <c r="E12" i="5"/>
  <c r="E108" i="16"/>
  <c r="H108" i="16"/>
  <c r="J108" i="16"/>
  <c r="B12" i="5"/>
  <c r="B108" i="16"/>
  <c r="I84" i="16"/>
  <c r="L12" i="4"/>
  <c r="C12" i="4"/>
  <c r="D12" i="4"/>
  <c r="E12" i="4"/>
  <c r="F12" i="4"/>
  <c r="G12" i="4"/>
  <c r="H12" i="4"/>
  <c r="I12" i="4"/>
  <c r="J12" i="4"/>
  <c r="M12" i="4"/>
  <c r="B12" i="4"/>
  <c r="C12" i="7"/>
  <c r="D12" i="7"/>
  <c r="E12" i="7"/>
  <c r="F12" i="7"/>
  <c r="G12" i="7"/>
  <c r="H123" i="16"/>
  <c r="H12" i="7"/>
  <c r="I12" i="7"/>
  <c r="J12" i="7"/>
  <c r="M12" i="7"/>
  <c r="L12" i="7"/>
  <c r="B12" i="7"/>
  <c r="C12" i="18"/>
  <c r="D12" i="18"/>
  <c r="E12" i="18"/>
  <c r="F12" i="18"/>
  <c r="G12" i="18"/>
  <c r="H12" i="18"/>
  <c r="I12" i="18"/>
  <c r="J12" i="18"/>
  <c r="M12" i="18"/>
  <c r="L12" i="18"/>
  <c r="B12" i="18"/>
  <c r="M89" i="16"/>
  <c r="M93" i="16" s="1"/>
  <c r="J21" i="3"/>
  <c r="C12" i="3"/>
  <c r="D12" i="3"/>
  <c r="E12" i="3"/>
  <c r="F12" i="3"/>
  <c r="G12" i="3"/>
  <c r="H12" i="3"/>
  <c r="I12" i="3"/>
  <c r="J12" i="3"/>
  <c r="M12" i="3"/>
  <c r="L12" i="3"/>
  <c r="C12" i="17"/>
  <c r="D12" i="17"/>
  <c r="E12" i="17"/>
  <c r="F12" i="17"/>
  <c r="G12" i="17"/>
  <c r="G71" i="16"/>
  <c r="H12" i="17"/>
  <c r="I12" i="17"/>
  <c r="J12" i="17"/>
  <c r="M12" i="17"/>
  <c r="L12" i="17"/>
  <c r="D71" i="16"/>
  <c r="L21" i="17"/>
  <c r="B71" i="16"/>
  <c r="C53" i="20"/>
  <c r="D53" i="20"/>
  <c r="E53" i="20"/>
  <c r="F53" i="20"/>
  <c r="G53" i="20"/>
  <c r="H53" i="20"/>
  <c r="I53" i="20"/>
  <c r="J53" i="20"/>
  <c r="K53" i="20"/>
  <c r="L53" i="20"/>
  <c r="B53" i="20"/>
  <c r="P15" i="16"/>
  <c r="P18" i="16" s="1"/>
  <c r="O15" i="16"/>
  <c r="O18" i="16" s="1"/>
  <c r="C12" i="13"/>
  <c r="D12" i="13"/>
  <c r="E12" i="13"/>
  <c r="G12" i="13"/>
  <c r="H12" i="13"/>
  <c r="I12" i="13"/>
  <c r="J12" i="13"/>
  <c r="B12" i="13"/>
  <c r="C28" i="13"/>
  <c r="E28" i="13"/>
  <c r="G28" i="13"/>
  <c r="H28" i="13"/>
  <c r="I28" i="13"/>
  <c r="J28" i="10"/>
  <c r="C150" i="16"/>
  <c r="E150" i="16"/>
  <c r="F150" i="16"/>
  <c r="G150" i="16"/>
  <c r="B150" i="16"/>
  <c r="D142" i="16"/>
  <c r="E142" i="16"/>
  <c r="F142" i="16"/>
  <c r="H142" i="16"/>
  <c r="J28" i="9"/>
  <c r="M28" i="9"/>
  <c r="L28" i="9"/>
  <c r="B142" i="16"/>
  <c r="L13" i="24"/>
  <c r="M13" i="24"/>
  <c r="J13" i="24"/>
  <c r="I13" i="24"/>
  <c r="H13" i="24"/>
  <c r="G13" i="24"/>
  <c r="F13" i="24"/>
  <c r="E13" i="24"/>
  <c r="D13" i="24"/>
  <c r="C13" i="24"/>
  <c r="B13" i="24"/>
  <c r="H23" i="24"/>
  <c r="L23" i="24"/>
  <c r="M23" i="24"/>
  <c r="M31" i="24" s="1"/>
  <c r="J23" i="24"/>
  <c r="G23" i="24"/>
  <c r="F23" i="24"/>
  <c r="F31" i="24" s="1"/>
  <c r="E23" i="24"/>
  <c r="D23" i="24"/>
  <c r="C23" i="24"/>
  <c r="B23" i="24"/>
  <c r="B31" i="24" s="1"/>
  <c r="C28" i="8"/>
  <c r="B28" i="8"/>
  <c r="M28" i="7"/>
  <c r="D126" i="16"/>
  <c r="F126" i="16"/>
  <c r="H126" i="16"/>
  <c r="I28" i="7"/>
  <c r="L28" i="6"/>
  <c r="C118" i="16"/>
  <c r="D118" i="16"/>
  <c r="E118" i="16"/>
  <c r="H118" i="16"/>
  <c r="I28" i="6"/>
  <c r="B118" i="16"/>
  <c r="B12" i="3"/>
  <c r="C12" i="20"/>
  <c r="C16" i="20" s="1"/>
  <c r="D12" i="20"/>
  <c r="D16" i="20" s="1"/>
  <c r="E12" i="20"/>
  <c r="E16" i="20" s="1"/>
  <c r="F12" i="20"/>
  <c r="F16" i="20" s="1"/>
  <c r="G12" i="20"/>
  <c r="G16" i="20" s="1"/>
  <c r="H12" i="20"/>
  <c r="H16" i="20"/>
  <c r="I12" i="20"/>
  <c r="I16" i="20" s="1"/>
  <c r="J12" i="20"/>
  <c r="J16" i="20"/>
  <c r="K12" i="20"/>
  <c r="K16" i="20" s="1"/>
  <c r="L12" i="20"/>
  <c r="L16" i="20" s="1"/>
  <c r="B12" i="20"/>
  <c r="B16" i="20" s="1"/>
  <c r="B25" i="20"/>
  <c r="B31" i="20"/>
  <c r="B41" i="20" s="1"/>
  <c r="B45" i="20" s="1"/>
  <c r="B35" i="20"/>
  <c r="B39" i="20"/>
  <c r="C25" i="20"/>
  <c r="C31" i="20"/>
  <c r="C35" i="20"/>
  <c r="C39" i="20"/>
  <c r="D25" i="20"/>
  <c r="D31" i="20"/>
  <c r="D35" i="20"/>
  <c r="D41" i="20" s="1"/>
  <c r="D45" i="20" s="1"/>
  <c r="D39" i="20"/>
  <c r="E25" i="20"/>
  <c r="E60" i="20"/>
  <c r="E73" i="20" s="1"/>
  <c r="E31" i="20"/>
  <c r="E41" i="20" s="1"/>
  <c r="E45" i="20" s="1"/>
  <c r="E35" i="20"/>
  <c r="E39" i="20"/>
  <c r="F25" i="20"/>
  <c r="F80" i="20" s="1"/>
  <c r="F31" i="20"/>
  <c r="F35" i="20"/>
  <c r="F39" i="20"/>
  <c r="G25" i="20"/>
  <c r="L27" i="20" s="1"/>
  <c r="G31" i="20"/>
  <c r="G35" i="20"/>
  <c r="G39" i="20"/>
  <c r="H25" i="20"/>
  <c r="H26" i="20" s="1"/>
  <c r="H31" i="20"/>
  <c r="H35" i="20"/>
  <c r="H39" i="20"/>
  <c r="I25" i="20"/>
  <c r="I80" i="20" s="1"/>
  <c r="I60" i="20"/>
  <c r="I83" i="20" s="1"/>
  <c r="I31" i="20"/>
  <c r="I35" i="20"/>
  <c r="I39" i="20"/>
  <c r="J25" i="20"/>
  <c r="J31" i="20"/>
  <c r="J35" i="20"/>
  <c r="J41" i="20" s="1"/>
  <c r="J45" i="20" s="1"/>
  <c r="J39" i="20"/>
  <c r="K25" i="20"/>
  <c r="K31" i="20"/>
  <c r="K35" i="20"/>
  <c r="K39" i="20"/>
  <c r="L25" i="20"/>
  <c r="L31" i="20"/>
  <c r="L35" i="20"/>
  <c r="L39" i="20"/>
  <c r="L9" i="19"/>
  <c r="L11" i="19"/>
  <c r="G9" i="19"/>
  <c r="H9" i="19"/>
  <c r="I9" i="19"/>
  <c r="J9" i="19"/>
  <c r="K9" i="19"/>
  <c r="F9" i="19"/>
  <c r="C145" i="11"/>
  <c r="D145" i="11"/>
  <c r="E145" i="11"/>
  <c r="F145" i="11"/>
  <c r="G145" i="11"/>
  <c r="H145" i="11"/>
  <c r="I145" i="11"/>
  <c r="J145" i="11"/>
  <c r="M145" i="11"/>
  <c r="L145" i="11"/>
  <c r="B145" i="11"/>
  <c r="C28" i="12"/>
  <c r="G28" i="12"/>
  <c r="M28" i="12"/>
  <c r="C110" i="16"/>
  <c r="D110" i="16"/>
  <c r="E110" i="16"/>
  <c r="F110" i="16"/>
  <c r="G110" i="16"/>
  <c r="H110" i="16"/>
  <c r="I110" i="16"/>
  <c r="B110" i="16"/>
  <c r="J35" i="16"/>
  <c r="L34" i="16"/>
  <c r="C173" i="11"/>
  <c r="D173" i="11"/>
  <c r="E173" i="11"/>
  <c r="F173" i="11"/>
  <c r="G173" i="11"/>
  <c r="H173" i="11"/>
  <c r="I173" i="11"/>
  <c r="J173" i="11"/>
  <c r="M173" i="11"/>
  <c r="L173" i="11"/>
  <c r="C174" i="11"/>
  <c r="D174" i="11"/>
  <c r="E174" i="11"/>
  <c r="F174" i="11"/>
  <c r="G174" i="11"/>
  <c r="H174" i="11"/>
  <c r="I174" i="11"/>
  <c r="J174" i="11"/>
  <c r="M174" i="11"/>
  <c r="L174" i="11"/>
  <c r="C175" i="11"/>
  <c r="D175" i="11"/>
  <c r="E175" i="11"/>
  <c r="F175" i="11"/>
  <c r="G175" i="11"/>
  <c r="H175" i="11"/>
  <c r="I175" i="11"/>
  <c r="J175" i="11"/>
  <c r="M175" i="11"/>
  <c r="L175" i="11"/>
  <c r="B173" i="11"/>
  <c r="B174" i="11"/>
  <c r="B175" i="11"/>
  <c r="C170" i="11"/>
  <c r="D170" i="11"/>
  <c r="E170" i="11"/>
  <c r="F170" i="11"/>
  <c r="G170" i="11"/>
  <c r="H170" i="11"/>
  <c r="I170" i="11"/>
  <c r="J170" i="11"/>
  <c r="M170" i="11"/>
  <c r="L170" i="11"/>
  <c r="B170" i="11"/>
  <c r="L137" i="11"/>
  <c r="M137" i="11"/>
  <c r="J137" i="11"/>
  <c r="I137" i="11"/>
  <c r="I180" i="11" s="1"/>
  <c r="H137" i="11"/>
  <c r="G137" i="11"/>
  <c r="F137" i="11"/>
  <c r="F180" i="11" s="1"/>
  <c r="E137" i="11"/>
  <c r="D137" i="11"/>
  <c r="C137" i="11"/>
  <c r="C180" i="11" s="1"/>
  <c r="B137" i="11"/>
  <c r="E180" i="11"/>
  <c r="M166" i="11"/>
  <c r="L165" i="11"/>
  <c r="M165" i="11"/>
  <c r="J165" i="11"/>
  <c r="I165" i="11"/>
  <c r="H165" i="11"/>
  <c r="G165" i="11"/>
  <c r="F165" i="11"/>
  <c r="E165" i="11"/>
  <c r="D165" i="11"/>
  <c r="C165" i="11"/>
  <c r="B165" i="11"/>
  <c r="L164" i="11"/>
  <c r="M164" i="11"/>
  <c r="J164" i="11"/>
  <c r="I164" i="11"/>
  <c r="H164" i="11"/>
  <c r="G164" i="11"/>
  <c r="F164" i="11"/>
  <c r="E164" i="11"/>
  <c r="D164" i="11"/>
  <c r="C164" i="11"/>
  <c r="B164" i="11"/>
  <c r="L163" i="11"/>
  <c r="M163" i="11"/>
  <c r="J163" i="11"/>
  <c r="I163" i="11"/>
  <c r="H163" i="11"/>
  <c r="G163" i="11"/>
  <c r="F163" i="11"/>
  <c r="E163" i="11"/>
  <c r="D163" i="11"/>
  <c r="C163" i="11"/>
  <c r="B163" i="11"/>
  <c r="D68" i="20"/>
  <c r="D84" i="20" s="1"/>
  <c r="C68" i="20"/>
  <c r="E68" i="20"/>
  <c r="E69" i="20" s="1"/>
  <c r="E84" i="20"/>
  <c r="F68" i="20"/>
  <c r="G68" i="20"/>
  <c r="H68" i="20"/>
  <c r="I68" i="20"/>
  <c r="I84" i="20" s="1"/>
  <c r="J68" i="20"/>
  <c r="K68" i="20"/>
  <c r="K69" i="20" s="1"/>
  <c r="L68" i="20"/>
  <c r="L69" i="20" s="1"/>
  <c r="C60" i="20"/>
  <c r="C84" i="20"/>
  <c r="J69" i="20"/>
  <c r="L60" i="20"/>
  <c r="K60" i="20"/>
  <c r="K73" i="20" s="1"/>
  <c r="J60" i="20"/>
  <c r="J73" i="20" s="1"/>
  <c r="J84" i="20"/>
  <c r="H60" i="20"/>
  <c r="G60" i="20"/>
  <c r="F60" i="20"/>
  <c r="D60" i="20"/>
  <c r="D83" i="20" s="1"/>
  <c r="C83" i="20"/>
  <c r="B68" i="20"/>
  <c r="C69" i="20" s="1"/>
  <c r="B60" i="20"/>
  <c r="B73" i="20" s="1"/>
  <c r="L83" i="20"/>
  <c r="J83" i="20"/>
  <c r="H83" i="20"/>
  <c r="B83" i="20"/>
  <c r="J80" i="20"/>
  <c r="H80" i="20"/>
  <c r="B80" i="20"/>
  <c r="L79" i="20"/>
  <c r="K79" i="20"/>
  <c r="J79" i="20"/>
  <c r="I79" i="20"/>
  <c r="H79" i="20"/>
  <c r="G79" i="20"/>
  <c r="F79" i="20"/>
  <c r="E79" i="20"/>
  <c r="D79" i="20"/>
  <c r="C79" i="20"/>
  <c r="B79" i="20"/>
  <c r="L78" i="20"/>
  <c r="K78" i="20"/>
  <c r="J78" i="20"/>
  <c r="I78" i="20"/>
  <c r="H78" i="20"/>
  <c r="G78" i="20"/>
  <c r="F78" i="20"/>
  <c r="E78" i="20"/>
  <c r="D78" i="20"/>
  <c r="C78" i="20"/>
  <c r="B78" i="20"/>
  <c r="L77" i="20"/>
  <c r="K77" i="20"/>
  <c r="J77" i="20"/>
  <c r="I77" i="20"/>
  <c r="H77" i="20"/>
  <c r="G77" i="20"/>
  <c r="F77" i="20"/>
  <c r="E77" i="20"/>
  <c r="D77" i="20"/>
  <c r="C77" i="20"/>
  <c r="B77" i="20"/>
  <c r="L76" i="20"/>
  <c r="K76" i="20"/>
  <c r="J76" i="20"/>
  <c r="I76" i="20"/>
  <c r="H76" i="20"/>
  <c r="G76" i="20"/>
  <c r="F76" i="20"/>
  <c r="E76" i="20"/>
  <c r="D76" i="20"/>
  <c r="C76" i="20"/>
  <c r="B76" i="20"/>
  <c r="L73" i="20"/>
  <c r="C73" i="20"/>
  <c r="L26" i="20"/>
  <c r="K26" i="20"/>
  <c r="I26" i="20"/>
  <c r="E26" i="20"/>
  <c r="D26" i="20"/>
  <c r="C26" i="20"/>
  <c r="L204" i="11"/>
  <c r="J224" i="11"/>
  <c r="M224" i="11"/>
  <c r="L224" i="11"/>
  <c r="L185" i="11"/>
  <c r="B223" i="11"/>
  <c r="B224" i="11" s="1"/>
  <c r="C223" i="11"/>
  <c r="C224" i="11" s="1"/>
  <c r="D223" i="11"/>
  <c r="D224" i="11" s="1"/>
  <c r="E223" i="11"/>
  <c r="E224" i="11" s="1"/>
  <c r="F223" i="11"/>
  <c r="F224" i="11" s="1"/>
  <c r="G223" i="11"/>
  <c r="G224" i="11" s="1"/>
  <c r="H223" i="11"/>
  <c r="H224" i="11" s="1"/>
  <c r="I223" i="11"/>
  <c r="I224" i="11" s="1"/>
  <c r="I185" i="11"/>
  <c r="B230" i="11"/>
  <c r="C230" i="11"/>
  <c r="D230" i="11"/>
  <c r="E230" i="11"/>
  <c r="F230" i="11"/>
  <c r="G230" i="11"/>
  <c r="H230" i="11"/>
  <c r="C184" i="11"/>
  <c r="D184" i="11"/>
  <c r="E184" i="11"/>
  <c r="F184" i="11"/>
  <c r="G184" i="11"/>
  <c r="H184" i="11"/>
  <c r="I184" i="11"/>
  <c r="D200" i="11"/>
  <c r="D202" i="11"/>
  <c r="E200" i="11"/>
  <c r="E202" i="11"/>
  <c r="F200" i="11"/>
  <c r="F202" i="11"/>
  <c r="G200" i="11"/>
  <c r="G202" i="11"/>
  <c r="H200" i="11"/>
  <c r="H201" i="11"/>
  <c r="H202" i="11"/>
  <c r="D190" i="11"/>
  <c r="D192" i="11"/>
  <c r="E190" i="11"/>
  <c r="E192" i="11"/>
  <c r="F190" i="11"/>
  <c r="F192" i="11"/>
  <c r="G190" i="11"/>
  <c r="G192" i="11"/>
  <c r="H190" i="11"/>
  <c r="H192" i="11"/>
  <c r="B203" i="11"/>
  <c r="C203" i="11"/>
  <c r="B196" i="11"/>
  <c r="C196" i="11"/>
  <c r="C21" i="8"/>
  <c r="H121" i="16"/>
  <c r="J12" i="5"/>
  <c r="I41" i="20"/>
  <c r="I45" i="20" s="1"/>
  <c r="J26" i="20"/>
  <c r="G83" i="20"/>
  <c r="K83" i="20"/>
  <c r="I69" i="20"/>
  <c r="E80" i="20"/>
  <c r="F69" i="20"/>
  <c r="C80" i="20"/>
  <c r="G12" i="5"/>
  <c r="G21" i="8"/>
  <c r="E21" i="17"/>
  <c r="D12" i="5"/>
  <c r="F12" i="5"/>
  <c r="E21" i="8"/>
  <c r="C12" i="5"/>
  <c r="B21" i="8"/>
  <c r="I21" i="8"/>
  <c r="H153" i="16"/>
  <c r="G21" i="12"/>
  <c r="D21" i="13"/>
  <c r="C28" i="24" l="1"/>
  <c r="C31" i="24"/>
  <c r="G28" i="24"/>
  <c r="G31" i="24"/>
  <c r="H28" i="24"/>
  <c r="H31" i="24"/>
  <c r="D28" i="24"/>
  <c r="D31" i="24"/>
  <c r="E28" i="24"/>
  <c r="E31" i="24"/>
  <c r="L28" i="24"/>
  <c r="L31" i="24"/>
  <c r="C146" i="11"/>
  <c r="H146" i="11"/>
  <c r="D146" i="11"/>
  <c r="M25" i="35"/>
  <c r="M28" i="35"/>
  <c r="M46" i="35"/>
  <c r="M41" i="35"/>
  <c r="D203" i="11"/>
  <c r="J28" i="24"/>
  <c r="J31" i="24"/>
  <c r="J25" i="3"/>
  <c r="J28" i="3"/>
  <c r="C41" i="20"/>
  <c r="C45" i="20" s="1"/>
  <c r="H41" i="20"/>
  <c r="H45" i="20" s="1"/>
  <c r="G26" i="20"/>
  <c r="G73" i="20"/>
  <c r="D80" i="20"/>
  <c r="K80" i="20"/>
  <c r="E83" i="20"/>
  <c r="B84" i="20"/>
  <c r="D69" i="20"/>
  <c r="L41" i="20"/>
  <c r="L45" i="20" s="1"/>
  <c r="G41" i="20"/>
  <c r="G45" i="20" s="1"/>
  <c r="F26" i="20"/>
  <c r="D73" i="20"/>
  <c r="K41" i="20"/>
  <c r="K45" i="20" s="1"/>
  <c r="F41" i="20"/>
  <c r="F45" i="20" s="1"/>
  <c r="L80" i="20"/>
  <c r="H84" i="20"/>
  <c r="L84" i="20"/>
  <c r="I28" i="24"/>
  <c r="B28" i="24"/>
  <c r="F28" i="24"/>
  <c r="M34" i="16"/>
  <c r="J34" i="16"/>
  <c r="M35" i="16"/>
  <c r="L28" i="12"/>
  <c r="L166" i="16"/>
  <c r="D196" i="11"/>
  <c r="L28" i="10"/>
  <c r="L150" i="16"/>
  <c r="M33" i="16"/>
  <c r="L32" i="16"/>
  <c r="L28" i="8"/>
  <c r="J33" i="16"/>
  <c r="M108" i="16"/>
  <c r="M109" i="16" s="1"/>
  <c r="I100" i="16"/>
  <c r="M29" i="4"/>
  <c r="E100" i="16"/>
  <c r="D100" i="16"/>
  <c r="L29" i="4"/>
  <c r="H100" i="16"/>
  <c r="F100" i="16"/>
  <c r="J29" i="4"/>
  <c r="C100" i="16"/>
  <c r="L25" i="17"/>
  <c r="J71" i="16"/>
  <c r="Q66" i="16"/>
  <c r="M32" i="16"/>
  <c r="M29" i="18"/>
  <c r="J86" i="16"/>
  <c r="J32" i="16"/>
  <c r="J29" i="18"/>
  <c r="M28" i="24"/>
  <c r="I140" i="16"/>
  <c r="I141" i="16" s="1"/>
  <c r="J100" i="16"/>
  <c r="L41" i="16"/>
  <c r="J116" i="16"/>
  <c r="B100" i="16"/>
  <c r="G156" i="16"/>
  <c r="D156" i="16"/>
  <c r="E156" i="16"/>
  <c r="H156" i="16"/>
  <c r="H157" i="16" s="1"/>
  <c r="F156" i="16"/>
  <c r="B156" i="16"/>
  <c r="C156" i="16"/>
  <c r="B25" i="11"/>
  <c r="B28" i="11"/>
  <c r="C25" i="11"/>
  <c r="C28" i="11"/>
  <c r="G25" i="11"/>
  <c r="G28" i="11"/>
  <c r="D153" i="16"/>
  <c r="F25" i="11"/>
  <c r="F28" i="11"/>
  <c r="H25" i="11"/>
  <c r="H28" i="11"/>
  <c r="E25" i="11"/>
  <c r="E28" i="11"/>
  <c r="B21" i="14"/>
  <c r="D179" i="16"/>
  <c r="D181" i="16" s="1"/>
  <c r="B28" i="13"/>
  <c r="F28" i="13"/>
  <c r="D28" i="13"/>
  <c r="J28" i="13"/>
  <c r="H166" i="16"/>
  <c r="H28" i="12"/>
  <c r="D166" i="16"/>
  <c r="D28" i="12"/>
  <c r="J166" i="16"/>
  <c r="J28" i="12"/>
  <c r="F166" i="16"/>
  <c r="F28" i="12"/>
  <c r="B166" i="16"/>
  <c r="B28" i="12"/>
  <c r="I166" i="16"/>
  <c r="I28" i="12"/>
  <c r="E166" i="16"/>
  <c r="E28" i="12"/>
  <c r="I150" i="16"/>
  <c r="I28" i="10"/>
  <c r="M150" i="16"/>
  <c r="M28" i="10"/>
  <c r="G145" i="16"/>
  <c r="H145" i="16"/>
  <c r="F25" i="10"/>
  <c r="F28" i="10"/>
  <c r="D145" i="16"/>
  <c r="B145" i="16"/>
  <c r="B149" i="16" s="1"/>
  <c r="I142" i="16"/>
  <c r="I28" i="9"/>
  <c r="G140" i="16"/>
  <c r="C140" i="16"/>
  <c r="F140" i="16"/>
  <c r="B140" i="16"/>
  <c r="E140" i="16"/>
  <c r="H140" i="16"/>
  <c r="D140" i="16"/>
  <c r="B25" i="9"/>
  <c r="B28" i="9"/>
  <c r="G25" i="9"/>
  <c r="G28" i="9"/>
  <c r="C25" i="9"/>
  <c r="C28" i="9"/>
  <c r="F28" i="8"/>
  <c r="I28" i="8"/>
  <c r="E28" i="8"/>
  <c r="M28" i="8"/>
  <c r="H28" i="8"/>
  <c r="D28" i="8"/>
  <c r="J28" i="8"/>
  <c r="G28" i="8"/>
  <c r="L28" i="7"/>
  <c r="J126" i="16"/>
  <c r="J28" i="7"/>
  <c r="D123" i="16"/>
  <c r="B123" i="16"/>
  <c r="C123" i="16"/>
  <c r="D122" i="16"/>
  <c r="D240" i="16" s="1"/>
  <c r="C122" i="16"/>
  <c r="C240" i="16" s="1"/>
  <c r="B122" i="16"/>
  <c r="B240" i="16" s="1"/>
  <c r="G25" i="7"/>
  <c r="G28" i="7"/>
  <c r="H25" i="7"/>
  <c r="H28" i="7"/>
  <c r="F28" i="7"/>
  <c r="F25" i="7"/>
  <c r="D25" i="7"/>
  <c r="D28" i="7"/>
  <c r="J118" i="16"/>
  <c r="J28" i="6"/>
  <c r="M118" i="16"/>
  <c r="M28" i="6"/>
  <c r="B116" i="16"/>
  <c r="G116" i="16"/>
  <c r="C41" i="16"/>
  <c r="H116" i="16"/>
  <c r="F116" i="16"/>
  <c r="D116" i="16"/>
  <c r="C21" i="6"/>
  <c r="H21" i="6"/>
  <c r="F28" i="6"/>
  <c r="F25" i="6"/>
  <c r="D113" i="16"/>
  <c r="G25" i="5"/>
  <c r="B25" i="5"/>
  <c r="H25" i="5"/>
  <c r="F105" i="16"/>
  <c r="F25" i="5"/>
  <c r="D25" i="5"/>
  <c r="E105" i="16"/>
  <c r="E109" i="16" s="1"/>
  <c r="C25" i="5"/>
  <c r="B97" i="16"/>
  <c r="B26" i="4"/>
  <c r="B29" i="4"/>
  <c r="H97" i="16"/>
  <c r="H29" i="4"/>
  <c r="H26" i="4"/>
  <c r="E97" i="16"/>
  <c r="E26" i="4"/>
  <c r="E29" i="4"/>
  <c r="F97" i="16"/>
  <c r="F101" i="16" s="1"/>
  <c r="F26" i="4"/>
  <c r="F29" i="4"/>
  <c r="I97" i="16"/>
  <c r="I26" i="4"/>
  <c r="I29" i="4"/>
  <c r="C97" i="16"/>
  <c r="C26" i="4"/>
  <c r="C29" i="4"/>
  <c r="G97" i="16"/>
  <c r="G26" i="4"/>
  <c r="G29" i="4"/>
  <c r="D97" i="16"/>
  <c r="D29" i="4"/>
  <c r="D26" i="4"/>
  <c r="H89" i="16"/>
  <c r="H93" i="16" s="1"/>
  <c r="J81" i="16"/>
  <c r="C46" i="35"/>
  <c r="C41" i="35"/>
  <c r="C28" i="35"/>
  <c r="C25" i="35"/>
  <c r="D25" i="35"/>
  <c r="D41" i="35"/>
  <c r="D46" i="35"/>
  <c r="D28" i="35"/>
  <c r="F41" i="35"/>
  <c r="F46" i="35"/>
  <c r="F28" i="35"/>
  <c r="F25" i="35"/>
  <c r="G28" i="35"/>
  <c r="G25" i="35"/>
  <c r="G41" i="35"/>
  <c r="G46" i="35"/>
  <c r="E46" i="35"/>
  <c r="E28" i="35"/>
  <c r="E41" i="35"/>
  <c r="E25" i="35"/>
  <c r="H46" i="35"/>
  <c r="H25" i="35"/>
  <c r="H41" i="35"/>
  <c r="H28" i="35"/>
  <c r="B50" i="34"/>
  <c r="B27" i="34"/>
  <c r="G50" i="34"/>
  <c r="G27" i="34"/>
  <c r="D50" i="34"/>
  <c r="D27" i="34"/>
  <c r="I50" i="34"/>
  <c r="I27" i="34"/>
  <c r="M50" i="34"/>
  <c r="M27" i="34"/>
  <c r="E45" i="34"/>
  <c r="E27" i="34"/>
  <c r="C50" i="34"/>
  <c r="C27" i="34"/>
  <c r="F50" i="34"/>
  <c r="F27" i="34"/>
  <c r="H50" i="34"/>
  <c r="H27" i="34"/>
  <c r="L50" i="34"/>
  <c r="L27" i="34"/>
  <c r="J50" i="34"/>
  <c r="J27" i="34"/>
  <c r="B84" i="16"/>
  <c r="F84" i="16"/>
  <c r="H84" i="16"/>
  <c r="G84" i="16"/>
  <c r="E22" i="18"/>
  <c r="G81" i="16"/>
  <c r="J46" i="35"/>
  <c r="J28" i="35"/>
  <c r="J41" i="35"/>
  <c r="J25" i="35"/>
  <c r="I25" i="35"/>
  <c r="I41" i="35"/>
  <c r="I46" i="35"/>
  <c r="I28" i="35"/>
  <c r="L25" i="35"/>
  <c r="L28" i="35"/>
  <c r="F71" i="16"/>
  <c r="M71" i="16"/>
  <c r="E25" i="17"/>
  <c r="L45" i="34"/>
  <c r="D45" i="34"/>
  <c r="F45" i="34"/>
  <c r="J45" i="34"/>
  <c r="I45" i="34"/>
  <c r="E50" i="34"/>
  <c r="G45" i="34"/>
  <c r="B45" i="34"/>
  <c r="H45" i="34"/>
  <c r="B45" i="16"/>
  <c r="B39" i="16"/>
  <c r="F179" i="16"/>
  <c r="F181" i="16" s="1"/>
  <c r="E21" i="14"/>
  <c r="E203" i="11"/>
  <c r="I146" i="11"/>
  <c r="I160" i="11"/>
  <c r="I109" i="11"/>
  <c r="B181" i="11"/>
  <c r="D21" i="9"/>
  <c r="F118" i="16"/>
  <c r="H86" i="16"/>
  <c r="M97" i="16"/>
  <c r="E196" i="11"/>
  <c r="J181" i="11"/>
  <c r="G86" i="16"/>
  <c r="H21" i="14"/>
  <c r="H28" i="14" s="1"/>
  <c r="E116" i="16"/>
  <c r="I149" i="16"/>
  <c r="E21" i="10"/>
  <c r="J21" i="5"/>
  <c r="J28" i="5" s="1"/>
  <c r="D86" i="16"/>
  <c r="M86" i="16"/>
  <c r="C20" i="23"/>
  <c r="G20" i="23"/>
  <c r="E20" i="23"/>
  <c r="B20" i="23"/>
  <c r="F20" i="23"/>
  <c r="I20" i="23"/>
  <c r="G40" i="16"/>
  <c r="F21" i="14"/>
  <c r="I21" i="14"/>
  <c r="I179" i="16"/>
  <c r="I181" i="16" s="1"/>
  <c r="B179" i="16"/>
  <c r="B181" i="16" s="1"/>
  <c r="H179" i="16"/>
  <c r="H181" i="16" s="1"/>
  <c r="M155" i="16"/>
  <c r="J155" i="16"/>
  <c r="L21" i="10"/>
  <c r="I21" i="10"/>
  <c r="H21" i="10"/>
  <c r="H148" i="16"/>
  <c r="D21" i="10"/>
  <c r="D148" i="16"/>
  <c r="B21" i="10"/>
  <c r="M145" i="16"/>
  <c r="M149" i="16" s="1"/>
  <c r="G21" i="10"/>
  <c r="G148" i="16"/>
  <c r="C148" i="16"/>
  <c r="J142" i="16"/>
  <c r="J137" i="16"/>
  <c r="J21" i="7"/>
  <c r="J121" i="16"/>
  <c r="M240" i="16"/>
  <c r="E39" i="16"/>
  <c r="J240" i="16"/>
  <c r="M113" i="16"/>
  <c r="M116" i="16"/>
  <c r="D21" i="5"/>
  <c r="C108" i="16"/>
  <c r="G21" i="5"/>
  <c r="G108" i="16"/>
  <c r="J105" i="16"/>
  <c r="J109" i="16" s="1"/>
  <c r="F21" i="5"/>
  <c r="F108" i="16"/>
  <c r="I21" i="5"/>
  <c r="I108" i="16"/>
  <c r="J97" i="16"/>
  <c r="D21" i="3"/>
  <c r="D89" i="16"/>
  <c r="D93" i="16" s="1"/>
  <c r="I21" i="3"/>
  <c r="I89" i="16"/>
  <c r="I93" i="16" s="1"/>
  <c r="H21" i="3"/>
  <c r="L21" i="3"/>
  <c r="L28" i="3" s="1"/>
  <c r="B21" i="3"/>
  <c r="B89" i="16"/>
  <c r="B93" i="16" s="1"/>
  <c r="C21" i="3"/>
  <c r="C89" i="16"/>
  <c r="C93" i="16" s="1"/>
  <c r="F21" i="3"/>
  <c r="F89" i="16"/>
  <c r="F93" i="16" s="1"/>
  <c r="E21" i="3"/>
  <c r="E89" i="16"/>
  <c r="E93" i="16" s="1"/>
  <c r="G21" i="3"/>
  <c r="G89" i="16"/>
  <c r="G93" i="16" s="1"/>
  <c r="C86" i="16"/>
  <c r="E86" i="16"/>
  <c r="M84" i="16"/>
  <c r="D84" i="16"/>
  <c r="J84" i="16"/>
  <c r="C84" i="16"/>
  <c r="E81" i="16"/>
  <c r="C81" i="16"/>
  <c r="B22" i="18"/>
  <c r="B81" i="16"/>
  <c r="E84" i="16"/>
  <c r="I77" i="16"/>
  <c r="B62" i="16"/>
  <c r="E62" i="16"/>
  <c r="I62" i="16"/>
  <c r="H62" i="16"/>
  <c r="F62" i="16"/>
  <c r="J62" i="16"/>
  <c r="C62" i="16"/>
  <c r="G62" i="16"/>
  <c r="M62" i="16"/>
  <c r="D62" i="16"/>
  <c r="L33" i="16"/>
  <c r="F40" i="16"/>
  <c r="F21" i="13"/>
  <c r="I39" i="16"/>
  <c r="P64" i="16"/>
  <c r="H39" i="16"/>
  <c r="D39" i="16"/>
  <c r="G173" i="16"/>
  <c r="G39" i="16"/>
  <c r="C39" i="16"/>
  <c r="I40" i="16"/>
  <c r="H40" i="16"/>
  <c r="E40" i="16"/>
  <c r="F12" i="13"/>
  <c r="F39" i="16"/>
  <c r="I21" i="4"/>
  <c r="F21" i="16"/>
  <c r="H21" i="13"/>
  <c r="H32" i="16"/>
  <c r="C21" i="12"/>
  <c r="D21" i="12"/>
  <c r="F160" i="11"/>
  <c r="G160" i="11"/>
  <c r="C153" i="16"/>
  <c r="F167" i="11"/>
  <c r="G109" i="11"/>
  <c r="G167" i="11"/>
  <c r="H181" i="11"/>
  <c r="L181" i="11"/>
  <c r="G153" i="16"/>
  <c r="D167" i="11"/>
  <c r="G203" i="11"/>
  <c r="F109" i="11"/>
  <c r="J109" i="11"/>
  <c r="B167" i="11"/>
  <c r="H167" i="11"/>
  <c r="E181" i="11"/>
  <c r="C109" i="11"/>
  <c r="C167" i="11"/>
  <c r="M167" i="11"/>
  <c r="M146" i="11"/>
  <c r="J167" i="11"/>
  <c r="H196" i="11"/>
  <c r="D109" i="11"/>
  <c r="H109" i="11"/>
  <c r="B160" i="11"/>
  <c r="E167" i="11"/>
  <c r="B180" i="11"/>
  <c r="L21" i="11"/>
  <c r="L21" i="9"/>
  <c r="E21" i="9"/>
  <c r="G121" i="16"/>
  <c r="G125" i="16" s="1"/>
  <c r="B126" i="16"/>
  <c r="C126" i="16"/>
  <c r="B21" i="7"/>
  <c r="H21" i="7"/>
  <c r="B21" i="6"/>
  <c r="H12" i="5"/>
  <c r="H21" i="4"/>
  <c r="M100" i="16"/>
  <c r="J22" i="18"/>
  <c r="F86" i="16"/>
  <c r="C22" i="18"/>
  <c r="L21" i="4"/>
  <c r="J21" i="9"/>
  <c r="E160" i="11"/>
  <c r="E146" i="11"/>
  <c r="F196" i="11"/>
  <c r="F203" i="11"/>
  <c r="L109" i="11"/>
  <c r="L167" i="11"/>
  <c r="H180" i="11"/>
  <c r="C21" i="11"/>
  <c r="D21" i="11"/>
  <c r="H21" i="11"/>
  <c r="I21" i="11"/>
  <c r="L146" i="11"/>
  <c r="G196" i="11"/>
  <c r="L110" i="11"/>
  <c r="H160" i="11"/>
  <c r="H203" i="11"/>
  <c r="M181" i="11"/>
  <c r="L160" i="11"/>
  <c r="L180" i="11"/>
  <c r="J153" i="16"/>
  <c r="M109" i="11"/>
  <c r="J21" i="6"/>
  <c r="J21" i="4"/>
  <c r="E21" i="16"/>
  <c r="C21" i="16"/>
  <c r="C181" i="11"/>
  <c r="C160" i="11"/>
  <c r="C23" i="16"/>
  <c r="E23" i="16"/>
  <c r="E21" i="13"/>
  <c r="B173" i="16"/>
  <c r="G21" i="13"/>
  <c r="M21" i="12"/>
  <c r="M21" i="10"/>
  <c r="M21" i="3"/>
  <c r="L52" i="36"/>
  <c r="L57" i="36"/>
  <c r="L46" i="35"/>
  <c r="L41" i="35"/>
  <c r="J22" i="16"/>
  <c r="H23" i="16"/>
  <c r="G22" i="16"/>
  <c r="B22" i="16"/>
  <c r="M21" i="16"/>
  <c r="M20" i="16"/>
  <c r="G20" i="16"/>
  <c r="C20" i="16"/>
  <c r="G21" i="16"/>
  <c r="I20" i="16"/>
  <c r="C22" i="16"/>
  <c r="I22" i="16"/>
  <c r="E22" i="16"/>
  <c r="E20" i="16"/>
  <c r="I23" i="16"/>
  <c r="I21" i="16"/>
  <c r="G23" i="16"/>
  <c r="M22" i="16"/>
  <c r="M23" i="16"/>
  <c r="D23" i="16"/>
  <c r="J21" i="16"/>
  <c r="H22" i="16"/>
  <c r="D22" i="16"/>
  <c r="B21" i="16"/>
  <c r="L21" i="16"/>
  <c r="F20" i="16"/>
  <c r="H21" i="16"/>
  <c r="F23" i="16"/>
  <c r="D21" i="16"/>
  <c r="B23" i="16"/>
  <c r="L22" i="16"/>
  <c r="J23" i="16"/>
  <c r="F22" i="16"/>
  <c r="L20" i="16"/>
  <c r="D20" i="16"/>
  <c r="J20" i="16"/>
  <c r="B20" i="16"/>
  <c r="H4" i="16"/>
  <c r="B133" i="16"/>
  <c r="C133" i="16"/>
  <c r="F4" i="16"/>
  <c r="C3" i="16"/>
  <c r="C4" i="16"/>
  <c r="D4" i="16"/>
  <c r="G3" i="16"/>
  <c r="J4" i="16"/>
  <c r="M3" i="16"/>
  <c r="M4" i="16"/>
  <c r="G4" i="16"/>
  <c r="L4" i="16"/>
  <c r="D3" i="16"/>
  <c r="H3" i="16"/>
  <c r="L3" i="16"/>
  <c r="E3" i="16"/>
  <c r="I3" i="16"/>
  <c r="I4" i="16"/>
  <c r="E4" i="16"/>
  <c r="F3" i="16"/>
  <c r="J3" i="16"/>
  <c r="M160" i="11"/>
  <c r="M180" i="11"/>
  <c r="I181" i="11"/>
  <c r="F21" i="4"/>
  <c r="I21" i="9"/>
  <c r="H125" i="16"/>
  <c r="L21" i="5"/>
  <c r="L28" i="5" s="1"/>
  <c r="M21" i="5"/>
  <c r="M28" i="5" s="1"/>
  <c r="I12" i="5"/>
  <c r="F15" i="16"/>
  <c r="F18" i="16" s="1"/>
  <c r="J15" i="16"/>
  <c r="J18" i="16" s="1"/>
  <c r="M15" i="16"/>
  <c r="M18" i="16" s="1"/>
  <c r="C15" i="16"/>
  <c r="C18" i="16" s="1"/>
  <c r="F181" i="11"/>
  <c r="G146" i="11"/>
  <c r="E126" i="16"/>
  <c r="G137" i="16"/>
  <c r="J145" i="16"/>
  <c r="J149" i="16" s="1"/>
  <c r="B21" i="4"/>
  <c r="B21" i="17"/>
  <c r="F84" i="20"/>
  <c r="F83" i="20"/>
  <c r="F73" i="20"/>
  <c r="F146" i="11"/>
  <c r="D181" i="11"/>
  <c r="D160" i="11"/>
  <c r="D180" i="11"/>
  <c r="I86" i="16"/>
  <c r="I118" i="16"/>
  <c r="G126" i="16"/>
  <c r="G142" i="16"/>
  <c r="C142" i="16"/>
  <c r="H150" i="16"/>
  <c r="D150" i="16"/>
  <c r="J150" i="16"/>
  <c r="B137" i="16"/>
  <c r="E15" i="16"/>
  <c r="E18" i="16" s="1"/>
  <c r="C137" i="16"/>
  <c r="F145" i="16"/>
  <c r="F149" i="16" s="1"/>
  <c r="E21" i="4"/>
  <c r="F21" i="9"/>
  <c r="M21" i="6"/>
  <c r="G180" i="11"/>
  <c r="H73" i="20"/>
  <c r="M166" i="16"/>
  <c r="G166" i="16"/>
  <c r="C166" i="16"/>
  <c r="B86" i="16"/>
  <c r="I73" i="20"/>
  <c r="I126" i="16"/>
  <c r="F113" i="16"/>
  <c r="M142" i="16"/>
  <c r="I167" i="11"/>
  <c r="G118" i="16"/>
  <c r="M137" i="16"/>
  <c r="F21" i="12"/>
  <c r="G181" i="11"/>
  <c r="G80" i="20"/>
  <c r="H69" i="20"/>
  <c r="G69" i="20"/>
  <c r="G84" i="20"/>
  <c r="J160" i="11"/>
  <c r="J180" i="11"/>
  <c r="J146" i="11"/>
  <c r="M126" i="16"/>
  <c r="I116" i="16"/>
  <c r="G21" i="7"/>
  <c r="C179" i="16"/>
  <c r="C181" i="16" s="1"/>
  <c r="D15" i="16"/>
  <c r="D18" i="16" s="1"/>
  <c r="G21" i="17"/>
  <c r="G21" i="6"/>
  <c r="M21" i="8"/>
  <c r="I133" i="16"/>
  <c r="G133" i="16"/>
  <c r="E133" i="16"/>
  <c r="B21" i="12"/>
  <c r="D21" i="4"/>
  <c r="G15" i="16"/>
  <c r="G18" i="16" s="1"/>
  <c r="K84" i="20"/>
  <c r="C21" i="4"/>
  <c r="B15" i="16"/>
  <c r="B12" i="10"/>
  <c r="I18" i="16"/>
  <c r="L21" i="6"/>
  <c r="I157" i="16"/>
  <c r="C101" i="16" l="1"/>
  <c r="I101" i="16"/>
  <c r="B18" i="16"/>
  <c r="K16" i="16"/>
  <c r="B241" i="16"/>
  <c r="C157" i="16"/>
  <c r="G157" i="16"/>
  <c r="E101" i="16"/>
  <c r="M25" i="3"/>
  <c r="M28" i="3"/>
  <c r="E25" i="3"/>
  <c r="E28" i="3"/>
  <c r="C25" i="3"/>
  <c r="C28" i="3"/>
  <c r="H28" i="3"/>
  <c r="H25" i="3"/>
  <c r="D28" i="3"/>
  <c r="D25" i="3"/>
  <c r="L25" i="3"/>
  <c r="G25" i="3"/>
  <c r="G28" i="3"/>
  <c r="F25" i="3"/>
  <c r="F28" i="3"/>
  <c r="B25" i="3"/>
  <c r="B28" i="3"/>
  <c r="I25" i="3"/>
  <c r="I28" i="3"/>
  <c r="D157" i="16"/>
  <c r="G149" i="16"/>
  <c r="C105" i="16"/>
  <c r="C109" i="16" s="1"/>
  <c r="D105" i="16"/>
  <c r="D109" i="16" s="1"/>
  <c r="H105" i="16"/>
  <c r="H109" i="16" s="1"/>
  <c r="H21" i="5"/>
  <c r="H28" i="5" s="1"/>
  <c r="C21" i="5"/>
  <c r="D101" i="16"/>
  <c r="H101" i="16"/>
  <c r="B242" i="16"/>
  <c r="B85" i="16"/>
  <c r="H21" i="17"/>
  <c r="H25" i="17" s="1"/>
  <c r="H71" i="16"/>
  <c r="H77" i="16" s="1"/>
  <c r="M21" i="17"/>
  <c r="C21" i="17"/>
  <c r="C71" i="16"/>
  <c r="C77" i="16" s="1"/>
  <c r="M101" i="16"/>
  <c r="H149" i="16"/>
  <c r="P63" i="16"/>
  <c r="Q64" i="16"/>
  <c r="D149" i="16"/>
  <c r="L153" i="16"/>
  <c r="L239" i="16" s="1"/>
  <c r="L25" i="11"/>
  <c r="Q63" i="16"/>
  <c r="L28" i="11"/>
  <c r="D21" i="6"/>
  <c r="H113" i="16"/>
  <c r="H117" i="16" s="1"/>
  <c r="C116" i="16"/>
  <c r="L29" i="18"/>
  <c r="M156" i="16"/>
  <c r="P66" i="16"/>
  <c r="J101" i="16"/>
  <c r="L47" i="16"/>
  <c r="D25" i="11"/>
  <c r="D28" i="11"/>
  <c r="I28" i="14"/>
  <c r="F28" i="14"/>
  <c r="E28" i="14"/>
  <c r="B28" i="14"/>
  <c r="L135" i="11"/>
  <c r="C135" i="11"/>
  <c r="C28" i="10"/>
  <c r="C25" i="10"/>
  <c r="C21" i="10"/>
  <c r="E28" i="10"/>
  <c r="E25" i="10"/>
  <c r="C145" i="16"/>
  <c r="C149" i="16" s="1"/>
  <c r="E145" i="16"/>
  <c r="E149" i="16" s="1"/>
  <c r="D28" i="10"/>
  <c r="D25" i="10"/>
  <c r="H28" i="10"/>
  <c r="H25" i="10"/>
  <c r="G28" i="10"/>
  <c r="G25" i="10"/>
  <c r="B28" i="10"/>
  <c r="B25" i="10"/>
  <c r="H28" i="9"/>
  <c r="H25" i="9"/>
  <c r="H137" i="16"/>
  <c r="H141" i="16" s="1"/>
  <c r="H21" i="9"/>
  <c r="F25" i="9"/>
  <c r="F28" i="9"/>
  <c r="D28" i="9"/>
  <c r="D25" i="9"/>
  <c r="E28" i="9"/>
  <c r="E25" i="9"/>
  <c r="F137" i="16"/>
  <c r="F141" i="16" s="1"/>
  <c r="D137" i="16"/>
  <c r="D141" i="16" s="1"/>
  <c r="E137" i="16"/>
  <c r="E141" i="16" s="1"/>
  <c r="C21" i="7"/>
  <c r="E28" i="7"/>
  <c r="E25" i="7"/>
  <c r="E21" i="7"/>
  <c r="E121" i="16"/>
  <c r="E125" i="16" s="1"/>
  <c r="B28" i="7"/>
  <c r="B25" i="7"/>
  <c r="C25" i="7"/>
  <c r="C28" i="7"/>
  <c r="B121" i="16"/>
  <c r="B125" i="16" s="1"/>
  <c r="C121" i="16"/>
  <c r="C125" i="16" s="1"/>
  <c r="D117" i="16"/>
  <c r="E28" i="6"/>
  <c r="E25" i="6"/>
  <c r="C113" i="16"/>
  <c r="E113" i="16"/>
  <c r="E117" i="16" s="1"/>
  <c r="D28" i="6"/>
  <c r="D25" i="6"/>
  <c r="H28" i="6"/>
  <c r="H25" i="6"/>
  <c r="G25" i="6"/>
  <c r="G28" i="6"/>
  <c r="B25" i="6"/>
  <c r="B28" i="6"/>
  <c r="C25" i="6"/>
  <c r="C28" i="6"/>
  <c r="E21" i="6"/>
  <c r="G113" i="16"/>
  <c r="G117" i="16" s="1"/>
  <c r="B113" i="16"/>
  <c r="B117" i="16" s="1"/>
  <c r="I28" i="5"/>
  <c r="C28" i="5"/>
  <c r="B21" i="5"/>
  <c r="B28" i="5" s="1"/>
  <c r="E25" i="5"/>
  <c r="E21" i="5"/>
  <c r="B105" i="16"/>
  <c r="G28" i="5"/>
  <c r="F28" i="5"/>
  <c r="D28" i="5"/>
  <c r="G105" i="16"/>
  <c r="G109" i="16" s="1"/>
  <c r="F41" i="16"/>
  <c r="G85" i="16"/>
  <c r="F242" i="16"/>
  <c r="C26" i="18"/>
  <c r="G22" i="18"/>
  <c r="B26" i="18"/>
  <c r="E26" i="18"/>
  <c r="J26" i="18"/>
  <c r="M77" i="16"/>
  <c r="B76" i="16"/>
  <c r="B25" i="17"/>
  <c r="G25" i="17"/>
  <c r="F21" i="17"/>
  <c r="E242" i="16"/>
  <c r="F241" i="16"/>
  <c r="B46" i="16"/>
  <c r="B40" i="16"/>
  <c r="L39" i="16"/>
  <c r="D47" i="16"/>
  <c r="D41" i="16"/>
  <c r="L46" i="16"/>
  <c r="L40" i="16"/>
  <c r="E47" i="16"/>
  <c r="E41" i="16"/>
  <c r="J47" i="16"/>
  <c r="J41" i="16"/>
  <c r="H47" i="16"/>
  <c r="H41" i="16"/>
  <c r="M39" i="16"/>
  <c r="E179" i="16"/>
  <c r="E181" i="16" s="1"/>
  <c r="L131" i="11"/>
  <c r="J125" i="16"/>
  <c r="M117" i="16"/>
  <c r="E241" i="16"/>
  <c r="E46" i="16"/>
  <c r="I46" i="16"/>
  <c r="G45" i="16"/>
  <c r="D45" i="16"/>
  <c r="I45" i="16"/>
  <c r="E45" i="16"/>
  <c r="F45" i="16"/>
  <c r="H46" i="16"/>
  <c r="C45" i="16"/>
  <c r="G46" i="16"/>
  <c r="H45" i="16"/>
  <c r="C47" i="16"/>
  <c r="F46" i="16"/>
  <c r="D242" i="16"/>
  <c r="K20" i="23"/>
  <c r="D20" i="23"/>
  <c r="H20" i="23"/>
  <c r="J20" i="23"/>
  <c r="D40" i="16"/>
  <c r="J21" i="14"/>
  <c r="J179" i="16"/>
  <c r="J181" i="16" s="1"/>
  <c r="C241" i="16"/>
  <c r="M21" i="14"/>
  <c r="M179" i="16"/>
  <c r="C40" i="16"/>
  <c r="I241" i="16"/>
  <c r="G179" i="16"/>
  <c r="G21" i="14"/>
  <c r="G28" i="14" s="1"/>
  <c r="D241" i="16"/>
  <c r="L21" i="14"/>
  <c r="L28" i="14" s="1"/>
  <c r="H241" i="16"/>
  <c r="E21" i="11"/>
  <c r="E153" i="16"/>
  <c r="E157" i="16" s="1"/>
  <c r="G21" i="11"/>
  <c r="F21" i="11"/>
  <c r="F153" i="16"/>
  <c r="F157" i="16" s="1"/>
  <c r="B21" i="11"/>
  <c r="B131" i="11" s="1"/>
  <c r="B153" i="16"/>
  <c r="B157" i="16" s="1"/>
  <c r="M21" i="11"/>
  <c r="M153" i="16"/>
  <c r="J156" i="16"/>
  <c r="H242" i="16"/>
  <c r="L21" i="7"/>
  <c r="D21" i="7"/>
  <c r="D121" i="16"/>
  <c r="D125" i="16" s="1"/>
  <c r="I21" i="7"/>
  <c r="I121" i="16"/>
  <c r="I125" i="16" s="1"/>
  <c r="F21" i="7"/>
  <c r="F121" i="16"/>
  <c r="F125" i="16" s="1"/>
  <c r="I242" i="16"/>
  <c r="F109" i="16"/>
  <c r="I109" i="16"/>
  <c r="G100" i="16"/>
  <c r="H22" i="18"/>
  <c r="H81" i="16"/>
  <c r="H85" i="16" s="1"/>
  <c r="F22" i="18"/>
  <c r="F81" i="16"/>
  <c r="F85" i="16" s="1"/>
  <c r="L22" i="18"/>
  <c r="E85" i="16"/>
  <c r="C85" i="16"/>
  <c r="J85" i="16"/>
  <c r="J77" i="16"/>
  <c r="B77" i="16"/>
  <c r="E63" i="16"/>
  <c r="I63" i="16"/>
  <c r="C63" i="16"/>
  <c r="B63" i="16"/>
  <c r="F63" i="16"/>
  <c r="J63" i="16"/>
  <c r="D63" i="16"/>
  <c r="G63" i="16"/>
  <c r="M63" i="16"/>
  <c r="H63" i="16"/>
  <c r="D77" i="16"/>
  <c r="E77" i="16"/>
  <c r="F173" i="16"/>
  <c r="H173" i="16"/>
  <c r="J117" i="16"/>
  <c r="E173" i="16"/>
  <c r="M173" i="16"/>
  <c r="D173" i="16"/>
  <c r="M21" i="4"/>
  <c r="H15" i="16"/>
  <c r="H20" i="16"/>
  <c r="L23" i="16"/>
  <c r="L35" i="16"/>
  <c r="I21" i="12"/>
  <c r="H21" i="12"/>
  <c r="L21" i="12"/>
  <c r="E21" i="12"/>
  <c r="L15" i="16"/>
  <c r="L18" i="16" s="1"/>
  <c r="J141" i="16"/>
  <c r="I21" i="17"/>
  <c r="M133" i="16"/>
  <c r="J21" i="11"/>
  <c r="H131" i="11"/>
  <c r="H135" i="11"/>
  <c r="D131" i="11"/>
  <c r="D135" i="11"/>
  <c r="I131" i="11"/>
  <c r="I135" i="11"/>
  <c r="C131" i="11"/>
  <c r="J21" i="13"/>
  <c r="J21" i="12"/>
  <c r="I21" i="13"/>
  <c r="C21" i="13"/>
  <c r="C16" i="16"/>
  <c r="J16" i="16"/>
  <c r="M16" i="16"/>
  <c r="F16" i="16"/>
  <c r="E16" i="16"/>
  <c r="D133" i="16"/>
  <c r="D21" i="8"/>
  <c r="F133" i="16"/>
  <c r="F21" i="8"/>
  <c r="D21" i="17"/>
  <c r="I16" i="16"/>
  <c r="F117" i="16"/>
  <c r="F21" i="6"/>
  <c r="L21" i="8"/>
  <c r="B101" i="16"/>
  <c r="G16" i="16"/>
  <c r="D16" i="16"/>
  <c r="I21" i="6"/>
  <c r="M21" i="9"/>
  <c r="B21" i="9"/>
  <c r="J21" i="17"/>
  <c r="J21" i="10"/>
  <c r="D21" i="14"/>
  <c r="D28" i="14" s="1"/>
  <c r="C21" i="14"/>
  <c r="C28" i="14" s="1"/>
  <c r="G21" i="4"/>
  <c r="F21" i="10"/>
  <c r="C21" i="9"/>
  <c r="H21" i="8"/>
  <c r="J21" i="8"/>
  <c r="G141" i="16"/>
  <c r="G21" i="9"/>
  <c r="B239" i="16" l="1"/>
  <c r="M242" i="16"/>
  <c r="J242" i="16"/>
  <c r="H16" i="16"/>
  <c r="H18" i="16"/>
  <c r="F47" i="16"/>
  <c r="M25" i="17"/>
  <c r="C25" i="17"/>
  <c r="J239" i="16"/>
  <c r="J40" i="16"/>
  <c r="M40" i="16"/>
  <c r="L157" i="16"/>
  <c r="C117" i="16"/>
  <c r="L16" i="16"/>
  <c r="L44" i="16"/>
  <c r="L38" i="16"/>
  <c r="I55" i="16"/>
  <c r="I57" i="16" s="1"/>
  <c r="I29" i="18"/>
  <c r="I22" i="18"/>
  <c r="I81" i="16"/>
  <c r="I85" i="16" s="1"/>
  <c r="J28" i="14"/>
  <c r="M28" i="14"/>
  <c r="G135" i="11"/>
  <c r="J135" i="11"/>
  <c r="G131" i="11"/>
  <c r="E135" i="11"/>
  <c r="B135" i="11"/>
  <c r="M135" i="11"/>
  <c r="F131" i="11"/>
  <c r="B109" i="16"/>
  <c r="E28" i="5"/>
  <c r="H26" i="18"/>
  <c r="G26" i="18"/>
  <c r="F26" i="18"/>
  <c r="L26" i="18"/>
  <c r="D25" i="17"/>
  <c r="I25" i="17"/>
  <c r="J25" i="17"/>
  <c r="F25" i="17"/>
  <c r="B47" i="16"/>
  <c r="B41" i="16"/>
  <c r="I38" i="16"/>
  <c r="I44" i="16"/>
  <c r="I47" i="16"/>
  <c r="I41" i="16"/>
  <c r="E38" i="16"/>
  <c r="E44" i="16"/>
  <c r="M47" i="16"/>
  <c r="M41" i="16"/>
  <c r="D38" i="16"/>
  <c r="D44" i="16"/>
  <c r="J39" i="16"/>
  <c r="F44" i="16"/>
  <c r="F38" i="16"/>
  <c r="G47" i="16"/>
  <c r="G41" i="16"/>
  <c r="G44" i="16"/>
  <c r="G38" i="16"/>
  <c r="C44" i="16"/>
  <c r="C38" i="16"/>
  <c r="J38" i="16"/>
  <c r="J44" i="16"/>
  <c r="H38" i="16"/>
  <c r="H44" i="16"/>
  <c r="J157" i="16"/>
  <c r="C242" i="16"/>
  <c r="F135" i="11"/>
  <c r="J131" i="11"/>
  <c r="E131" i="11"/>
  <c r="D46" i="16"/>
  <c r="M46" i="16"/>
  <c r="C46" i="16"/>
  <c r="J46" i="16"/>
  <c r="J241" i="16"/>
  <c r="M157" i="16"/>
  <c r="G181" i="16"/>
  <c r="G241" i="16"/>
  <c r="M181" i="16"/>
  <c r="M241" i="16"/>
  <c r="M131" i="11"/>
  <c r="M21" i="7"/>
  <c r="M121" i="16"/>
  <c r="M125" i="16" s="1"/>
  <c r="G101" i="16"/>
  <c r="G242" i="16"/>
  <c r="D22" i="18"/>
  <c r="D81" i="16"/>
  <c r="M22" i="18"/>
  <c r="M81" i="16"/>
  <c r="E64" i="16"/>
  <c r="I64" i="16"/>
  <c r="D64" i="16"/>
  <c r="F64" i="16"/>
  <c r="J64" i="16"/>
  <c r="C64" i="16"/>
  <c r="B64" i="16"/>
  <c r="G64" i="16"/>
  <c r="M64" i="16"/>
  <c r="H64" i="16"/>
  <c r="F77" i="16"/>
  <c r="G77" i="16"/>
  <c r="J173" i="16"/>
  <c r="J133" i="16"/>
  <c r="M141" i="16"/>
  <c r="L55" i="16"/>
  <c r="L57" i="16" s="1"/>
  <c r="C173" i="16"/>
  <c r="I173" i="16"/>
  <c r="C141" i="16"/>
  <c r="H133" i="16"/>
  <c r="B141" i="16"/>
  <c r="I117" i="16"/>
  <c r="E55" i="16"/>
  <c r="E57" i="16" s="1"/>
  <c r="M239" i="16" l="1"/>
  <c r="L243" i="16"/>
  <c r="L248" i="16" s="1"/>
  <c r="I26" i="18"/>
  <c r="M26" i="18"/>
  <c r="D26" i="18"/>
  <c r="B44" i="16"/>
  <c r="B38" i="16"/>
  <c r="M44" i="16"/>
  <c r="M38" i="16"/>
  <c r="J243" i="16"/>
  <c r="J248" i="16" s="1"/>
  <c r="D85" i="16"/>
  <c r="M85" i="16"/>
  <c r="E61" i="16"/>
  <c r="E66" i="16" s="1"/>
  <c r="I61" i="16"/>
  <c r="I66" i="16" s="1"/>
  <c r="B55" i="16"/>
  <c r="B57" i="16" s="1"/>
  <c r="F61" i="16"/>
  <c r="F66" i="16" s="1"/>
  <c r="J61" i="16"/>
  <c r="J66" i="16" s="1"/>
  <c r="B61" i="16"/>
  <c r="B66" i="16" s="1"/>
  <c r="G61" i="16"/>
  <c r="G66" i="16" s="1"/>
  <c r="M61" i="16"/>
  <c r="M66" i="16" s="1"/>
  <c r="D61" i="16"/>
  <c r="D66" i="16" s="1"/>
  <c r="H61" i="16"/>
  <c r="H66" i="16" s="1"/>
  <c r="C61" i="16"/>
  <c r="C66" i="16" s="1"/>
  <c r="J55" i="16"/>
  <c r="J57" i="16" s="1"/>
  <c r="M55" i="16"/>
  <c r="M57" i="16" s="1"/>
  <c r="G55" i="16"/>
  <c r="G57" i="16" s="1"/>
  <c r="C55" i="16"/>
  <c r="C57" i="16" s="1"/>
  <c r="F55" i="16"/>
  <c r="F57" i="16" s="1"/>
  <c r="D55" i="16"/>
  <c r="D57" i="16" s="1"/>
  <c r="H55" i="16"/>
  <c r="H57" i="16" s="1"/>
  <c r="M243" i="16" l="1"/>
  <c r="M248" i="16" s="1"/>
  <c r="I239" i="16" l="1"/>
  <c r="I243" i="16" s="1"/>
  <c r="I248" i="16" s="1"/>
  <c r="B243" i="16" l="1"/>
  <c r="B248" i="16" s="1"/>
  <c r="C239" i="16"/>
  <c r="C243" i="16" s="1"/>
  <c r="C248" i="16" s="1"/>
  <c r="F239" i="16"/>
  <c r="F243" i="16" s="1"/>
  <c r="F248" i="16" s="1"/>
  <c r="D239" i="16"/>
  <c r="D243" i="16" s="1"/>
  <c r="D248" i="16" s="1"/>
  <c r="E239" i="16" l="1"/>
  <c r="E243" i="16" s="1"/>
  <c r="E248" i="16" s="1"/>
  <c r="H239" i="16"/>
  <c r="H243" i="16" s="1"/>
  <c r="H248" i="16" s="1"/>
  <c r="G239" i="16"/>
  <c r="G243" i="16" s="1"/>
  <c r="G248" i="16" s="1"/>
  <c r="B62" i="35"/>
  <c r="B35" i="35"/>
  <c r="B59" i="35" s="1"/>
  <c r="B36" i="35" l="1"/>
  <c r="C37" i="35"/>
  <c r="B63" i="35"/>
  <c r="B16" i="35" l="1"/>
  <c r="B21" i="35" s="1"/>
  <c r="B46" i="35" l="1"/>
  <c r="B25" i="35"/>
  <c r="B41" i="35"/>
  <c r="B28" i="35"/>
</calcChain>
</file>

<file path=xl/comments1.xml><?xml version="1.0" encoding="utf-8"?>
<comments xmlns="http://schemas.openxmlformats.org/spreadsheetml/2006/main">
  <authors>
    <author>Brent Worthington</author>
  </authors>
  <commentList>
    <comment ref="I89" authorId="0" shapeId="0">
      <text>
        <r>
          <rPr>
            <b/>
            <sz val="9"/>
            <color indexed="81"/>
            <rFont val="Tahoma"/>
            <family val="2"/>
          </rPr>
          <t>Brent Worthington:</t>
        </r>
        <r>
          <rPr>
            <sz val="9"/>
            <color indexed="81"/>
            <rFont val="Tahoma"/>
            <family val="2"/>
          </rPr>
          <t xml:space="preserve">
Corrected Formula</t>
        </r>
      </text>
    </comment>
  </commentList>
</comments>
</file>

<file path=xl/comments10.xml><?xml version="1.0" encoding="utf-8"?>
<comments xmlns="http://schemas.openxmlformats.org/spreadsheetml/2006/main">
  <authors>
    <author>Steven Olson</author>
  </authors>
  <commentList>
    <comment ref="A26" authorId="0" shapeId="0">
      <text>
        <r>
          <rPr>
            <b/>
            <sz val="9"/>
            <color indexed="81"/>
            <rFont val="Calibri"/>
            <family val="2"/>
          </rPr>
          <t>Steven Olson:</t>
        </r>
        <r>
          <rPr>
            <sz val="9"/>
            <color indexed="81"/>
            <rFont val="Calibri"/>
            <family val="2"/>
          </rPr>
          <t xml:space="preserve">
Source - Alan K. 2017.01.30 Loveland Water and Power Data thru 2016</t>
        </r>
      </text>
    </comment>
    <comment ref="A35" authorId="0" shapeId="0">
      <text>
        <r>
          <rPr>
            <b/>
            <sz val="9"/>
            <color indexed="81"/>
            <rFont val="Calibri"/>
            <family val="2"/>
          </rPr>
          <t>Steven Olson:</t>
        </r>
        <r>
          <rPr>
            <sz val="9"/>
            <color indexed="81"/>
            <rFont val="Calibri"/>
            <family val="2"/>
          </rPr>
          <t xml:space="preserve">
Changed from Administration
 to Development Svc in 1020
</t>
        </r>
      </text>
    </comment>
    <comment ref="A38" authorId="0" shapeId="0">
      <text>
        <r>
          <rPr>
            <b/>
            <sz val="9"/>
            <color indexed="81"/>
            <rFont val="Calibri"/>
            <family val="2"/>
          </rPr>
          <t>Steven Olson:</t>
        </r>
        <r>
          <rPr>
            <sz val="9"/>
            <color indexed="81"/>
            <rFont val="Calibri"/>
            <family val="2"/>
          </rPr>
          <t xml:space="preserve">
Changed fm Comm &amp; Strat Planning to Current Planning in 2017 Budget
</t>
        </r>
      </text>
    </comment>
    <comment ref="A65" authorId="0" shapeId="0">
      <text>
        <r>
          <rPr>
            <b/>
            <sz val="9"/>
            <color indexed="81"/>
            <rFont val="Calibri"/>
            <family val="2"/>
          </rPr>
          <t>Steven Olson:</t>
        </r>
        <r>
          <rPr>
            <sz val="9"/>
            <color indexed="81"/>
            <rFont val="Calibri"/>
            <family val="2"/>
          </rPr>
          <t xml:space="preserve">
Changed from Administration
 to Development Svc in 1020
</t>
        </r>
      </text>
    </comment>
    <comment ref="A68" authorId="0" shapeId="0">
      <text>
        <r>
          <rPr>
            <b/>
            <sz val="9"/>
            <color indexed="81"/>
            <rFont val="Calibri"/>
            <family val="2"/>
          </rPr>
          <t>Steven Olson:</t>
        </r>
        <r>
          <rPr>
            <sz val="9"/>
            <color indexed="81"/>
            <rFont val="Calibri"/>
            <family val="2"/>
          </rPr>
          <t xml:space="preserve">
Changed fm Comm &amp; Strat Planning to Current Planning in 2017 Budget
</t>
        </r>
      </text>
    </comment>
    <comment ref="A319" authorId="0"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comments11.xml><?xml version="1.0" encoding="utf-8"?>
<comments xmlns="http://schemas.openxmlformats.org/spreadsheetml/2006/main">
  <authors>
    <author>Jeff Miller</author>
    <author>Steven Olson</author>
  </authors>
  <commentList>
    <comment ref="C19" authorId="0" shapeId="0">
      <text>
        <r>
          <rPr>
            <b/>
            <sz val="9"/>
            <color indexed="81"/>
            <rFont val="Tahoma"/>
            <family val="2"/>
          </rPr>
          <t>Jeff Miller:</t>
        </r>
        <r>
          <rPr>
            <sz val="9"/>
            <color indexed="81"/>
            <rFont val="Tahoma"/>
            <family val="2"/>
          </rPr>
          <t xml:space="preserve">
Lodging tax
</t>
        </r>
      </text>
    </comment>
    <comment ref="A26" authorId="1"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comments12.xml><?xml version="1.0" encoding="utf-8"?>
<comments xmlns="http://schemas.openxmlformats.org/spreadsheetml/2006/main">
  <authors>
    <author>Steven Olson</author>
  </authors>
  <commentList>
    <comment ref="A26" authorId="0" shapeId="0">
      <text>
        <r>
          <rPr>
            <b/>
            <sz val="9"/>
            <color indexed="81"/>
            <rFont val="Calibri"/>
            <family val="2"/>
          </rPr>
          <t>Steven Olson:</t>
        </r>
        <r>
          <rPr>
            <sz val="9"/>
            <color indexed="81"/>
            <rFont val="Calibri"/>
            <family val="2"/>
          </rPr>
          <t xml:space="preserve">
Source - Alan K. 2017.01.30 Loveland Water and Power Data thru 2016</t>
        </r>
      </text>
    </comment>
    <comment ref="E42" authorId="0" shapeId="0">
      <text>
        <r>
          <rPr>
            <b/>
            <sz val="9"/>
            <color indexed="81"/>
            <rFont val="Calibri"/>
            <family val="2"/>
          </rPr>
          <t>Steven Olson:</t>
        </r>
        <r>
          <rPr>
            <sz val="9"/>
            <color indexed="81"/>
            <rFont val="Calibri"/>
            <family val="2"/>
          </rPr>
          <t xml:space="preserve">
Purchasing and Accounting Combined </t>
        </r>
      </text>
    </comment>
  </commentList>
</comments>
</file>

<file path=xl/comments13.xml><?xml version="1.0" encoding="utf-8"?>
<comments xmlns="http://schemas.openxmlformats.org/spreadsheetml/2006/main">
  <authors>
    <author>Steven Olson</author>
  </authors>
  <commentList>
    <comment ref="A26" authorId="0"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comments14.xml><?xml version="1.0" encoding="utf-8"?>
<comments xmlns="http://schemas.openxmlformats.org/spreadsheetml/2006/main">
  <authors>
    <author>Steven Olson</author>
  </authors>
  <commentList>
    <comment ref="A26" authorId="0"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comments15.xml><?xml version="1.0" encoding="utf-8"?>
<comments xmlns="http://schemas.openxmlformats.org/spreadsheetml/2006/main">
  <authors>
    <author>Steven Olson</author>
  </authors>
  <commentList>
    <comment ref="A26" authorId="0"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comments16.xml><?xml version="1.0" encoding="utf-8"?>
<comments xmlns="http://schemas.openxmlformats.org/spreadsheetml/2006/main">
  <authors>
    <author>Steven Olson</author>
  </authors>
  <commentList>
    <comment ref="A26" authorId="0" shapeId="0">
      <text>
        <r>
          <rPr>
            <b/>
            <sz val="9"/>
            <color indexed="81"/>
            <rFont val="Calibri"/>
            <family val="2"/>
          </rPr>
          <t>Steven Olson:</t>
        </r>
        <r>
          <rPr>
            <sz val="9"/>
            <color indexed="81"/>
            <rFont val="Calibri"/>
            <family val="2"/>
          </rPr>
          <t xml:space="preserve">
Source - Alan K. 2017.01.30 Loveland Water and Power Data thru 2016</t>
        </r>
      </text>
    </comment>
    <comment ref="A137" authorId="0"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comments17.xml><?xml version="1.0" encoding="utf-8"?>
<comments xmlns="http://schemas.openxmlformats.org/spreadsheetml/2006/main">
  <authors>
    <author>Steven Olson</author>
    <author>Joyce Robinson</author>
  </authors>
  <commentList>
    <comment ref="A26" authorId="0" shapeId="0">
      <text>
        <r>
          <rPr>
            <b/>
            <sz val="9"/>
            <color indexed="81"/>
            <rFont val="Calibri"/>
            <family val="2"/>
          </rPr>
          <t>Steven Olson:</t>
        </r>
        <r>
          <rPr>
            <sz val="9"/>
            <color indexed="81"/>
            <rFont val="Calibri"/>
            <family val="2"/>
          </rPr>
          <t xml:space="preserve">
Source - Alan K. 2017.01.30 Loveland Water and Power Data thru 2016</t>
        </r>
      </text>
    </comment>
    <comment ref="H45" authorId="1" shapeId="0">
      <text>
        <r>
          <rPr>
            <b/>
            <sz val="9"/>
            <color indexed="81"/>
            <rFont val="Tahoma"/>
            <family val="2"/>
          </rPr>
          <t>Joyce Robinson:</t>
        </r>
        <r>
          <rPr>
            <sz val="9"/>
            <color indexed="81"/>
            <rFont val="Tahoma"/>
            <family val="2"/>
          </rPr>
          <t xml:space="preserve">
New software</t>
        </r>
      </text>
    </comment>
  </commentList>
</comments>
</file>

<file path=xl/comments18.xml><?xml version="1.0" encoding="utf-8"?>
<comments xmlns="http://schemas.openxmlformats.org/spreadsheetml/2006/main">
  <authors>
    <author>Joyce Robinson</author>
    <author>Steven Olson</author>
  </authors>
  <commentList>
    <comment ref="A19" authorId="0" shapeId="0">
      <text>
        <r>
          <rPr>
            <b/>
            <sz val="9"/>
            <color indexed="81"/>
            <rFont val="Tahoma"/>
            <family val="2"/>
          </rPr>
          <t>Joyce Robinson:</t>
        </r>
        <r>
          <rPr>
            <sz val="9"/>
            <color indexed="81"/>
            <rFont val="Tahoma"/>
            <family val="2"/>
          </rPr>
          <t xml:space="preserve">
Transportation and Parking Facility Funds and Streets CEF</t>
        </r>
      </text>
    </comment>
    <comment ref="A26" authorId="1" shapeId="0">
      <text>
        <r>
          <rPr>
            <b/>
            <sz val="9"/>
            <color indexed="81"/>
            <rFont val="Calibri"/>
            <family val="2"/>
          </rPr>
          <t>Steven Olson:</t>
        </r>
        <r>
          <rPr>
            <sz val="9"/>
            <color indexed="81"/>
            <rFont val="Calibri"/>
            <family val="2"/>
          </rPr>
          <t xml:space="preserve">
Source - Alan K. 2017.01.30 Loveland Water and Power Data thru 2016</t>
        </r>
      </text>
    </comment>
    <comment ref="A122" authorId="1" shapeId="0">
      <text>
        <r>
          <rPr>
            <b/>
            <sz val="9"/>
            <color indexed="81"/>
            <rFont val="Calibri"/>
            <family val="2"/>
          </rPr>
          <t>Steven Olson:</t>
        </r>
        <r>
          <rPr>
            <sz val="9"/>
            <color indexed="81"/>
            <rFont val="Calibri"/>
            <family val="2"/>
          </rPr>
          <t xml:space="preserve">
Changed from Traffic Engineering to Transportation Pgm in 2013 Budget
</t>
        </r>
      </text>
    </comment>
  </commentList>
</comments>
</file>

<file path=xl/comments19.xml><?xml version="1.0" encoding="utf-8"?>
<comments xmlns="http://schemas.openxmlformats.org/spreadsheetml/2006/main">
  <authors>
    <author>Steven Olson</author>
  </authors>
  <commentList>
    <comment ref="A9" authorId="0" shapeId="0">
      <text>
        <r>
          <rPr>
            <b/>
            <sz val="9"/>
            <color indexed="81"/>
            <rFont val="Calibri"/>
            <family val="2"/>
          </rPr>
          <t>Steven Olson:</t>
        </r>
        <r>
          <rPr>
            <sz val="9"/>
            <color indexed="81"/>
            <rFont val="Calibri"/>
            <family val="2"/>
          </rPr>
          <t xml:space="preserve">
Moved from Develop SVC to City Mgr in 2015
</t>
        </r>
      </text>
    </comment>
    <comment ref="A26" authorId="0" shapeId="0">
      <text>
        <r>
          <rPr>
            <b/>
            <sz val="9"/>
            <color indexed="81"/>
            <rFont val="Calibri"/>
            <family val="2"/>
          </rPr>
          <t>Steven Olson:</t>
        </r>
        <r>
          <rPr>
            <sz val="9"/>
            <color indexed="81"/>
            <rFont val="Calibri"/>
            <family val="2"/>
          </rPr>
          <t xml:space="preserve">
Source - Alan K. 2017.01.30 Loveland Water and Power Data thru 2016</t>
        </r>
      </text>
    </comment>
    <comment ref="A50" authorId="0" shapeId="0">
      <text>
        <r>
          <rPr>
            <b/>
            <sz val="9"/>
            <color indexed="81"/>
            <rFont val="Calibri"/>
            <family val="2"/>
          </rPr>
          <t>Steven Olson:</t>
        </r>
        <r>
          <rPr>
            <sz val="9"/>
            <color indexed="81"/>
            <rFont val="Calibri"/>
            <family val="2"/>
          </rPr>
          <t xml:space="preserve">
Labled as Purchased Services until 2013.  Specifically identified as purchased Power 2o15 Budget
</t>
        </r>
      </text>
    </comment>
  </commentList>
</comments>
</file>

<file path=xl/comments2.xml><?xml version="1.0" encoding="utf-8"?>
<comments xmlns="http://schemas.openxmlformats.org/spreadsheetml/2006/main">
  <authors>
    <author>Steven Olson</author>
  </authors>
  <commentList>
    <comment ref="A4" authorId="0" shapeId="0">
      <text>
        <r>
          <rPr>
            <b/>
            <sz val="9"/>
            <color indexed="81"/>
            <rFont val="Calibri"/>
            <family val="2"/>
          </rPr>
          <t>Steven Olson:</t>
        </r>
        <r>
          <rPr>
            <sz val="9"/>
            <color indexed="81"/>
            <rFont val="Calibri"/>
            <family val="2"/>
          </rPr>
          <t xml:space="preserve">
Source: Alsn K - Pop data provided 1/30/17
See Data table - Stats Tab</t>
        </r>
      </text>
    </comment>
  </commentList>
</comments>
</file>

<file path=xl/comments20.xml><?xml version="1.0" encoding="utf-8"?>
<comments xmlns="http://schemas.openxmlformats.org/spreadsheetml/2006/main">
  <authors>
    <author>Steven Olson</author>
  </authors>
  <commentList>
    <comment ref="A29" authorId="0"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comments21.xml><?xml version="1.0" encoding="utf-8"?>
<comments xmlns="http://schemas.openxmlformats.org/spreadsheetml/2006/main">
  <authors>
    <author>Steven Olson</author>
  </authors>
  <commentList>
    <comment ref="A59" authorId="0"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comments22.xml><?xml version="1.0" encoding="utf-8"?>
<comments xmlns="http://schemas.openxmlformats.org/spreadsheetml/2006/main">
  <authors>
    <author>Matthew Elliott</author>
  </authors>
  <commentList>
    <comment ref="D5" authorId="0" shapeId="0">
      <text>
        <r>
          <rPr>
            <b/>
            <sz val="9"/>
            <color indexed="81"/>
            <rFont val="Tahoma"/>
            <family val="2"/>
          </rPr>
          <t>Matthew Elliott:</t>
        </r>
        <r>
          <rPr>
            <sz val="9"/>
            <color indexed="81"/>
            <rFont val="Tahoma"/>
            <family val="2"/>
          </rPr>
          <t xml:space="preserve">
Personnel, Supplies &amp; Fixed Charges
PG. 20-2</t>
        </r>
      </text>
    </comment>
    <comment ref="D6" authorId="0" shapeId="0">
      <text>
        <r>
          <rPr>
            <b/>
            <sz val="9"/>
            <color indexed="81"/>
            <rFont val="Tahoma"/>
            <family val="2"/>
          </rPr>
          <t>Matthew Elliott:</t>
        </r>
        <r>
          <rPr>
            <sz val="9"/>
            <color indexed="81"/>
            <rFont val="Tahoma"/>
            <family val="2"/>
          </rPr>
          <t xml:space="preserve">
Purchased Services</t>
        </r>
      </text>
    </comment>
    <comment ref="C12" authorId="0" shapeId="0">
      <text>
        <r>
          <rPr>
            <b/>
            <sz val="9"/>
            <color indexed="81"/>
            <rFont val="Tahoma"/>
            <family val="2"/>
          </rPr>
          <t>Matthew Elliott:</t>
        </r>
        <r>
          <rPr>
            <sz val="9"/>
            <color indexed="81"/>
            <rFont val="Tahoma"/>
            <family val="2"/>
          </rPr>
          <t xml:space="preserve">
This is a transfer not in object code 43714</t>
        </r>
      </text>
    </comment>
    <comment ref="I13" authorId="0" shapeId="0">
      <text>
        <r>
          <rPr>
            <b/>
            <sz val="9"/>
            <color indexed="81"/>
            <rFont val="Tahoma"/>
            <family val="2"/>
          </rPr>
          <t>Matthew Elliott:</t>
        </r>
        <r>
          <rPr>
            <sz val="9"/>
            <color indexed="81"/>
            <rFont val="Tahoma"/>
            <family val="2"/>
          </rPr>
          <t xml:space="preserve">
Loveland's share of tax increment financing</t>
        </r>
      </text>
    </comment>
    <comment ref="J13" authorId="0" shapeId="0">
      <text>
        <r>
          <rPr>
            <b/>
            <sz val="9"/>
            <color indexed="81"/>
            <rFont val="Tahoma"/>
            <family val="2"/>
          </rPr>
          <t>Matthew Elliott:</t>
        </r>
        <r>
          <rPr>
            <sz val="9"/>
            <color indexed="81"/>
            <rFont val="Tahoma"/>
            <family val="2"/>
          </rPr>
          <t xml:space="preserve">
city's contribution to cemetery
</t>
        </r>
      </text>
    </comment>
    <comment ref="L13" authorId="0" shapeId="0">
      <text>
        <r>
          <rPr>
            <b/>
            <sz val="9"/>
            <color indexed="81"/>
            <rFont val="Tahoma"/>
            <family val="2"/>
          </rPr>
          <t>Matthew Elliott:</t>
        </r>
        <r>
          <rPr>
            <sz val="9"/>
            <color indexed="81"/>
            <rFont val="Tahoma"/>
            <family val="2"/>
          </rPr>
          <t xml:space="preserve">
I-25 Business Alliance Support ($20,000) &amp; Table sponsorship for Chamber ($2,000)</t>
        </r>
      </text>
    </comment>
    <comment ref="J15" authorId="0" shapeId="0">
      <text>
        <r>
          <rPr>
            <b/>
            <sz val="9"/>
            <color indexed="81"/>
            <rFont val="Tahoma"/>
            <family val="2"/>
          </rPr>
          <t>Matthew Elliott:</t>
        </r>
        <r>
          <rPr>
            <sz val="9"/>
            <color indexed="81"/>
            <rFont val="Tahoma"/>
            <family val="2"/>
          </rPr>
          <t xml:space="preserve">
Employee Benefits Contribution</t>
        </r>
      </text>
    </comment>
    <comment ref="K15" authorId="0" shapeId="0">
      <text>
        <r>
          <rPr>
            <b/>
            <sz val="9"/>
            <color indexed="81"/>
            <rFont val="Tahoma"/>
            <family val="2"/>
          </rPr>
          <t>Matthew Elliott:</t>
        </r>
        <r>
          <rPr>
            <sz val="9"/>
            <color indexed="81"/>
            <rFont val="Tahoma"/>
            <family val="2"/>
          </rPr>
          <t xml:space="preserve">
Employee Benefits Contribution</t>
        </r>
      </text>
    </comment>
    <comment ref="J20" authorId="0" shapeId="0">
      <text>
        <r>
          <rPr>
            <b/>
            <sz val="9"/>
            <color indexed="81"/>
            <rFont val="Tahoma"/>
            <family val="2"/>
          </rPr>
          <t>Matthew Elliott:</t>
        </r>
        <r>
          <rPr>
            <sz val="9"/>
            <color indexed="81"/>
            <rFont val="Tahoma"/>
            <family val="2"/>
          </rPr>
          <t xml:space="preserve">
South Catalyst direct funding from the GF; it is classified as "purchased service" on the ND tab and listed as "direct capital" on the FMP</t>
        </r>
      </text>
    </comment>
    <comment ref="L23" authorId="0" shapeId="0">
      <text>
        <r>
          <rPr>
            <b/>
            <sz val="9"/>
            <color indexed="81"/>
            <rFont val="Tahoma"/>
            <family val="2"/>
          </rPr>
          <t>Matthew Elliott:</t>
        </r>
        <r>
          <rPr>
            <sz val="9"/>
            <color indexed="81"/>
            <rFont val="Tahoma"/>
            <family val="2"/>
          </rPr>
          <t xml:space="preserve">
also includes backfilled fee waivers</t>
        </r>
      </text>
    </comment>
    <comment ref="D37" authorId="0" shapeId="0">
      <text>
        <r>
          <rPr>
            <b/>
            <sz val="9"/>
            <color indexed="81"/>
            <rFont val="Tahoma"/>
            <family val="2"/>
          </rPr>
          <t>Matthew Elliott:</t>
        </r>
        <r>
          <rPr>
            <sz val="9"/>
            <color indexed="81"/>
            <rFont val="Tahoma"/>
            <family val="2"/>
          </rPr>
          <t xml:space="preserve">
what fund is this?</t>
        </r>
      </text>
    </comment>
  </commentList>
</comments>
</file>

<file path=xl/comments23.xml><?xml version="1.0" encoding="utf-8"?>
<comments xmlns="http://schemas.openxmlformats.org/spreadsheetml/2006/main">
  <authors>
    <author>Steven Olson</author>
  </authors>
  <commentList>
    <comment ref="A74" authorId="0"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comments3.xml><?xml version="1.0" encoding="utf-8"?>
<comments xmlns="http://schemas.openxmlformats.org/spreadsheetml/2006/main">
  <authors>
    <author>Steven Olson</author>
  </authors>
  <commentList>
    <comment ref="A60" authorId="0"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comments4.xml><?xml version="1.0" encoding="utf-8"?>
<comments xmlns="http://schemas.openxmlformats.org/spreadsheetml/2006/main">
  <authors>
    <author>Steven Olson</author>
  </authors>
  <commentList>
    <comment ref="A26" authorId="0"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comments5.xml><?xml version="1.0" encoding="utf-8"?>
<comments xmlns="http://schemas.openxmlformats.org/spreadsheetml/2006/main">
  <authors>
    <author>Jeff Miller</author>
    <author>Steven Olson</author>
  </authors>
  <commentList>
    <comment ref="C17" authorId="0" shapeId="0">
      <text>
        <r>
          <rPr>
            <b/>
            <sz val="9"/>
            <color indexed="81"/>
            <rFont val="Tahoma"/>
            <family val="2"/>
          </rPr>
          <t>Jeff Miller:</t>
        </r>
        <r>
          <rPr>
            <sz val="9"/>
            <color indexed="81"/>
            <rFont val="Tahoma"/>
            <family val="2"/>
          </rPr>
          <t xml:space="preserve">
Comm Ptrnshp in DS Fund
</t>
        </r>
      </text>
    </comment>
    <comment ref="A38" authorId="1" shapeId="0">
      <text>
        <r>
          <rPr>
            <b/>
            <sz val="9"/>
            <color indexed="81"/>
            <rFont val="Calibri"/>
            <family val="2"/>
          </rPr>
          <t>Steven Olson:</t>
        </r>
        <r>
          <rPr>
            <sz val="9"/>
            <color indexed="81"/>
            <rFont val="Calibri"/>
            <family val="2"/>
          </rPr>
          <t xml:space="preserve">
Moved from Develop SVC to City Mgr in 2015
Joyce Robinson:
Separate department in 2011 budget book.</t>
        </r>
      </text>
    </comment>
    <comment ref="A62" authorId="1" shapeId="0">
      <text>
        <r>
          <rPr>
            <b/>
            <sz val="9"/>
            <color indexed="81"/>
            <rFont val="Calibri"/>
            <family val="2"/>
          </rPr>
          <t>Steven Olson:</t>
        </r>
        <r>
          <rPr>
            <sz val="9"/>
            <color indexed="81"/>
            <rFont val="Calibri"/>
            <family val="2"/>
          </rPr>
          <t xml:space="preserve">
Source - Alan K. 2017.01.30 Loveland Water and Power Data thru 2016</t>
        </r>
      </text>
    </comment>
    <comment ref="A68" authorId="1" shapeId="0">
      <text>
        <r>
          <rPr>
            <b/>
            <sz val="9"/>
            <color indexed="81"/>
            <rFont val="Calibri"/>
            <family val="2"/>
          </rPr>
          <t>Steven Olson:</t>
        </r>
        <r>
          <rPr>
            <sz val="9"/>
            <color indexed="81"/>
            <rFont val="Calibri"/>
            <family val="2"/>
          </rPr>
          <t xml:space="preserve">
Moved from Develop SVC to City Mgr in 2015
</t>
        </r>
      </text>
    </comment>
    <comment ref="A81" authorId="1" shapeId="0">
      <text>
        <r>
          <rPr>
            <b/>
            <sz val="9"/>
            <color indexed="81"/>
            <rFont val="Calibri"/>
            <family val="2"/>
          </rPr>
          <t>Steven Olson:</t>
        </r>
        <r>
          <rPr>
            <sz val="9"/>
            <color indexed="81"/>
            <rFont val="Calibri"/>
            <family val="2"/>
          </rPr>
          <t xml:space="preserve">
Moved from Develop SVC to City Mgr in 2015
</t>
        </r>
      </text>
    </comment>
  </commentList>
</comments>
</file>

<file path=xl/comments6.xml><?xml version="1.0" encoding="utf-8"?>
<comments xmlns="http://schemas.openxmlformats.org/spreadsheetml/2006/main">
  <authors>
    <author>Steven Olson</author>
  </authors>
  <commentList>
    <comment ref="A39" authorId="0" shapeId="0">
      <text>
        <r>
          <rPr>
            <b/>
            <sz val="9"/>
            <color indexed="81"/>
            <rFont val="Calibri"/>
            <family val="2"/>
          </rPr>
          <t>Steven Olson:</t>
        </r>
        <r>
          <rPr>
            <sz val="9"/>
            <color indexed="81"/>
            <rFont val="Calibri"/>
            <family val="2"/>
          </rPr>
          <t xml:space="preserve">
Moved from Develop SVC to City Mgr in 2015
</t>
        </r>
      </text>
    </comment>
    <comment ref="A53" authorId="0"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comments7.xml><?xml version="1.0" encoding="utf-8"?>
<comments xmlns="http://schemas.openxmlformats.org/spreadsheetml/2006/main">
  <authors>
    <author>Steven Olson</author>
  </authors>
  <commentList>
    <comment ref="A9" authorId="0" shapeId="0">
      <text>
        <r>
          <rPr>
            <b/>
            <sz val="9"/>
            <color indexed="81"/>
            <rFont val="Calibri"/>
            <family val="2"/>
          </rPr>
          <t>Steven Olson:</t>
        </r>
        <r>
          <rPr>
            <sz val="9"/>
            <color indexed="81"/>
            <rFont val="Calibri"/>
            <family val="2"/>
          </rPr>
          <t xml:space="preserve">
Moved from Develop SVC to City Mgr in 2015
</t>
        </r>
      </text>
    </comment>
    <comment ref="A49" authorId="0"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comments8.xml><?xml version="1.0" encoding="utf-8"?>
<comments xmlns="http://schemas.openxmlformats.org/spreadsheetml/2006/main">
  <authors>
    <author>Steven Olson</author>
  </authors>
  <commentList>
    <comment ref="A60" authorId="0"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comments9.xml><?xml version="1.0" encoding="utf-8"?>
<comments xmlns="http://schemas.openxmlformats.org/spreadsheetml/2006/main">
  <authors>
    <author>Steven Olson</author>
  </authors>
  <commentList>
    <comment ref="A9" authorId="0" shapeId="0">
      <text>
        <r>
          <rPr>
            <b/>
            <sz val="9"/>
            <color indexed="81"/>
            <rFont val="Calibri"/>
            <family val="2"/>
          </rPr>
          <t>Steven Olson:</t>
        </r>
        <r>
          <rPr>
            <sz val="9"/>
            <color indexed="81"/>
            <rFont val="Calibri"/>
            <family val="2"/>
          </rPr>
          <t xml:space="preserve">
Moved from Develop SVC to City Mgr in 2015
</t>
        </r>
      </text>
    </comment>
    <comment ref="A27" authorId="0"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sharedStrings.xml><?xml version="1.0" encoding="utf-8"?>
<sst xmlns="http://schemas.openxmlformats.org/spreadsheetml/2006/main" count="1645" uniqueCount="382">
  <si>
    <t>Expenses</t>
  </si>
  <si>
    <t>Adult Athletics</t>
  </si>
  <si>
    <t>Concessions/Batting Cages</t>
  </si>
  <si>
    <t>Chilson Recreation Cntr</t>
  </si>
  <si>
    <t>Outdoor Aquatics</t>
  </si>
  <si>
    <t>Recreation Programs</t>
  </si>
  <si>
    <t>Special Rec Svc</t>
  </si>
  <si>
    <t>Youth Activities</t>
  </si>
  <si>
    <t>Golf-enterprise</t>
  </si>
  <si>
    <t>Mariana</t>
  </si>
  <si>
    <t>Original Bud</t>
  </si>
  <si>
    <t>Conservation Trust</t>
  </si>
  <si>
    <t>Open Space</t>
  </si>
  <si>
    <t>Admin</t>
  </si>
  <si>
    <t>Park Improvement</t>
  </si>
  <si>
    <t>Cattail Creek</t>
  </si>
  <si>
    <t>Olde  (Cattail-2010-)</t>
  </si>
  <si>
    <t>Play Tee Mgt</t>
  </si>
  <si>
    <t>Parks</t>
  </si>
  <si>
    <t>Administration</t>
  </si>
  <si>
    <t xml:space="preserve">     Total</t>
  </si>
  <si>
    <t>City Population</t>
  </si>
  <si>
    <t>Employee Head Count</t>
  </si>
  <si>
    <t>Dept Selected Metric</t>
  </si>
  <si>
    <t>Funded W/O Supplement</t>
  </si>
  <si>
    <t>Funding W Supplement</t>
  </si>
  <si>
    <t xml:space="preserve">Ratio's </t>
  </si>
  <si>
    <t>Funding W/O Sup per Pop</t>
  </si>
  <si>
    <t>Funding W/O Sup per FTE</t>
  </si>
  <si>
    <t>Funding pe Dept Hd Metric</t>
  </si>
  <si>
    <t>Total City Budget</t>
  </si>
  <si>
    <t>Human Resources</t>
  </si>
  <si>
    <t>Legislative</t>
  </si>
  <si>
    <t>Finance</t>
  </si>
  <si>
    <t>Information Technology</t>
  </si>
  <si>
    <t>Economic Development</t>
  </si>
  <si>
    <t>Development Services</t>
  </si>
  <si>
    <t>Public Works</t>
  </si>
  <si>
    <t>Police</t>
  </si>
  <si>
    <t>Parks &amp; Recreation</t>
  </si>
  <si>
    <t>Library</t>
  </si>
  <si>
    <t>Cultural Services</t>
  </si>
  <si>
    <t>% Change from Yr to Yr</t>
  </si>
  <si>
    <t>Expenses per person</t>
  </si>
  <si>
    <t>Beginning Balance</t>
  </si>
  <si>
    <t>Executive &amp; Legal</t>
  </si>
  <si>
    <t>City Clerk</t>
  </si>
  <si>
    <t>Employee FTE - W Golf</t>
  </si>
  <si>
    <t>Employee FTE P&amp;R</t>
  </si>
  <si>
    <t>Employee FTE - Golf</t>
  </si>
  <si>
    <t>Revised</t>
  </si>
  <si>
    <t>City Manager</t>
  </si>
  <si>
    <t>Public Information</t>
  </si>
  <si>
    <t>Community Partnership</t>
  </si>
  <si>
    <t>Municipal Court</t>
  </si>
  <si>
    <t>Actual</t>
  </si>
  <si>
    <t>Budget</t>
  </si>
  <si>
    <t>City Attorney</t>
  </si>
  <si>
    <t>Dept Sum</t>
  </si>
  <si>
    <t>Non-Departmental</t>
  </si>
  <si>
    <t xml:space="preserve">Employee FTE </t>
  </si>
  <si>
    <t>FTE Total</t>
  </si>
  <si>
    <t>Expenses per Pop Svc'd</t>
  </si>
  <si>
    <t xml:space="preserve">     Total Exp per FTE</t>
  </si>
  <si>
    <t>FTEs per 1,000 Pop</t>
  </si>
  <si>
    <t>Ops FTEs per 1,000 Pop</t>
  </si>
  <si>
    <t>Inflation Rate</t>
  </si>
  <si>
    <t>% Chg over Prior Yr</t>
  </si>
  <si>
    <t>Expenditures</t>
  </si>
  <si>
    <t>% Chg from 5 Yrs earlier</t>
  </si>
  <si>
    <t>Expenditurs per FTE</t>
  </si>
  <si>
    <t>Dept 1</t>
  </si>
  <si>
    <t>Dept 2</t>
  </si>
  <si>
    <t>Dept 3</t>
  </si>
  <si>
    <t>Dept 4</t>
  </si>
  <si>
    <t>Recreation</t>
  </si>
  <si>
    <t>Enterprise Fund</t>
  </si>
  <si>
    <t>Golf</t>
  </si>
  <si>
    <t>Special Revenue Funds</t>
  </si>
  <si>
    <t>Total</t>
  </si>
  <si>
    <t>Perpetual Ccare</t>
  </si>
  <si>
    <t>Special Revenue Funds - Exp per FTE</t>
  </si>
  <si>
    <t>Enterprise Fund - Exp per FTE</t>
  </si>
  <si>
    <t>Power</t>
  </si>
  <si>
    <t>Wastewater</t>
  </si>
  <si>
    <t>Discrete users Chilson</t>
  </si>
  <si>
    <t xml:space="preserve"> Total discrete users over the period of 2011 through 2017 </t>
  </si>
  <si>
    <t>Please note that this does not account for class registrants, rentals, spectators, or daily admission guests who visit without a punch card or pass</t>
  </si>
  <si>
    <t>Internal Service Funds</t>
  </si>
  <si>
    <t>Water &amp; Power</t>
  </si>
  <si>
    <t>Revenues</t>
  </si>
  <si>
    <t>Total Special  Revenue Funds</t>
  </si>
  <si>
    <t>General Fund</t>
  </si>
  <si>
    <t>Enterprise Funds</t>
  </si>
  <si>
    <t>Total Enterprise Funds</t>
  </si>
  <si>
    <t xml:space="preserve"> $-  </t>
  </si>
  <si>
    <t>Total Internal Service Funds</t>
  </si>
  <si>
    <t xml:space="preserve">Expenditures </t>
  </si>
  <si>
    <t>Gen Fund By Dept</t>
  </si>
  <si>
    <t>Other Entity Funds</t>
  </si>
  <si>
    <t>Total City Budget Revenues</t>
  </si>
  <si>
    <t>Total REVENUE ALL Funds</t>
  </si>
  <si>
    <t>Total City Budget Expenditures</t>
  </si>
  <si>
    <t>Total EXPENSES ALL Funds</t>
  </si>
  <si>
    <t>Transfers</t>
  </si>
  <si>
    <t xml:space="preserve">  Sub- Total</t>
  </si>
  <si>
    <t>Revised Total</t>
  </si>
  <si>
    <t>Less City Clerk</t>
  </si>
  <si>
    <t>City Clerk - Separate in 2012</t>
  </si>
  <si>
    <t>Total City Budget Expenses</t>
  </si>
  <si>
    <t>Summary of Expenses</t>
  </si>
  <si>
    <t>Net Balance Change ALL Funds</t>
  </si>
  <si>
    <t>Template</t>
  </si>
  <si>
    <t>Total Budgeted Expenses</t>
  </si>
  <si>
    <t xml:space="preserve">Less Spl Rev - Trf to Exec </t>
  </si>
  <si>
    <t>Airport</t>
  </si>
  <si>
    <t>Head Count</t>
  </si>
  <si>
    <t>FTEs</t>
  </si>
  <si>
    <t>Total City Employeets FTEs</t>
  </si>
  <si>
    <t>Utility Rate increases %</t>
  </si>
  <si>
    <t xml:space="preserve">Water </t>
  </si>
  <si>
    <t>Stormwater</t>
  </si>
  <si>
    <t>CPI</t>
  </si>
  <si>
    <t>Social Security / Military Raise rates</t>
  </si>
  <si>
    <t>Unspecified by fund</t>
  </si>
  <si>
    <t xml:space="preserve">Special Revenue Funds </t>
  </si>
  <si>
    <t>Pg</t>
  </si>
  <si>
    <t>Fund Sum</t>
  </si>
  <si>
    <t>Enterprise Funds (Excluding Water &amp; Power</t>
  </si>
  <si>
    <t>Non Dept &amp; Other Entities Funds</t>
  </si>
  <si>
    <t>Expenditures per FTE</t>
  </si>
  <si>
    <t>Capital</t>
  </si>
  <si>
    <t>O&amp;M</t>
  </si>
  <si>
    <t>O &amp; M</t>
  </si>
  <si>
    <t xml:space="preserve"> </t>
  </si>
  <si>
    <t>City Attorney only</t>
  </si>
  <si>
    <t>Capital Projects</t>
  </si>
  <si>
    <t xml:space="preserve"> Trails CEFs</t>
  </si>
  <si>
    <t xml:space="preserve"> Open Lands CEFs</t>
  </si>
  <si>
    <t xml:space="preserve"> Parks CEFs</t>
  </si>
  <si>
    <t xml:space="preserve">FTEs </t>
  </si>
  <si>
    <t>Contributions</t>
  </si>
  <si>
    <t>***Reconciles to Fund Summaries</t>
  </si>
  <si>
    <t xml:space="preserve">  Inflator</t>
  </si>
  <si>
    <t>Schedule</t>
  </si>
  <si>
    <t>***Reconciles to Department  Summaries: See below (starting at Row255)</t>
  </si>
  <si>
    <t>NOTE:</t>
  </si>
  <si>
    <t xml:space="preserve">Increase in training costs in Performance Management and increase in ADA and Title VI progarms in </t>
  </si>
  <si>
    <t>Risk Management in 2015.</t>
  </si>
  <si>
    <t>Increase in Employee Benefits in 2016 and 2017</t>
  </si>
  <si>
    <t>Conversion to Authority</t>
  </si>
  <si>
    <t>Revised Budget</t>
  </si>
  <si>
    <t>Expenditures per Capita</t>
  </si>
  <si>
    <t>Other Special Revenue</t>
  </si>
  <si>
    <t>CURRENT 2019 BUDGET</t>
  </si>
  <si>
    <t>From 2019 Budget</t>
  </si>
  <si>
    <t>Population</t>
  </si>
  <si>
    <t>Parking Facility</t>
  </si>
  <si>
    <t>Recreation CEFs</t>
  </si>
  <si>
    <t>2019</t>
  </si>
  <si>
    <t>Museum/Gallery</t>
  </si>
  <si>
    <t>Rialto Theater</t>
  </si>
  <si>
    <t>Art in Public Places</t>
  </si>
  <si>
    <t>Building Svc &amp; Code Enforce</t>
  </si>
  <si>
    <t>Community &amp; Strat Planning</t>
  </si>
  <si>
    <t>Current Planning</t>
  </si>
  <si>
    <t>Lodging Tax Fund</t>
  </si>
  <si>
    <t>Business Development</t>
  </si>
  <si>
    <t>Accounting</t>
  </si>
  <si>
    <t xml:space="preserve">Purchasing </t>
  </si>
  <si>
    <t>Budgeting</t>
  </si>
  <si>
    <t>Revenue</t>
  </si>
  <si>
    <t>HR Administration</t>
  </si>
  <si>
    <t>Compensation &amp; Benefits</t>
  </si>
  <si>
    <t>Performance Mgt</t>
  </si>
  <si>
    <t>Infrastructure Services</t>
  </si>
  <si>
    <t>Telecommunications</t>
  </si>
  <si>
    <t>Application Svc</t>
  </si>
  <si>
    <t>Admin &amp; Tech Svc</t>
  </si>
  <si>
    <t>Adult Svc</t>
  </si>
  <si>
    <t>Children Svc</t>
  </si>
  <si>
    <t>Customer Svc</t>
  </si>
  <si>
    <t>Technology</t>
  </si>
  <si>
    <t>Teen Svc</t>
  </si>
  <si>
    <t>Broadcast Equip</t>
  </si>
  <si>
    <t>Info Svc</t>
  </si>
  <si>
    <t>Ops</t>
  </si>
  <si>
    <t>Sup Ser</t>
  </si>
  <si>
    <t>Facilities Mgt</t>
  </si>
  <si>
    <t>Trans Develop Review</t>
  </si>
  <si>
    <t>Water</t>
  </si>
  <si>
    <t>Raw Water</t>
  </si>
  <si>
    <t>Transfers:</t>
  </si>
  <si>
    <t>FTE calculations are only for the general fund expenses in each department excluding Water and Power</t>
  </si>
  <si>
    <t>FTE calculations are only for enterprise funds for Water and Power</t>
  </si>
  <si>
    <t>FTEs:</t>
  </si>
  <si>
    <t>Population statistics:</t>
  </si>
  <si>
    <t>Population statistics from the Annual Data &amp; Assumptions Report from the Development Services Department.</t>
  </si>
  <si>
    <t>CEF:</t>
  </si>
  <si>
    <t>Community Development Block Grant Fund:</t>
  </si>
  <si>
    <t>CDBG - Special Revenue</t>
  </si>
  <si>
    <t>CDBG</t>
  </si>
  <si>
    <t>Development Services Admin</t>
  </si>
  <si>
    <t>City Clerk:</t>
  </si>
  <si>
    <t>Risk and Insurance:</t>
  </si>
  <si>
    <t>Internal Service:</t>
  </si>
  <si>
    <t>Risk &amp; Insurance</t>
  </si>
  <si>
    <t>Employee Benefits</t>
  </si>
  <si>
    <t>Revenue:</t>
  </si>
  <si>
    <t>Expense:</t>
  </si>
  <si>
    <t>Risk Management</t>
  </si>
  <si>
    <t>Revenue and expenses for the CEF funds are in their respective departments (eg. Trails CEF is in Parks and Recreation), however General Government CEF is reported in Non-departmental</t>
  </si>
  <si>
    <t>Fire:</t>
  </si>
  <si>
    <t>Employee FTE  - General Fund</t>
  </si>
  <si>
    <t>Golf - Enterprise Fund</t>
  </si>
  <si>
    <t>Special Revenue</t>
  </si>
  <si>
    <t>Project Engineering</t>
  </si>
  <si>
    <t>Street Maintenance</t>
  </si>
  <si>
    <t>Traffic Engineering</t>
  </si>
  <si>
    <t>Transit</t>
  </si>
  <si>
    <t>Employee FTE  - Enterprise Fund</t>
  </si>
  <si>
    <t>Solid Waste</t>
  </si>
  <si>
    <t>Employee FTE  - Internal Svc Fund</t>
  </si>
  <si>
    <t>Fleet (Vehicle) Maintenance</t>
  </si>
  <si>
    <t>City Fleet</t>
  </si>
  <si>
    <t>Community and Business Relations (Economic Development):</t>
  </si>
  <si>
    <t>The difference is the total revenue was used for transfers for Water and Wastewater instead of the transfer amount and an error in the summation of user fees</t>
  </si>
  <si>
    <t>of $1,389,332.  Special Revenue funds have a difference in revenue of $11,488 and General Fund revenue has a difference of $113,995.</t>
  </si>
  <si>
    <t>Local Improvement:</t>
  </si>
  <si>
    <t>This Special Revenue was added to non-departmental for 2009.</t>
  </si>
  <si>
    <t>FTE totals on the All Depts tab are for total FTEs</t>
  </si>
  <si>
    <t>2011 Budget Book:</t>
  </si>
  <si>
    <t>2012 Budget Book:</t>
  </si>
  <si>
    <t>In the 2012 Budget Book the Fund Summary revenue is more than the sum of the department revenue by $231,215.  This revenue is added to Non-departmental</t>
  </si>
  <si>
    <t>In the 2011 Budget Book the fund summary for enterprise funds is correct but the department summaries include a transfer amount of $18,909,935 which should be $1,761,451.</t>
  </si>
  <si>
    <t>General Fund Subsidy:</t>
  </si>
  <si>
    <t>The general fund subsidy in the individual departments is excluded from the revenue for that department.</t>
  </si>
  <si>
    <t>2013 Budget Book:</t>
  </si>
  <si>
    <t>% Change from 2009</t>
  </si>
  <si>
    <t>Public, Educational Government (PEG) Access Fee Fund:</t>
  </si>
  <si>
    <t>Creative Sector Development</t>
  </si>
  <si>
    <t>Transportation</t>
  </si>
  <si>
    <t>The transit and transportation departments were moved from the General Fund total to Special Revenue funds.  The general fund total revenue in the Finance department was overstated by $169,241.</t>
  </si>
  <si>
    <t>In the 2013 Budget Book the Fund Summary revenue is more than the sum of the department revenue by $1,986,318.  This revenue is added to Non-departmental.  Fire was converted to LFRA in 2011.</t>
  </si>
  <si>
    <t>Fire is reported as a department in the General Fund until 2011 when the LFRA was formed</t>
  </si>
  <si>
    <t>Community Partnership:</t>
  </si>
  <si>
    <t>This department was included with Finance in the 2011 through 2012 budget book, then was separated as a new internal service department in 2012.  This is reported in the Human Resources department for all years.</t>
  </si>
  <si>
    <t>This was reported in Development Services department from 2009 to 2014, was moved to Executive and Legal in 2015.  This is shown in Executive and Legal for all years.</t>
  </si>
  <si>
    <t>Visitor Services</t>
  </si>
  <si>
    <t>Fiber Network Fund:</t>
  </si>
  <si>
    <t>This fund is being included in the IT fund.</t>
  </si>
  <si>
    <t>Administrative Overhead:</t>
  </si>
  <si>
    <t>Open Space  (Land)</t>
  </si>
  <si>
    <t>Adopted Budget</t>
  </si>
  <si>
    <t>2015 Budget Book:</t>
  </si>
  <si>
    <t>In the 2015 Budget Book the Fund Summary revenue is less than the sum of the department revenue by $523,119.  This revenue is subtracted from Non-departmental.</t>
  </si>
  <si>
    <t>The Administrative Overhead charges began in the 2015 Budget Book for 2013 actuals.</t>
  </si>
  <si>
    <t>2016 Budget Book:</t>
  </si>
  <si>
    <t>In the 2016 Budget Book the Fund Summary revenue is less than the sum of the department revenue by $693,669.  This revenue is subtracted from Non-departmental.</t>
  </si>
  <si>
    <t>2017 Budget Book:</t>
  </si>
  <si>
    <t>In the 2017 Budget Book the revenue for the general fund is less in the summary than in the individual funds by $6,355.  This difference was included in Non-departmental.</t>
  </si>
  <si>
    <t>In the 2017 Budget Book the revenue for enterprise funds is greater in the summary than in the individual funds by $125,665.  This difference was included in the Water &amp; Power revenue.</t>
  </si>
  <si>
    <t>2018 Budget Book:</t>
  </si>
  <si>
    <t>In the 2017 Budget Book the revenue for the general fund is more in the summary than in the individual funds by $3,804.  This difference was included in Non-departmental.</t>
  </si>
  <si>
    <t>2019 Budget Book:</t>
  </si>
  <si>
    <t>In the 2019 Budget book the funds titled "Other Governmental Funds" are included as special revenue funds the same as the previous budget books.</t>
  </si>
  <si>
    <t>Foundry COP and Construction:</t>
  </si>
  <si>
    <t>In the 2019 budget book the Foundry COP and Construction are reported on the non-departmental tab as special revenue.</t>
  </si>
  <si>
    <t>Utility Billing</t>
  </si>
  <si>
    <t>Park Improvement/Expansion</t>
  </si>
  <si>
    <t>2 FTE's for the Loveland/Larimer Bldg Authority were omitted from the Public Works Dept, as these have been attached to the "Other Entities" classification in all prior years</t>
  </si>
  <si>
    <t>56&amp;59</t>
  </si>
  <si>
    <t>Transfers are included in General Fund Revenue for Non-departmental and General Fund Expenses in the individual departments</t>
  </si>
  <si>
    <t>This department was included with Finance in the 2011 through 2012 budget book, as a department in Executive and Legal in the 2013 budget book then was created as a new department in 2014.   This is shown as its own department for all years.</t>
  </si>
  <si>
    <t>This fund is included in the Library Special Revenue department in the 2012 budget book through the 2016 Budget Book and is moved to the IT department in the 2017 budget book.</t>
  </si>
  <si>
    <t>This is shown in the Development Services department in the 2011 to 2016 budget book and is moved to Executive and Legal in the 2017 budget book.  It is shown in Executive and Legal for all years.</t>
  </si>
  <si>
    <t>Administrative Overhead charges to General Fund departments begain in 2013.</t>
  </si>
  <si>
    <t>Non-Departmental Dept pg 180 General Government CEF line does not include $754,000 of Debt Service Revenue that is included in the Special Revenue for General Government CEF on page 71</t>
  </si>
  <si>
    <t>Non-Departmental Expenditure Breakdown</t>
  </si>
  <si>
    <t>General Fund - Non-Departmental Items:</t>
  </si>
  <si>
    <t>2010 Actuals</t>
  </si>
  <si>
    <t>2011 Actuals</t>
  </si>
  <si>
    <t>2012 Actuals</t>
  </si>
  <si>
    <t>2013 Actuals</t>
  </si>
  <si>
    <t>2014 Actuals</t>
  </si>
  <si>
    <t>2015 Actuals</t>
  </si>
  <si>
    <t>2016 Actuals</t>
  </si>
  <si>
    <t>2017 Actuals</t>
  </si>
  <si>
    <t>2018 Adopted</t>
  </si>
  <si>
    <t>2019 Proposed</t>
  </si>
  <si>
    <t>2018 Revised</t>
  </si>
  <si>
    <t>Non-Departmental Miscellaneous Items
(Citywide memberships, supplies, and services)</t>
  </si>
  <si>
    <t>Contributions to Outside Agencies</t>
  </si>
  <si>
    <t>Contribution to Loveland Fire Rescue Authority</t>
  </si>
  <si>
    <t>Contribution to Loveland/Larimer Building Authority</t>
  </si>
  <si>
    <t>Contribution to Airport</t>
  </si>
  <si>
    <t>Contribution to Loveland Downtown Partnership</t>
  </si>
  <si>
    <t>Contribution to R2J for Crossing Guards</t>
  </si>
  <si>
    <t>Commercial Incentive Program (Economic Incentives)</t>
  </si>
  <si>
    <t>Transfers Out - Operating (Transportation &amp; Transit Subsidy)</t>
  </si>
  <si>
    <t>Transit Center - Food Bank Site</t>
  </si>
  <si>
    <t>Transit FLEX Route Support</t>
  </si>
  <si>
    <t>Traffic Signal Maintenance</t>
  </si>
  <si>
    <t>Transfers Out - Capital</t>
  </si>
  <si>
    <t>Economic Incentives Contribution</t>
  </si>
  <si>
    <t>Affordable Housing Allocation (1.25% of Sales Tax)</t>
  </si>
  <si>
    <t>Loan Repayments</t>
  </si>
  <si>
    <t>Total - General Fund - Non-Departmental</t>
  </si>
  <si>
    <t>Non GF Non-Departmental Items:</t>
  </si>
  <si>
    <t>Local Improvement</t>
  </si>
  <si>
    <t>Foundry Funds</t>
  </si>
  <si>
    <t>Total - Non-Departmental - All Funds</t>
  </si>
  <si>
    <t>Total Should Be</t>
  </si>
  <si>
    <t>Total's Match?</t>
  </si>
  <si>
    <r>
      <t>Pre-2011 Contributions (cannot isolate the specific contribution)</t>
    </r>
    <r>
      <rPr>
        <i/>
        <vertAlign val="superscript"/>
        <sz val="11"/>
        <rFont val="Calibri"/>
        <family val="2"/>
        <scheme val="minor"/>
      </rPr>
      <t>A</t>
    </r>
  </si>
  <si>
    <r>
      <t>Transfers Out - Operating (Decision Packages)</t>
    </r>
    <r>
      <rPr>
        <vertAlign val="superscript"/>
        <sz val="11"/>
        <rFont val="Calibri"/>
        <family val="2"/>
        <scheme val="minor"/>
      </rPr>
      <t>B</t>
    </r>
  </si>
  <si>
    <r>
      <t>Transfers Out (Pre-2011)</t>
    </r>
    <r>
      <rPr>
        <vertAlign val="superscript"/>
        <sz val="11"/>
        <rFont val="Calibri"/>
        <family val="2"/>
        <scheme val="minor"/>
      </rPr>
      <t>C</t>
    </r>
  </si>
  <si>
    <t>Notes:</t>
  </si>
  <si>
    <t>A</t>
  </si>
  <si>
    <t>B</t>
  </si>
  <si>
    <t>C</t>
  </si>
  <si>
    <t>General Government Capital Expansion Fee (CEF) Fund</t>
  </si>
  <si>
    <t>Do these totals match the Non-Dept. Tab?</t>
  </si>
  <si>
    <r>
      <rPr>
        <b/>
        <sz val="12"/>
        <color theme="1"/>
        <rFont val="Calibri"/>
        <family val="2"/>
        <scheme val="minor"/>
      </rPr>
      <t>2015 &amp; 2016 -&gt;</t>
    </r>
    <r>
      <rPr>
        <sz val="12"/>
        <color theme="1"/>
        <rFont val="Calibri"/>
        <family val="2"/>
        <scheme val="minor"/>
      </rPr>
      <t xml:space="preserve"> Employee Benefits Fund GF Contribution (one-time in each year)</t>
    </r>
  </si>
  <si>
    <r>
      <rPr>
        <b/>
        <sz val="12"/>
        <color theme="1"/>
        <rFont val="Calibri"/>
        <family val="2"/>
        <scheme val="minor"/>
      </rPr>
      <t>2009 &amp; 2010 -&gt;</t>
    </r>
    <r>
      <rPr>
        <sz val="12"/>
        <color theme="1"/>
        <rFont val="Calibri"/>
        <family val="2"/>
        <scheme val="minor"/>
      </rPr>
      <t xml:space="preserve"> These amounts were the remaining transfers budget that could not be specifically identified; </t>
    </r>
    <r>
      <rPr>
        <b/>
        <sz val="12"/>
        <color theme="1"/>
        <rFont val="Calibri"/>
        <family val="2"/>
        <scheme val="minor"/>
      </rPr>
      <t>2015 -&gt;</t>
    </r>
    <r>
      <rPr>
        <sz val="12"/>
        <color theme="1"/>
        <rFont val="Calibri"/>
        <family val="2"/>
        <scheme val="minor"/>
      </rPr>
      <t xml:space="preserve"> This was for the GF's one-time direct contribution to the Foundry Project</t>
    </r>
  </si>
  <si>
    <r>
      <rPr>
        <b/>
        <sz val="11"/>
        <color theme="1"/>
        <rFont val="Calibri"/>
        <family val="2"/>
        <scheme val="minor"/>
      </rPr>
      <t>2009 &amp; 2010 -&gt;</t>
    </r>
    <r>
      <rPr>
        <sz val="11"/>
        <color theme="1"/>
        <rFont val="Calibri"/>
        <family val="2"/>
        <scheme val="minor"/>
      </rPr>
      <t xml:space="preserve"> These amounts were the remaining contribution budget that could not be specifically identified; </t>
    </r>
    <r>
      <rPr>
        <b/>
        <sz val="11"/>
        <color theme="1"/>
        <rFont val="Calibri"/>
        <family val="2"/>
        <scheme val="minor"/>
      </rPr>
      <t>2014 -&gt;</t>
    </r>
    <r>
      <rPr>
        <sz val="11"/>
        <color theme="1"/>
        <rFont val="Calibri"/>
        <family val="2"/>
        <scheme val="minor"/>
      </rPr>
      <t xml:space="preserve"> Loveland's Share of Tax Increment Financing was charged to non-dept contributions but is not an on-going expense; </t>
    </r>
    <r>
      <rPr>
        <b/>
        <sz val="11"/>
        <color theme="1"/>
        <rFont val="Calibri"/>
        <family val="2"/>
        <scheme val="minor"/>
      </rPr>
      <t>2015 -&gt;</t>
    </r>
    <r>
      <rPr>
        <sz val="11"/>
        <color theme="1"/>
        <rFont val="Calibri"/>
        <family val="2"/>
        <scheme val="minor"/>
      </rPr>
      <t xml:space="preserve"> Loveland's contribution to the Cemetery (not on-going); </t>
    </r>
    <r>
      <rPr>
        <b/>
        <sz val="11"/>
        <color theme="1"/>
        <rFont val="Calibri"/>
        <family val="2"/>
        <scheme val="minor"/>
      </rPr>
      <t>2017 -&gt;</t>
    </r>
    <r>
      <rPr>
        <sz val="11"/>
        <color theme="1"/>
        <rFont val="Calibri"/>
        <family val="2"/>
        <scheme val="minor"/>
      </rPr>
      <t xml:space="preserve"> $20,000 was for the I-25 Business Alliance and $2,000 for Chamber Table Sponsorship (both are not on-going)</t>
    </r>
  </si>
  <si>
    <t>2009 Actuals</t>
  </si>
  <si>
    <t>For year 2009 in the 2011 Budget book this department included Public Information, this division is reported in Executive and Legal department.  This is shown in Executive &amp; Legal department for all years.</t>
  </si>
  <si>
    <t>Special Revenue Funds-Capital Pjts</t>
  </si>
  <si>
    <t>Total Non GF Non-Departmental Items:</t>
  </si>
  <si>
    <t>Capital Projects Fund</t>
  </si>
  <si>
    <t>Employee FTE  - Special Revenue Fund</t>
  </si>
  <si>
    <t>EXPENDITURES</t>
  </si>
  <si>
    <t>REVENUES</t>
  </si>
  <si>
    <t xml:space="preserve">Enterprise Funds </t>
  </si>
  <si>
    <t xml:space="preserve">FTE Total </t>
  </si>
  <si>
    <t xml:space="preserve">   Population </t>
  </si>
  <si>
    <t xml:space="preserve">   FTE Total </t>
  </si>
  <si>
    <t>City Manager only</t>
  </si>
  <si>
    <t xml:space="preserve">    CURRENT 2019 BUDGET</t>
  </si>
  <si>
    <t xml:space="preserve">   City Population</t>
  </si>
  <si>
    <t xml:space="preserve">   FTE Total</t>
  </si>
  <si>
    <t xml:space="preserve">   Total FTE</t>
  </si>
  <si>
    <t xml:space="preserve">  City Population</t>
  </si>
  <si>
    <t xml:space="preserve">  FTE Total</t>
  </si>
  <si>
    <t>Municipal Court only</t>
  </si>
  <si>
    <t xml:space="preserve">Total Budgeted Expenses </t>
  </si>
  <si>
    <t xml:space="preserve">FTEs (including Legal) </t>
  </si>
  <si>
    <t>N/A</t>
  </si>
  <si>
    <t xml:space="preserve">   % chg Yr to Yr</t>
  </si>
  <si>
    <t xml:space="preserve">   % Change from 2009</t>
  </si>
  <si>
    <t>REVENUES - FROM DEPT DETAIL</t>
  </si>
  <si>
    <t xml:space="preserve"> REVENUES PER CAPITA</t>
  </si>
  <si>
    <t>FTE BY FUND TYPE</t>
  </si>
  <si>
    <t>REVENUES PER FTE</t>
  </si>
  <si>
    <t>EXPENDITURES PER CAPITA</t>
  </si>
  <si>
    <t>EXPENDITURES PER FTE</t>
  </si>
  <si>
    <t>EXPENDITURES - FROM DEPT TAB</t>
  </si>
  <si>
    <t>EXPENDITURES: CONSTANT DOLLAR</t>
  </si>
  <si>
    <t>SUM OF EXPENSES BY DEPT</t>
  </si>
  <si>
    <t>EXPENDITURES BY DEPT &amp; FUND</t>
  </si>
  <si>
    <t>Loveland Fire Rescue Authority</t>
  </si>
  <si>
    <t xml:space="preserve">   Expenses per Pop Svc'd</t>
  </si>
  <si>
    <t xml:space="preserve">                                % Chg over Prior Yr </t>
  </si>
  <si>
    <t xml:space="preserve">                              % Chg over Prior Yr</t>
  </si>
  <si>
    <t xml:space="preserve">                               % Chg over Prior Yr</t>
  </si>
  <si>
    <t xml:space="preserve">                       % Chg over Prior Yr</t>
  </si>
  <si>
    <t xml:space="preserve">                         % Chg over Prior Yr</t>
  </si>
  <si>
    <t xml:space="preserve">Total FTE </t>
  </si>
  <si>
    <t xml:space="preserve">                                % Chg over Prior Yr</t>
  </si>
  <si>
    <t>2015-2016 = Moving Allan from DS to E&amp;L</t>
  </si>
  <si>
    <t>2018-2019 = Commmunity Partnership moving from Development Services to Executive and Legal</t>
  </si>
  <si>
    <t>2014-2015 = COMP Plan Change (Decision Package) and increase of 3 FTE</t>
  </si>
  <si>
    <t>2015 = Drop off of Evergreen Incentive</t>
  </si>
  <si>
    <t>Increased Lodging Tax Revenue</t>
  </si>
  <si>
    <t>Cost Allocations</t>
  </si>
  <si>
    <t>Utility Billing moved from Water and Power to Finance</t>
  </si>
  <si>
    <t>2017 = PEG Fee moved from Library to IT</t>
  </si>
  <si>
    <t>PEG FEE</t>
  </si>
  <si>
    <t>2009-2011 = PEG Fee Increase</t>
  </si>
  <si>
    <t>2016-2017 = Grant Funding Decrease for Open Space Projects</t>
  </si>
  <si>
    <t>Same comment as Muni Court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</si>
</sst>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0_);_(* \(#,##0.0\);_(* &quot;-&quot;??_);_(@_)"/>
    <numFmt numFmtId="167" formatCode="_(* #,##0_);_(* \(#,##0\);_(* &quot;-&quot;??_);_(@_)"/>
    <numFmt numFmtId="168" formatCode="_(&quot;$&quot;* #,##0.0_);_(&quot;$&quot;* \(#,##0.0\);_(&quot;$&quot;* &quot;-&quot;??_);_(@_)"/>
    <numFmt numFmtId="169" formatCode="_(* #,##0.000_);_(* \(#,##0.000\);_(* &quot;-&quot;??_);_(@_)"/>
  </numFmts>
  <fonts count="60" x14ac:knownFonts="1">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
      <sz val="12"/>
      <color rgb="FFFF0000"/>
      <name val="Calibri"/>
      <family val="2"/>
      <scheme val="minor"/>
    </font>
    <font>
      <b/>
      <sz val="12"/>
      <color theme="1"/>
      <name val="Calibri"/>
      <family val="2"/>
      <scheme val="minor"/>
    </font>
    <font>
      <b/>
      <sz val="12"/>
      <color rgb="FF000000"/>
      <name val="Calibri"/>
      <family val="2"/>
      <scheme val="minor"/>
    </font>
    <font>
      <sz val="9"/>
      <color indexed="81"/>
      <name val="Calibri"/>
      <family val="2"/>
    </font>
    <font>
      <b/>
      <sz val="9"/>
      <color indexed="81"/>
      <name val="Calibri"/>
      <family val="2"/>
    </font>
    <font>
      <sz val="8"/>
      <name val="Calibri"/>
      <family val="2"/>
      <scheme val="minor"/>
    </font>
    <font>
      <sz val="14"/>
      <color rgb="FF000000"/>
      <name val="Calibri"/>
      <family val="2"/>
      <scheme val="minor"/>
    </font>
    <font>
      <b/>
      <sz val="14"/>
      <color theme="1"/>
      <name val="Calibri"/>
      <family val="2"/>
      <scheme val="minor"/>
    </font>
    <font>
      <b/>
      <sz val="14"/>
      <color rgb="FF000000"/>
      <name val="Calibri"/>
      <family val="2"/>
      <scheme val="minor"/>
    </font>
    <font>
      <b/>
      <sz val="12"/>
      <color rgb="FFFF0000"/>
      <name val="Calibri"/>
      <family val="2"/>
      <scheme val="minor"/>
    </font>
    <font>
      <i/>
      <sz val="12"/>
      <color theme="1"/>
      <name val="Calibri"/>
      <family val="2"/>
      <scheme val="minor"/>
    </font>
    <font>
      <sz val="10"/>
      <color rgb="FF000000"/>
      <name val="Calibri"/>
      <family val="2"/>
      <scheme val="minor"/>
    </font>
    <font>
      <b/>
      <sz val="12"/>
      <color rgb="FF008000"/>
      <name val="Calibri"/>
      <family val="2"/>
      <scheme val="minor"/>
    </font>
    <font>
      <sz val="12"/>
      <color rgb="FF0000FF"/>
      <name val="Calibri"/>
      <family val="2"/>
      <scheme val="minor"/>
    </font>
    <font>
      <sz val="12"/>
      <name val="Calibri"/>
      <family val="2"/>
      <scheme val="minor"/>
    </font>
    <font>
      <b/>
      <sz val="12"/>
      <color rgb="FF6666FF"/>
      <name val="Calibri"/>
      <family val="2"/>
      <scheme val="minor"/>
    </font>
    <font>
      <b/>
      <sz val="12"/>
      <color rgb="FF0000FF"/>
      <name val="Calibri"/>
      <family val="2"/>
      <scheme val="minor"/>
    </font>
    <font>
      <b/>
      <sz val="12"/>
      <name val="Calibri"/>
      <family val="2"/>
      <scheme val="minor"/>
    </font>
    <font>
      <b/>
      <sz val="14"/>
      <color rgb="FFFF0000"/>
      <name val="Calibri"/>
      <family val="2"/>
      <scheme val="minor"/>
    </font>
    <font>
      <b/>
      <sz val="12"/>
      <color rgb="FF8000FF"/>
      <name val="Calibri"/>
      <family val="2"/>
      <scheme val="minor"/>
    </font>
    <font>
      <sz val="12"/>
      <color rgb="FF8000FF"/>
      <name val="Calibri"/>
      <family val="2"/>
      <scheme val="minor"/>
    </font>
    <font>
      <b/>
      <sz val="10"/>
      <color theme="1"/>
      <name val="Calibri"/>
      <family val="2"/>
      <scheme val="minor"/>
    </font>
    <font>
      <b/>
      <sz val="11"/>
      <color theme="1"/>
      <name val="Calibri"/>
      <family val="2"/>
      <scheme val="minor"/>
    </font>
    <font>
      <sz val="12"/>
      <color rgb="FF6666FF"/>
      <name val="Calibri"/>
      <family val="2"/>
      <scheme val="minor"/>
    </font>
    <font>
      <b/>
      <sz val="14"/>
      <color rgb="FF008000"/>
      <name val="Calibri"/>
      <family val="2"/>
      <scheme val="minor"/>
    </font>
    <font>
      <sz val="10"/>
      <name val="Calibri"/>
      <family val="2"/>
      <scheme val="minor"/>
    </font>
    <font>
      <sz val="9"/>
      <color indexed="81"/>
      <name val="Tahoma"/>
      <family val="2"/>
    </font>
    <font>
      <b/>
      <sz val="9"/>
      <color indexed="81"/>
      <name val="Tahoma"/>
      <family val="2"/>
    </font>
    <font>
      <b/>
      <sz val="14"/>
      <name val="Calibri"/>
      <family val="2"/>
      <scheme val="minor"/>
    </font>
    <font>
      <b/>
      <u/>
      <sz val="14"/>
      <name val="Calibri"/>
      <family val="2"/>
      <scheme val="minor"/>
    </font>
    <font>
      <sz val="12"/>
      <color rgb="FFFFC000"/>
      <name val="Calibri"/>
      <family val="2"/>
      <scheme val="minor"/>
    </font>
    <font>
      <b/>
      <sz val="12"/>
      <color rgb="FFFFC000"/>
      <name val="Calibri"/>
      <family val="2"/>
      <scheme val="minor"/>
    </font>
    <font>
      <sz val="14"/>
      <color theme="1"/>
      <name val="Calibri"/>
      <family val="2"/>
      <scheme val="minor"/>
    </font>
    <font>
      <b/>
      <sz val="11"/>
      <name val="Calibri"/>
      <family val="2"/>
      <scheme val="minor"/>
    </font>
    <font>
      <b/>
      <sz val="12"/>
      <color theme="0"/>
      <name val="Calibri"/>
      <family val="2"/>
      <scheme val="minor"/>
    </font>
    <font>
      <sz val="11"/>
      <name val="Calibri"/>
      <family val="2"/>
      <scheme val="minor"/>
    </font>
    <font>
      <i/>
      <sz val="11"/>
      <name val="Calibri"/>
      <family val="2"/>
      <scheme val="minor"/>
    </font>
    <font>
      <i/>
      <vertAlign val="superscript"/>
      <sz val="11"/>
      <name val="Calibri"/>
      <family val="2"/>
      <scheme val="minor"/>
    </font>
    <font>
      <vertAlign val="superscript"/>
      <sz val="11"/>
      <name val="Calibri"/>
      <family val="2"/>
      <scheme val="minor"/>
    </font>
    <font>
      <b/>
      <u/>
      <sz val="18"/>
      <color theme="1"/>
      <name val="Calibri"/>
      <family val="2"/>
      <scheme val="minor"/>
    </font>
    <font>
      <b/>
      <sz val="12"/>
      <color theme="8" tint="-0.249977111117893"/>
      <name val="Calibri"/>
      <family val="2"/>
      <scheme val="minor"/>
    </font>
    <font>
      <b/>
      <sz val="12"/>
      <color theme="9" tint="-0.249977111117893"/>
      <name val="Calibri"/>
      <family val="2"/>
      <scheme val="minor"/>
    </font>
    <font>
      <b/>
      <sz val="12"/>
      <color rgb="FF996633"/>
      <name val="Calibri"/>
      <family val="2"/>
      <scheme val="minor"/>
    </font>
    <font>
      <b/>
      <sz val="12"/>
      <color theme="9"/>
      <name val="Calibri"/>
      <family val="2"/>
      <scheme val="minor"/>
    </font>
    <font>
      <b/>
      <sz val="20"/>
      <color rgb="FF009900"/>
      <name val="Calibri"/>
      <family val="2"/>
      <scheme val="minor"/>
    </font>
    <font>
      <b/>
      <sz val="14"/>
      <color rgb="FF009900"/>
      <name val="Calibri"/>
      <family val="2"/>
      <scheme val="minor"/>
    </font>
    <font>
      <b/>
      <sz val="12"/>
      <color rgb="FF7030A0"/>
      <name val="Calibri"/>
      <family val="2"/>
      <scheme val="minor"/>
    </font>
    <font>
      <b/>
      <sz val="12.5"/>
      <color rgb="FF000000"/>
      <name val="Calibri"/>
      <family val="2"/>
      <scheme val="minor"/>
    </font>
    <font>
      <b/>
      <sz val="12.5"/>
      <color theme="1"/>
      <name val="Calibri"/>
      <family val="2"/>
      <scheme val="minor"/>
    </font>
    <font>
      <b/>
      <sz val="12"/>
      <color rgb="FF31869B"/>
      <name val="Calibri"/>
      <family val="2"/>
      <scheme val="minor"/>
    </font>
    <font>
      <b/>
      <sz val="12"/>
      <color theme="8" tint="-0.499984740745262"/>
      <name val="Calibri"/>
      <family val="2"/>
      <scheme val="minor"/>
    </font>
  </fonts>
  <fills count="23">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theme="8" tint="0.79998168889431442"/>
        <bgColor indexed="64"/>
      </patternFill>
    </fill>
    <fill>
      <patternFill patternType="solid">
        <fgColor rgb="FFDAEEF3"/>
        <bgColor rgb="FF000000"/>
      </patternFill>
    </fill>
    <fill>
      <patternFill patternType="solid">
        <fgColor theme="5" tint="0.59999389629810485"/>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rgb="FFCCFFCC"/>
        <bgColor rgb="FF000000"/>
      </patternFill>
    </fill>
    <fill>
      <patternFill patternType="solid">
        <fgColor theme="6" tint="0.59999389629810485"/>
        <bgColor indexed="64"/>
      </patternFill>
    </fill>
    <fill>
      <patternFill patternType="solid">
        <fgColor rgb="FFD8E4BC"/>
        <bgColor rgb="FF000000"/>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bgColor indexed="64"/>
      </patternFill>
    </fill>
    <fill>
      <patternFill patternType="solid">
        <fgColor theme="4" tint="-0.49998474074526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rgb="FFE4DFEC"/>
        <bgColor indexed="64"/>
      </patternFill>
    </fill>
  </fills>
  <borders count="62">
    <border>
      <left/>
      <right/>
      <top/>
      <bottom/>
      <diagonal/>
    </border>
    <border>
      <left/>
      <right/>
      <top style="thin">
        <color auto="1"/>
      </top>
      <bottom/>
      <diagonal/>
    </border>
    <border>
      <left/>
      <right/>
      <top/>
      <bottom style="medium">
        <color auto="1"/>
      </bottom>
      <diagonal/>
    </border>
    <border>
      <left/>
      <right/>
      <top style="thin">
        <color auto="1"/>
      </top>
      <bottom style="thin">
        <color auto="1"/>
      </bottom>
      <diagonal/>
    </border>
    <border>
      <left/>
      <right/>
      <top/>
      <bottom style="thin">
        <color auto="1"/>
      </bottom>
      <diagonal/>
    </border>
    <border>
      <left style="medium">
        <color indexed="64"/>
      </left>
      <right/>
      <top/>
      <bottom/>
      <diagonal/>
    </border>
    <border>
      <left/>
      <right style="medium">
        <color indexed="64"/>
      </right>
      <top/>
      <bottom/>
      <diagonal/>
    </border>
    <border>
      <left/>
      <right style="medium">
        <color indexed="64"/>
      </right>
      <top/>
      <bottom style="medium">
        <color auto="1"/>
      </bottom>
      <diagonal/>
    </border>
    <border>
      <left/>
      <right style="medium">
        <color indexed="64"/>
      </right>
      <top/>
      <bottom style="thin">
        <color auto="1"/>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double">
        <color auto="1"/>
      </bottom>
      <diagonal/>
    </border>
    <border>
      <left style="medium">
        <color auto="1"/>
      </left>
      <right style="medium">
        <color auto="1"/>
      </right>
      <top style="medium">
        <color auto="1"/>
      </top>
      <bottom style="medium">
        <color auto="1"/>
      </bottom>
      <diagonal/>
    </border>
    <border>
      <left/>
      <right style="medium">
        <color auto="1"/>
      </right>
      <top/>
      <bottom style="double">
        <color auto="1"/>
      </bottom>
      <diagonal/>
    </border>
    <border>
      <left style="medium">
        <color indexed="64"/>
      </left>
      <right/>
      <top style="double">
        <color indexed="64"/>
      </top>
      <bottom style="medium">
        <color indexed="64"/>
      </bottom>
      <diagonal/>
    </border>
    <border>
      <left style="mediumDashed">
        <color indexed="64"/>
      </left>
      <right/>
      <top style="medium">
        <color indexed="64"/>
      </top>
      <bottom/>
      <diagonal/>
    </border>
    <border>
      <left/>
      <right style="mediumDashed">
        <color indexed="64"/>
      </right>
      <top style="medium">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double">
        <color auto="1"/>
      </bottom>
      <diagonal/>
    </border>
    <border>
      <left/>
      <right style="mediumDashed">
        <color indexed="64"/>
      </right>
      <top/>
      <bottom style="double">
        <color auto="1"/>
      </bottom>
      <diagonal/>
    </border>
    <border>
      <left style="mediumDashed">
        <color indexed="64"/>
      </left>
      <right/>
      <top/>
      <bottom style="medium">
        <color auto="1"/>
      </bottom>
      <diagonal/>
    </border>
    <border>
      <left/>
      <right style="mediumDashed">
        <color indexed="64"/>
      </right>
      <top/>
      <bottom style="medium">
        <color auto="1"/>
      </bottom>
      <diagonal/>
    </border>
    <border>
      <left style="mediumDashed">
        <color auto="1"/>
      </left>
      <right/>
      <top/>
      <bottom style="thin">
        <color auto="1"/>
      </bottom>
      <diagonal/>
    </border>
    <border>
      <left/>
      <right style="mediumDashed">
        <color auto="1"/>
      </right>
      <top/>
      <bottom style="thin">
        <color auto="1"/>
      </bottom>
      <diagonal/>
    </border>
    <border>
      <left/>
      <right/>
      <top style="double">
        <color auto="1"/>
      </top>
      <bottom/>
      <diagonal/>
    </border>
    <border>
      <left/>
      <right style="mediumDashed">
        <color indexed="64"/>
      </right>
      <top style="double">
        <color auto="1"/>
      </top>
      <bottom/>
      <diagonal/>
    </border>
    <border>
      <left/>
      <right/>
      <top style="double">
        <color auto="1"/>
      </top>
      <bottom style="medium">
        <color auto="1"/>
      </bottom>
      <diagonal/>
    </border>
    <border>
      <left style="mediumDashed">
        <color indexed="64"/>
      </left>
      <right/>
      <top style="double">
        <color auto="1"/>
      </top>
      <bottom style="medium">
        <color auto="1"/>
      </bottom>
      <diagonal/>
    </border>
    <border>
      <left/>
      <right style="mediumDashed">
        <color indexed="64"/>
      </right>
      <top style="double">
        <color auto="1"/>
      </top>
      <bottom style="medium">
        <color auto="1"/>
      </bottom>
      <diagonal/>
    </border>
    <border>
      <left/>
      <right style="medium">
        <color auto="1"/>
      </right>
      <top style="double">
        <color auto="1"/>
      </top>
      <bottom style="medium">
        <color auto="1"/>
      </bottom>
      <diagonal/>
    </border>
    <border>
      <left/>
      <right style="mediumDashed">
        <color auto="1"/>
      </right>
      <top style="thin">
        <color auto="1"/>
      </top>
      <bottom style="thin">
        <color auto="1"/>
      </bottom>
      <diagonal/>
    </border>
    <border>
      <left/>
      <right style="medium">
        <color auto="1"/>
      </right>
      <top style="thin">
        <color auto="1"/>
      </top>
      <bottom style="thin">
        <color auto="1"/>
      </bottom>
      <diagonal/>
    </border>
    <border>
      <left style="mediumDashed">
        <color auto="1"/>
      </left>
      <right/>
      <top style="thin">
        <color auto="1"/>
      </top>
      <bottom style="thin">
        <color auto="1"/>
      </bottom>
      <diagonal/>
    </border>
    <border>
      <left/>
      <right style="medium">
        <color auto="1"/>
      </right>
      <top style="thin">
        <color auto="1"/>
      </top>
      <bottom/>
      <diagonal/>
    </border>
    <border>
      <left/>
      <right style="mediumDashed">
        <color auto="1"/>
      </right>
      <top style="thin">
        <color auto="1"/>
      </top>
      <bottom/>
      <diagonal/>
    </border>
    <border>
      <left/>
      <right style="medium">
        <color indexed="64"/>
      </right>
      <top style="double">
        <color indexed="64"/>
      </top>
      <bottom/>
      <diagonal/>
    </border>
    <border>
      <left/>
      <right style="thin">
        <color indexed="64"/>
      </right>
      <top style="thin">
        <color indexed="64"/>
      </top>
      <bottom/>
      <diagonal/>
    </border>
    <border>
      <left/>
      <right style="thin">
        <color indexed="64"/>
      </right>
      <top/>
      <bottom style="thin">
        <color auto="1"/>
      </bottom>
      <diagonal/>
    </border>
    <border>
      <left/>
      <right style="thin">
        <color indexed="64"/>
      </right>
      <top/>
      <bottom/>
      <diagonal/>
    </border>
    <border>
      <left/>
      <right/>
      <top style="double">
        <color indexed="64"/>
      </top>
      <bottom style="thin">
        <color indexed="64"/>
      </bottom>
      <diagonal/>
    </border>
    <border>
      <left/>
      <right style="mediumDashed">
        <color indexed="64"/>
      </right>
      <top style="double">
        <color indexed="64"/>
      </top>
      <bottom style="thin">
        <color indexed="64"/>
      </bottom>
      <diagonal/>
    </border>
    <border>
      <left/>
      <right style="medium">
        <color auto="1"/>
      </right>
      <top style="double">
        <color indexed="64"/>
      </top>
      <bottom style="thin">
        <color indexed="64"/>
      </bottom>
      <diagonal/>
    </border>
    <border>
      <left/>
      <right style="medium">
        <color auto="1"/>
      </right>
      <top style="medium">
        <color auto="1"/>
      </top>
      <bottom style="medium">
        <color auto="1"/>
      </bottom>
      <diagonal/>
    </border>
    <border>
      <left/>
      <right/>
      <top style="medium">
        <color auto="1"/>
      </top>
      <bottom style="thin">
        <color auto="1"/>
      </bottom>
      <diagonal/>
    </border>
    <border>
      <left/>
      <right style="thin">
        <color indexed="64"/>
      </right>
      <top style="medium">
        <color auto="1"/>
      </top>
      <bottom style="thin">
        <color auto="1"/>
      </bottom>
      <diagonal/>
    </border>
    <border>
      <left style="medium">
        <color auto="1"/>
      </left>
      <right/>
      <top style="medium">
        <color auto="1"/>
      </top>
      <bottom style="thin">
        <color auto="1"/>
      </bottom>
      <diagonal/>
    </border>
    <border>
      <left style="mediumDashed">
        <color indexed="64"/>
      </left>
      <right/>
      <top style="thin">
        <color auto="1"/>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double">
        <color indexed="64"/>
      </top>
      <bottom style="thin">
        <color indexed="64"/>
      </bottom>
      <diagonal/>
    </border>
    <border>
      <left style="mediumDashed">
        <color indexed="64"/>
      </left>
      <right/>
      <top style="double">
        <color indexed="64"/>
      </top>
      <bottom style="thin">
        <color indexed="64"/>
      </bottom>
      <diagonal/>
    </border>
    <border>
      <left style="mediumDashed">
        <color indexed="64"/>
      </left>
      <right/>
      <top style="double">
        <color auto="1"/>
      </top>
      <bottom/>
      <diagonal/>
    </border>
    <border>
      <left style="medium">
        <color auto="1"/>
      </left>
      <right style="mediumDashed">
        <color indexed="64"/>
      </right>
      <top style="double">
        <color auto="1"/>
      </top>
      <bottom style="medium">
        <color auto="1"/>
      </bottom>
      <diagonal/>
    </border>
    <border>
      <left style="medium">
        <color indexed="64"/>
      </left>
      <right style="mediumDashed">
        <color indexed="64"/>
      </right>
      <top style="medium">
        <color indexed="64"/>
      </top>
      <bottom/>
      <diagonal/>
    </border>
    <border>
      <left style="medium">
        <color indexed="64"/>
      </left>
      <right style="mediumDashed">
        <color indexed="64"/>
      </right>
      <top/>
      <bottom/>
      <diagonal/>
    </border>
  </borders>
  <cellStyleXfs count="1214">
    <xf numFmtId="0" fontId="0" fillId="0" borderId="0"/>
    <xf numFmtId="44" fontId="5"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9" fontId="4"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43" fontId="3"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cellStyleXfs>
  <cellXfs count="1029">
    <xf numFmtId="0" fontId="0" fillId="0" borderId="0" xfId="0"/>
    <xf numFmtId="164" fontId="0" fillId="0" borderId="0" xfId="1" applyNumberFormat="1" applyFont="1"/>
    <xf numFmtId="0" fontId="8" fillId="0" borderId="0" xfId="0" applyFont="1"/>
    <xf numFmtId="164" fontId="8" fillId="0" borderId="0" xfId="0" applyNumberFormat="1" applyFont="1"/>
    <xf numFmtId="164" fontId="0" fillId="2" borderId="0" xfId="1" applyNumberFormat="1" applyFont="1" applyFill="1"/>
    <xf numFmtId="164" fontId="0" fillId="3" borderId="0" xfId="1" applyNumberFormat="1" applyFont="1" applyFill="1"/>
    <xf numFmtId="164" fontId="0" fillId="3" borderId="1" xfId="1" applyNumberFormat="1" applyFont="1" applyFill="1" applyBorder="1"/>
    <xf numFmtId="165" fontId="0" fillId="0" borderId="0" xfId="6" applyNumberFormat="1" applyFont="1"/>
    <xf numFmtId="44" fontId="0" fillId="0" borderId="0" xfId="1" applyFont="1"/>
    <xf numFmtId="0" fontId="10" fillId="0" borderId="0" xfId="0" applyFont="1"/>
    <xf numFmtId="0" fontId="11" fillId="0" borderId="0" xfId="0" applyFont="1"/>
    <xf numFmtId="164" fontId="0" fillId="4" borderId="0" xfId="1" applyNumberFormat="1" applyFont="1" applyFill="1"/>
    <xf numFmtId="167" fontId="8" fillId="0" borderId="0" xfId="0" applyNumberFormat="1" applyFont="1"/>
    <xf numFmtId="167" fontId="8" fillId="5" borderId="0" xfId="0" applyNumberFormat="1" applyFont="1" applyFill="1"/>
    <xf numFmtId="43" fontId="0" fillId="0" borderId="0" xfId="41" applyFont="1"/>
    <xf numFmtId="166" fontId="0" fillId="0" borderId="0" xfId="41" applyNumberFormat="1" applyFont="1"/>
    <xf numFmtId="167" fontId="0" fillId="0" borderId="0" xfId="41" applyNumberFormat="1" applyFont="1"/>
    <xf numFmtId="0" fontId="0" fillId="0" borderId="0" xfId="0" applyAlignment="1">
      <alignment horizontal="right"/>
    </xf>
    <xf numFmtId="0" fontId="0" fillId="0" borderId="0" xfId="0" applyAlignment="1">
      <alignment horizontal="center"/>
    </xf>
    <xf numFmtId="0" fontId="0" fillId="0" borderId="0" xfId="0" applyFill="1"/>
    <xf numFmtId="164" fontId="9" fillId="0" borderId="0" xfId="1" applyNumberFormat="1" applyFont="1"/>
    <xf numFmtId="0" fontId="8" fillId="0" borderId="0" xfId="0" applyFont="1" applyAlignment="1">
      <alignment horizontal="center"/>
    </xf>
    <xf numFmtId="43" fontId="0" fillId="0" borderId="0" xfId="41" applyNumberFormat="1" applyFont="1"/>
    <xf numFmtId="165" fontId="0" fillId="3" borderId="0" xfId="6" applyNumberFormat="1" applyFont="1" applyFill="1"/>
    <xf numFmtId="44" fontId="0" fillId="0" borderId="0" xfId="0" applyNumberFormat="1"/>
    <xf numFmtId="0" fontId="0" fillId="2" borderId="0" xfId="0" applyFill="1" applyAlignment="1">
      <alignment horizontal="center"/>
    </xf>
    <xf numFmtId="164" fontId="0" fillId="0" borderId="0" xfId="1" applyNumberFormat="1" applyFont="1" applyFill="1"/>
    <xf numFmtId="43" fontId="0" fillId="0" borderId="0" xfId="41" applyFont="1" applyFill="1"/>
    <xf numFmtId="167" fontId="0" fillId="0" borderId="0" xfId="41" applyNumberFormat="1" applyFont="1" applyFill="1"/>
    <xf numFmtId="0" fontId="0" fillId="0" borderId="0" xfId="0" applyFill="1" applyAlignment="1">
      <alignment horizontal="center"/>
    </xf>
    <xf numFmtId="0" fontId="8" fillId="0" borderId="0" xfId="0" applyFont="1" applyFill="1"/>
    <xf numFmtId="164" fontId="8" fillId="0" borderId="0" xfId="0" applyNumberFormat="1" applyFont="1" applyFill="1"/>
    <xf numFmtId="164" fontId="0" fillId="0" borderId="0" xfId="1" applyNumberFormat="1" applyFont="1" applyAlignment="1">
      <alignment horizontal="right"/>
    </xf>
    <xf numFmtId="166" fontId="0" fillId="0" borderId="0" xfId="41" applyNumberFormat="1" applyFont="1" applyAlignment="1">
      <alignment horizontal="right"/>
    </xf>
    <xf numFmtId="43" fontId="0" fillId="0" borderId="2" xfId="41" applyNumberFormat="1" applyFont="1" applyBorder="1"/>
    <xf numFmtId="10" fontId="0" fillId="0" borderId="0" xfId="6" applyNumberFormat="1" applyFont="1"/>
    <xf numFmtId="0" fontId="16" fillId="0" borderId="0" xfId="0" applyFont="1"/>
    <xf numFmtId="164" fontId="0" fillId="0" borderId="2" xfId="1" applyNumberFormat="1" applyFont="1" applyBorder="1"/>
    <xf numFmtId="0" fontId="8" fillId="0" borderId="0" xfId="0" applyFont="1" applyAlignment="1">
      <alignment horizontal="left" indent="1"/>
    </xf>
    <xf numFmtId="0" fontId="0" fillId="0" borderId="0" xfId="0" applyAlignment="1">
      <alignment horizontal="left" indent="1"/>
    </xf>
    <xf numFmtId="43" fontId="0" fillId="0" borderId="0" xfId="41" applyNumberFormat="1" applyFont="1" applyAlignment="1">
      <alignment horizontal="right"/>
    </xf>
    <xf numFmtId="0" fontId="17" fillId="0" borderId="0" xfId="0" applyFont="1"/>
    <xf numFmtId="164" fontId="0" fillId="0" borderId="0" xfId="1" applyNumberFormat="1" applyFont="1" applyBorder="1"/>
    <xf numFmtId="43" fontId="0" fillId="0" borderId="0" xfId="41" applyFont="1" applyBorder="1"/>
    <xf numFmtId="0" fontId="10" fillId="0" borderId="0" xfId="0" applyFont="1" applyAlignment="1">
      <alignment horizontal="center"/>
    </xf>
    <xf numFmtId="0" fontId="10" fillId="0" borderId="0" xfId="0" applyFont="1" applyAlignment="1">
      <alignment horizontal="right"/>
    </xf>
    <xf numFmtId="0" fontId="11" fillId="0" borderId="0" xfId="0" applyFont="1" applyAlignment="1">
      <alignment horizontal="center"/>
    </xf>
    <xf numFmtId="167" fontId="8" fillId="0" borderId="0" xfId="0" applyNumberFormat="1" applyFont="1" applyFill="1"/>
    <xf numFmtId="43" fontId="0" fillId="2" borderId="0" xfId="41" applyNumberFormat="1" applyFont="1" applyFill="1"/>
    <xf numFmtId="164" fontId="0" fillId="2" borderId="0" xfId="1" applyNumberFormat="1" applyFont="1" applyFill="1" applyBorder="1"/>
    <xf numFmtId="0" fontId="0" fillId="0" borderId="0" xfId="0" applyBorder="1"/>
    <xf numFmtId="164" fontId="10" fillId="0" borderId="0" xfId="1" applyNumberFormat="1" applyFont="1"/>
    <xf numFmtId="0" fontId="20" fillId="0" borderId="0" xfId="0" applyFont="1"/>
    <xf numFmtId="167" fontId="0" fillId="3" borderId="0" xfId="41" applyNumberFormat="1" applyFont="1" applyFill="1"/>
    <xf numFmtId="0" fontId="0" fillId="3" borderId="0" xfId="0" applyFill="1"/>
    <xf numFmtId="164" fontId="0" fillId="6" borderId="0" xfId="1" applyNumberFormat="1" applyFont="1" applyFill="1"/>
    <xf numFmtId="164" fontId="0" fillId="8" borderId="2" xfId="1" applyNumberFormat="1" applyFont="1" applyFill="1" applyBorder="1"/>
    <xf numFmtId="168" fontId="0" fillId="0" borderId="0" xfId="1" applyNumberFormat="1" applyFont="1"/>
    <xf numFmtId="164" fontId="8" fillId="0" borderId="0" xfId="1" applyNumberFormat="1" applyFont="1"/>
    <xf numFmtId="164" fontId="0" fillId="0" borderId="2" xfId="1" applyNumberFormat="1" applyFont="1" applyFill="1" applyBorder="1"/>
    <xf numFmtId="0" fontId="0" fillId="0" borderId="0" xfId="0" applyFont="1"/>
    <xf numFmtId="0" fontId="10" fillId="0" borderId="0" xfId="0" applyFont="1" applyFill="1" applyAlignment="1">
      <alignment horizontal="left"/>
    </xf>
    <xf numFmtId="164" fontId="8" fillId="0" borderId="2" xfId="0" applyNumberFormat="1" applyFont="1" applyBorder="1"/>
    <xf numFmtId="0" fontId="18" fillId="0" borderId="0" xfId="0" applyFont="1"/>
    <xf numFmtId="44" fontId="0" fillId="0" borderId="0" xfId="1" applyFont="1" applyFill="1"/>
    <xf numFmtId="164" fontId="11" fillId="0" borderId="0" xfId="0" applyNumberFormat="1" applyFont="1" applyFill="1"/>
    <xf numFmtId="0" fontId="9" fillId="0" borderId="0" xfId="0" applyFont="1" applyFill="1"/>
    <xf numFmtId="0" fontId="10" fillId="0" borderId="0" xfId="0" applyFont="1" applyFill="1" applyAlignment="1">
      <alignment horizontal="center"/>
    </xf>
    <xf numFmtId="164" fontId="0" fillId="0" borderId="0" xfId="1" applyNumberFormat="1" applyFont="1" applyFill="1" applyAlignment="1">
      <alignment horizontal="right"/>
    </xf>
    <xf numFmtId="0" fontId="0" fillId="0" borderId="0" xfId="0" applyFill="1" applyAlignment="1">
      <alignment horizontal="right"/>
    </xf>
    <xf numFmtId="0" fontId="8" fillId="0" borderId="0" xfId="0" applyFont="1" applyFill="1" applyAlignment="1">
      <alignment horizontal="center" wrapText="1"/>
    </xf>
    <xf numFmtId="0" fontId="23" fillId="0" borderId="0" xfId="0" applyFont="1" applyFill="1"/>
    <xf numFmtId="0" fontId="24" fillId="0" borderId="0" xfId="0" applyFont="1" applyFill="1" applyAlignment="1">
      <alignment horizontal="left"/>
    </xf>
    <xf numFmtId="0" fontId="21" fillId="0" borderId="0" xfId="0" applyFont="1" applyFill="1" applyAlignment="1">
      <alignment horizontal="left"/>
    </xf>
    <xf numFmtId="0" fontId="25" fillId="0" borderId="0" xfId="0" applyFont="1" applyFill="1" applyAlignment="1">
      <alignment horizontal="left"/>
    </xf>
    <xf numFmtId="0" fontId="26" fillId="0" borderId="0" xfId="0" applyFont="1"/>
    <xf numFmtId="0" fontId="18" fillId="0" borderId="0" xfId="0" applyFont="1" applyAlignment="1">
      <alignment horizontal="right"/>
    </xf>
    <xf numFmtId="164" fontId="0" fillId="3" borderId="3" xfId="1" applyNumberFormat="1" applyFont="1" applyFill="1" applyBorder="1"/>
    <xf numFmtId="164" fontId="10" fillId="3" borderId="3" xfId="0" applyNumberFormat="1" applyFont="1" applyFill="1" applyBorder="1"/>
    <xf numFmtId="164" fontId="0" fillId="10" borderId="0" xfId="1" applyNumberFormat="1" applyFont="1" applyFill="1"/>
    <xf numFmtId="0" fontId="27" fillId="0" borderId="0" xfId="0" applyFont="1" applyAlignment="1">
      <alignment horizontal="center"/>
    </xf>
    <xf numFmtId="0" fontId="21" fillId="0" borderId="0" xfId="0" applyFont="1" applyAlignment="1">
      <alignment horizontal="left"/>
    </xf>
    <xf numFmtId="0" fontId="21" fillId="0" borderId="0" xfId="0" applyFont="1" applyAlignment="1">
      <alignment horizontal="center"/>
    </xf>
    <xf numFmtId="0" fontId="24" fillId="0" borderId="0" xfId="0" applyFont="1" applyAlignment="1">
      <alignment horizontal="left"/>
    </xf>
    <xf numFmtId="164" fontId="8" fillId="11" borderId="0" xfId="0" applyNumberFormat="1" applyFont="1" applyFill="1"/>
    <xf numFmtId="164" fontId="11" fillId="9" borderId="3" xfId="0" applyNumberFormat="1" applyFont="1" applyFill="1" applyBorder="1"/>
    <xf numFmtId="0" fontId="9" fillId="0" borderId="0" xfId="0" applyFont="1"/>
    <xf numFmtId="164" fontId="8" fillId="0" borderId="0" xfId="0" applyNumberFormat="1" applyFont="1" applyBorder="1"/>
    <xf numFmtId="164" fontId="0" fillId="0" borderId="0" xfId="1" applyNumberFormat="1" applyFont="1" applyAlignment="1">
      <alignment horizontal="left" indent="1"/>
    </xf>
    <xf numFmtId="0" fontId="11" fillId="0" borderId="0" xfId="0" applyFont="1" applyAlignment="1">
      <alignment horizontal="left" indent="1"/>
    </xf>
    <xf numFmtId="164" fontId="0" fillId="14" borderId="0" xfId="1" applyNumberFormat="1" applyFont="1" applyFill="1"/>
    <xf numFmtId="164" fontId="0" fillId="7" borderId="2" xfId="1" applyNumberFormat="1" applyFont="1" applyFill="1" applyBorder="1"/>
    <xf numFmtId="0" fontId="10" fillId="0" borderId="0" xfId="0" applyFont="1" applyFill="1"/>
    <xf numFmtId="164" fontId="0" fillId="0" borderId="0" xfId="1" applyNumberFormat="1" applyFont="1" applyFill="1" applyBorder="1"/>
    <xf numFmtId="6" fontId="8" fillId="9" borderId="3" xfId="0" applyNumberFormat="1" applyFont="1" applyFill="1" applyBorder="1"/>
    <xf numFmtId="6" fontId="0" fillId="3" borderId="3" xfId="0" applyNumberFormat="1" applyFont="1" applyFill="1" applyBorder="1"/>
    <xf numFmtId="6" fontId="0" fillId="2" borderId="3" xfId="0" applyNumberFormat="1" applyFont="1" applyFill="1" applyBorder="1"/>
    <xf numFmtId="0" fontId="8" fillId="0" borderId="0" xfId="0" applyFont="1" applyAlignment="1">
      <alignment horizontal="center"/>
    </xf>
    <xf numFmtId="9" fontId="0" fillId="0" borderId="0" xfId="6" applyFont="1"/>
    <xf numFmtId="164" fontId="8" fillId="0" borderId="2" xfId="0" applyNumberFormat="1" applyFont="1" applyFill="1" applyBorder="1"/>
    <xf numFmtId="164" fontId="0" fillId="0" borderId="4" xfId="1" applyNumberFormat="1" applyFont="1" applyFill="1" applyBorder="1"/>
    <xf numFmtId="167" fontId="0" fillId="14" borderId="0" xfId="41" applyNumberFormat="1" applyFont="1" applyFill="1" applyAlignment="1">
      <alignment horizontal="center"/>
    </xf>
    <xf numFmtId="167" fontId="0" fillId="0" borderId="0" xfId="41" applyNumberFormat="1" applyFont="1" applyFill="1" applyAlignment="1">
      <alignment horizontal="center"/>
    </xf>
    <xf numFmtId="0" fontId="0" fillId="2" borderId="0" xfId="0" applyFill="1"/>
    <xf numFmtId="6" fontId="8" fillId="0" borderId="0" xfId="0" applyNumberFormat="1" applyFont="1" applyFill="1" applyBorder="1"/>
    <xf numFmtId="164" fontId="8" fillId="0" borderId="0" xfId="0" applyNumberFormat="1" applyFont="1" applyFill="1" applyBorder="1"/>
    <xf numFmtId="0" fontId="11" fillId="0" borderId="5" xfId="0" applyFont="1" applyBorder="1"/>
    <xf numFmtId="0" fontId="24" fillId="0" borderId="5" xfId="0" applyFont="1" applyBorder="1" applyAlignment="1">
      <alignment horizontal="left"/>
    </xf>
    <xf numFmtId="0" fontId="18" fillId="0" borderId="5" xfId="0" applyFont="1" applyBorder="1"/>
    <xf numFmtId="164" fontId="0" fillId="0" borderId="6" xfId="1" applyNumberFormat="1" applyFont="1" applyFill="1" applyBorder="1"/>
    <xf numFmtId="164" fontId="10" fillId="0" borderId="0" xfId="1" applyNumberFormat="1" applyFont="1" applyFill="1" applyBorder="1" applyAlignment="1">
      <alignment horizontal="center"/>
    </xf>
    <xf numFmtId="43" fontId="10" fillId="0" borderId="0" xfId="41" applyFont="1" applyFill="1" applyBorder="1" applyAlignment="1">
      <alignment horizontal="center"/>
    </xf>
    <xf numFmtId="43" fontId="0" fillId="0" borderId="0" xfId="41" applyFont="1" applyFill="1" applyBorder="1"/>
    <xf numFmtId="43" fontId="0" fillId="0" borderId="6" xfId="41" applyFont="1" applyFill="1" applyBorder="1"/>
    <xf numFmtId="0" fontId="0" fillId="0" borderId="0" xfId="0" applyFill="1" applyBorder="1"/>
    <xf numFmtId="0" fontId="8" fillId="0" borderId="0" xfId="0" applyFont="1" applyBorder="1"/>
    <xf numFmtId="0" fontId="8" fillId="0" borderId="0" xfId="0" applyFont="1" applyFill="1" applyBorder="1"/>
    <xf numFmtId="0" fontId="8" fillId="0" borderId="0" xfId="0" applyFont="1" applyBorder="1" applyAlignment="1">
      <alignment horizontal="left" indent="4"/>
    </xf>
    <xf numFmtId="164" fontId="0" fillId="0" borderId="0" xfId="1" applyNumberFormat="1" applyFont="1" applyFill="1" applyBorder="1" applyAlignment="1">
      <alignment horizontal="center"/>
    </xf>
    <xf numFmtId="164" fontId="0" fillId="0" borderId="7" xfId="1" applyNumberFormat="1" applyFont="1" applyFill="1" applyBorder="1"/>
    <xf numFmtId="164" fontId="0" fillId="15" borderId="0" xfId="1" applyNumberFormat="1" applyFont="1" applyFill="1"/>
    <xf numFmtId="164" fontId="8" fillId="15" borderId="0" xfId="0" applyNumberFormat="1" applyFont="1" applyFill="1"/>
    <xf numFmtId="0" fontId="8" fillId="0" borderId="0" xfId="0" applyFont="1" applyAlignment="1">
      <alignment horizontal="center"/>
    </xf>
    <xf numFmtId="164" fontId="0" fillId="0" borderId="0" xfId="0" applyNumberFormat="1" applyAlignment="1">
      <alignment horizontal="left" indent="1"/>
    </xf>
    <xf numFmtId="0" fontId="0" fillId="15" borderId="0" xfId="0" applyFill="1"/>
    <xf numFmtId="167" fontId="8" fillId="0" borderId="0" xfId="0" applyNumberFormat="1" applyFont="1" applyFill="1" applyBorder="1"/>
    <xf numFmtId="0" fontId="8" fillId="15" borderId="0" xfId="0" applyFont="1" applyFill="1"/>
    <xf numFmtId="0" fontId="11" fillId="15" borderId="0" xfId="0" applyFont="1" applyFill="1"/>
    <xf numFmtId="164" fontId="0" fillId="15" borderId="0" xfId="1" applyNumberFormat="1" applyFont="1" applyFill="1" applyAlignment="1">
      <alignment horizontal="right"/>
    </xf>
    <xf numFmtId="0" fontId="10" fillId="15" borderId="0" xfId="0" applyFont="1" applyFill="1"/>
    <xf numFmtId="164" fontId="0" fillId="15" borderId="0" xfId="1" applyNumberFormat="1" applyFont="1" applyFill="1" applyBorder="1"/>
    <xf numFmtId="167" fontId="0" fillId="0" borderId="2" xfId="41" applyNumberFormat="1" applyFont="1" applyFill="1" applyBorder="1"/>
    <xf numFmtId="0" fontId="10" fillId="0" borderId="0" xfId="0" applyFont="1" applyFill="1" applyAlignment="1">
      <alignment horizontal="right"/>
    </xf>
    <xf numFmtId="0" fontId="8" fillId="0" borderId="0" xfId="0" applyFont="1" applyFill="1" applyBorder="1" applyAlignment="1">
      <alignment horizontal="center"/>
    </xf>
    <xf numFmtId="0" fontId="8" fillId="0" borderId="6" xfId="0" applyFont="1" applyFill="1" applyBorder="1" applyAlignment="1">
      <alignment horizontal="center"/>
    </xf>
    <xf numFmtId="164" fontId="0" fillId="0" borderId="0" xfId="0" applyNumberFormat="1" applyFill="1" applyBorder="1"/>
    <xf numFmtId="0" fontId="8" fillId="0" borderId="0" xfId="0" applyFont="1" applyFill="1" applyBorder="1" applyAlignment="1">
      <alignment horizontal="left" indent="4"/>
    </xf>
    <xf numFmtId="0" fontId="0" fillId="0" borderId="0" xfId="0" applyFont="1" applyFill="1"/>
    <xf numFmtId="0" fontId="27" fillId="15" borderId="0" xfId="0" applyFont="1" applyFill="1" applyAlignment="1">
      <alignment horizontal="center"/>
    </xf>
    <xf numFmtId="164" fontId="9" fillId="15" borderId="0" xfId="1" applyNumberFormat="1" applyFont="1" applyFill="1"/>
    <xf numFmtId="10" fontId="0" fillId="0" borderId="0" xfId="6" applyNumberFormat="1" applyFont="1" applyFill="1" applyBorder="1"/>
    <xf numFmtId="0" fontId="0" fillId="0" borderId="0" xfId="0" applyFill="1" applyBorder="1" applyAlignment="1">
      <alignment horizontal="center"/>
    </xf>
    <xf numFmtId="0" fontId="23" fillId="15" borderId="0" xfId="0" applyFont="1" applyFill="1"/>
    <xf numFmtId="0" fontId="8" fillId="0" borderId="0" xfId="0" applyFont="1" applyFill="1" applyAlignment="1">
      <alignment horizontal="center"/>
    </xf>
    <xf numFmtId="0" fontId="0" fillId="0" borderId="0" xfId="0" quotePrefix="1" applyAlignment="1">
      <alignment wrapText="1"/>
    </xf>
    <xf numFmtId="0" fontId="0" fillId="0" borderId="0" xfId="0" applyAlignment="1">
      <alignment wrapText="1"/>
    </xf>
    <xf numFmtId="0" fontId="8" fillId="0" borderId="0" xfId="0" applyFont="1" applyAlignment="1">
      <alignment horizontal="right"/>
    </xf>
    <xf numFmtId="0" fontId="0" fillId="0" borderId="0" xfId="0" applyFill="1" applyAlignment="1">
      <alignment wrapText="1"/>
    </xf>
    <xf numFmtId="0" fontId="16" fillId="0" borderId="0" xfId="0" applyFont="1" applyAlignment="1">
      <alignment horizontal="center"/>
    </xf>
    <xf numFmtId="0" fontId="8" fillId="0" borderId="0" xfId="0" applyFont="1" applyAlignment="1">
      <alignment horizontal="center"/>
    </xf>
    <xf numFmtId="0" fontId="39" fillId="0" borderId="0" xfId="0" applyFont="1" applyFill="1"/>
    <xf numFmtId="0" fontId="39" fillId="15" borderId="0" xfId="0" applyFont="1" applyFill="1"/>
    <xf numFmtId="164" fontId="39" fillId="15" borderId="0" xfId="1" applyNumberFormat="1" applyFont="1" applyFill="1"/>
    <xf numFmtId="0" fontId="40" fillId="15" borderId="0" xfId="0" applyFont="1" applyFill="1"/>
    <xf numFmtId="0" fontId="0" fillId="0" borderId="5" xfId="0" applyBorder="1"/>
    <xf numFmtId="167" fontId="0" fillId="0" borderId="0" xfId="41" applyNumberFormat="1" applyFont="1" applyFill="1" applyBorder="1" applyAlignment="1">
      <alignment horizontal="center"/>
    </xf>
    <xf numFmtId="167" fontId="0" fillId="0" borderId="6" xfId="41" applyNumberFormat="1" applyFont="1" applyFill="1" applyBorder="1" applyAlignment="1">
      <alignment horizontal="center"/>
    </xf>
    <xf numFmtId="167" fontId="15" fillId="14" borderId="0" xfId="41" applyNumberFormat="1" applyFont="1" applyFill="1" applyBorder="1" applyAlignment="1">
      <alignment horizontal="center" vertical="center" wrapText="1"/>
    </xf>
    <xf numFmtId="167" fontId="8" fillId="0" borderId="0" xfId="0" applyNumberFormat="1" applyFont="1" applyBorder="1"/>
    <xf numFmtId="167" fontId="0" fillId="14" borderId="0" xfId="41" applyNumberFormat="1" applyFont="1" applyFill="1" applyBorder="1" applyAlignment="1">
      <alignment horizontal="center"/>
    </xf>
    <xf numFmtId="167" fontId="8" fillId="0" borderId="6" xfId="0" applyNumberFormat="1" applyFont="1" applyBorder="1"/>
    <xf numFmtId="165" fontId="8" fillId="0" borderId="0" xfId="6" applyNumberFormat="1" applyFont="1" applyBorder="1"/>
    <xf numFmtId="165" fontId="8" fillId="0" borderId="0" xfId="6" applyNumberFormat="1" applyFont="1" applyFill="1" applyBorder="1"/>
    <xf numFmtId="0" fontId="0" fillId="0" borderId="6" xfId="0" applyBorder="1"/>
    <xf numFmtId="165" fontId="8" fillId="0" borderId="6" xfId="6" applyNumberFormat="1" applyFont="1" applyBorder="1"/>
    <xf numFmtId="167" fontId="8" fillId="14" borderId="0" xfId="41" applyNumberFormat="1" applyFont="1" applyFill="1" applyBorder="1" applyAlignment="1">
      <alignment horizontal="center" wrapText="1"/>
    </xf>
    <xf numFmtId="0" fontId="0" fillId="0" borderId="6" xfId="0" applyFill="1" applyBorder="1" applyAlignment="1">
      <alignment horizontal="center"/>
    </xf>
    <xf numFmtId="164" fontId="8" fillId="0" borderId="6" xfId="0" applyNumberFormat="1" applyFont="1" applyFill="1" applyBorder="1" applyAlignment="1">
      <alignment horizontal="center"/>
    </xf>
    <xf numFmtId="167" fontId="0" fillId="14" borderId="0" xfId="41" applyNumberFormat="1" applyFont="1" applyFill="1" applyBorder="1" applyAlignment="1"/>
    <xf numFmtId="165" fontId="0" fillId="0" borderId="0" xfId="6" applyNumberFormat="1" applyFont="1" applyBorder="1"/>
    <xf numFmtId="167" fontId="15" fillId="0" borderId="0" xfId="41" applyNumberFormat="1" applyFont="1" applyFill="1" applyBorder="1" applyAlignment="1">
      <alignment horizontal="center" vertical="center" wrapText="1"/>
    </xf>
    <xf numFmtId="167" fontId="15" fillId="0" borderId="6" xfId="41" applyNumberFormat="1" applyFont="1" applyFill="1" applyBorder="1" applyAlignment="1">
      <alignment horizontal="center" vertical="center" wrapText="1"/>
    </xf>
    <xf numFmtId="41" fontId="0" fillId="0" borderId="0" xfId="1208" applyFont="1" applyBorder="1"/>
    <xf numFmtId="41" fontId="0" fillId="0" borderId="0" xfId="1208" applyFont="1" applyFill="1" applyBorder="1"/>
    <xf numFmtId="41" fontId="0" fillId="14" borderId="0" xfId="1208" applyFont="1" applyFill="1" applyBorder="1" applyAlignment="1">
      <alignment horizontal="center"/>
    </xf>
    <xf numFmtId="41" fontId="0" fillId="0" borderId="0" xfId="1208" applyFont="1" applyFill="1" applyBorder="1" applyAlignment="1">
      <alignment horizontal="center"/>
    </xf>
    <xf numFmtId="41" fontId="0" fillId="0" borderId="6" xfId="1208" applyFont="1" applyFill="1" applyBorder="1" applyAlignment="1">
      <alignment horizontal="center"/>
    </xf>
    <xf numFmtId="164" fontId="3" fillId="0" borderId="0" xfId="1" applyNumberFormat="1" applyFont="1" applyFill="1" applyBorder="1"/>
    <xf numFmtId="164" fontId="3" fillId="0" borderId="6" xfId="1" applyNumberFormat="1" applyFont="1" applyFill="1" applyBorder="1"/>
    <xf numFmtId="0" fontId="10" fillId="0" borderId="5" xfId="0" applyFont="1" applyBorder="1" applyAlignment="1">
      <alignment horizontal="right"/>
    </xf>
    <xf numFmtId="167" fontId="0" fillId="0" borderId="0" xfId="41" applyNumberFormat="1" applyFont="1" applyFill="1" applyBorder="1"/>
    <xf numFmtId="167" fontId="0" fillId="0" borderId="6" xfId="41" applyNumberFormat="1" applyFont="1" applyFill="1" applyBorder="1"/>
    <xf numFmtId="167" fontId="0" fillId="0" borderId="7" xfId="41" applyNumberFormat="1" applyFont="1" applyFill="1" applyBorder="1"/>
    <xf numFmtId="167" fontId="10" fillId="0" borderId="0" xfId="41" applyNumberFormat="1" applyFont="1" applyFill="1" applyBorder="1" applyAlignment="1">
      <alignment horizontal="center"/>
    </xf>
    <xf numFmtId="167" fontId="0" fillId="0" borderId="0" xfId="0" applyNumberFormat="1" applyFill="1" applyBorder="1"/>
    <xf numFmtId="43" fontId="0" fillId="15" borderId="0" xfId="41" applyFont="1" applyFill="1"/>
    <xf numFmtId="167" fontId="0" fillId="15" borderId="0" xfId="41" applyNumberFormat="1" applyFont="1" applyFill="1" applyAlignment="1">
      <alignment horizontal="center"/>
    </xf>
    <xf numFmtId="0" fontId="26" fillId="0" borderId="0" xfId="0" applyFont="1" applyFill="1" applyAlignment="1">
      <alignment horizontal="center"/>
    </xf>
    <xf numFmtId="0" fontId="8" fillId="15" borderId="0" xfId="0" applyFont="1" applyFill="1" applyAlignment="1">
      <alignment horizontal="right"/>
    </xf>
    <xf numFmtId="164" fontId="39" fillId="0" borderId="0" xfId="1" applyNumberFormat="1" applyFont="1" applyFill="1"/>
    <xf numFmtId="164" fontId="39" fillId="0" borderId="0" xfId="1" applyNumberFormat="1" applyFont="1" applyFill="1" applyAlignment="1">
      <alignment horizontal="right"/>
    </xf>
    <xf numFmtId="0" fontId="8" fillId="0" borderId="0" xfId="0" applyFont="1" applyAlignment="1">
      <alignment horizontal="center"/>
    </xf>
    <xf numFmtId="0" fontId="8" fillId="0" borderId="0" xfId="0" applyFont="1" applyAlignment="1">
      <alignment horizontal="center"/>
    </xf>
    <xf numFmtId="165" fontId="0" fillId="0" borderId="0" xfId="6" applyNumberFormat="1" applyFont="1" applyFill="1" applyBorder="1"/>
    <xf numFmtId="0" fontId="8" fillId="0" borderId="0" xfId="0" applyFont="1" applyAlignment="1">
      <alignment horizontal="center"/>
    </xf>
    <xf numFmtId="0" fontId="8" fillId="0" borderId="0" xfId="0" applyFont="1" applyAlignment="1">
      <alignment horizontal="center"/>
    </xf>
    <xf numFmtId="164" fontId="10" fillId="0" borderId="0" xfId="1" applyNumberFormat="1" applyFont="1" applyFill="1" applyBorder="1"/>
    <xf numFmtId="0" fontId="0" fillId="0" borderId="0" xfId="0" applyAlignment="1">
      <alignment horizontal="center"/>
    </xf>
    <xf numFmtId="0" fontId="26" fillId="0" borderId="0" xfId="0" applyFont="1" applyFill="1" applyBorder="1"/>
    <xf numFmtId="0" fontId="10" fillId="0" borderId="0" xfId="0" applyFont="1" applyFill="1" applyBorder="1"/>
    <xf numFmtId="166" fontId="0" fillId="0" borderId="0" xfId="41" applyNumberFormat="1" applyFont="1" applyFill="1" applyBorder="1"/>
    <xf numFmtId="0" fontId="0" fillId="0" borderId="0" xfId="0" applyFill="1" applyBorder="1" applyAlignment="1">
      <alignment horizontal="left" indent="1"/>
    </xf>
    <xf numFmtId="43" fontId="0" fillId="0" borderId="0" xfId="41" applyNumberFormat="1" applyFont="1" applyFill="1" applyBorder="1"/>
    <xf numFmtId="0" fontId="10" fillId="0" borderId="0" xfId="0" applyFont="1" applyFill="1" applyBorder="1" applyAlignment="1">
      <alignment horizontal="right"/>
    </xf>
    <xf numFmtId="166" fontId="0" fillId="0" borderId="0" xfId="41" applyNumberFormat="1" applyFont="1" applyFill="1" applyBorder="1" applyAlignment="1">
      <alignment horizontal="right"/>
    </xf>
    <xf numFmtId="0" fontId="10" fillId="0" borderId="0" xfId="0" applyFont="1" applyFill="1" applyBorder="1" applyAlignment="1">
      <alignment horizontal="center"/>
    </xf>
    <xf numFmtId="0" fontId="16" fillId="0" borderId="0" xfId="0" applyFont="1" applyFill="1" applyBorder="1"/>
    <xf numFmtId="44" fontId="0" fillId="0" borderId="0" xfId="1" applyFont="1" applyFill="1" applyBorder="1"/>
    <xf numFmtId="0" fontId="11" fillId="0" borderId="0" xfId="0" applyFont="1" applyFill="1" applyBorder="1"/>
    <xf numFmtId="0" fontId="9" fillId="0" borderId="0" xfId="0" applyFont="1" applyFill="1" applyBorder="1" applyAlignment="1">
      <alignment horizontal="left" indent="2"/>
    </xf>
    <xf numFmtId="0" fontId="11" fillId="0" borderId="0" xfId="0" applyFont="1" applyFill="1" applyBorder="1" applyAlignment="1">
      <alignment horizontal="center"/>
    </xf>
    <xf numFmtId="0" fontId="18" fillId="0" borderId="0" xfId="0" applyFont="1" applyFill="1" applyBorder="1"/>
    <xf numFmtId="0" fontId="0" fillId="0" borderId="0" xfId="0" applyFill="1" applyBorder="1" applyAlignment="1">
      <alignment horizontal="left" wrapText="1" indent="1"/>
    </xf>
    <xf numFmtId="0" fontId="18" fillId="0" borderId="0" xfId="0" applyFont="1" applyFill="1" applyBorder="1" applyAlignment="1">
      <alignment horizontal="right"/>
    </xf>
    <xf numFmtId="6" fontId="0" fillId="0" borderId="0" xfId="0" applyNumberFormat="1" applyFont="1" applyFill="1" applyBorder="1"/>
    <xf numFmtId="0" fontId="8" fillId="0" borderId="0" xfId="0" applyFont="1" applyFill="1" applyBorder="1" applyAlignment="1">
      <alignment horizontal="right"/>
    </xf>
    <xf numFmtId="164" fontId="0" fillId="0" borderId="0" xfId="1" applyNumberFormat="1" applyFont="1" applyFill="1" applyBorder="1" applyAlignment="1">
      <alignment horizontal="right"/>
    </xf>
    <xf numFmtId="0" fontId="0" fillId="0" borderId="0" xfId="0" applyFill="1" applyBorder="1" applyAlignment="1">
      <alignment horizontal="right"/>
    </xf>
    <xf numFmtId="0" fontId="27" fillId="0" borderId="0" xfId="0" applyFont="1" applyFill="1" applyBorder="1" applyAlignment="1">
      <alignment horizontal="center"/>
    </xf>
    <xf numFmtId="164" fontId="8" fillId="0" borderId="0" xfId="0" applyNumberFormat="1" applyFont="1" applyFill="1" applyBorder="1" applyAlignment="1"/>
    <xf numFmtId="167" fontId="8" fillId="0" borderId="0" xfId="41" applyNumberFormat="1" applyFont="1" applyFill="1" applyBorder="1"/>
    <xf numFmtId="0" fontId="8" fillId="0" borderId="0" xfId="0" applyFont="1" applyFill="1" applyBorder="1" applyAlignment="1">
      <alignment horizontal="left" indent="1"/>
    </xf>
    <xf numFmtId="164" fontId="8" fillId="0" borderId="0" xfId="1" applyNumberFormat="1" applyFont="1" applyFill="1" applyBorder="1" applyAlignment="1">
      <alignment horizontal="center"/>
    </xf>
    <xf numFmtId="0" fontId="9" fillId="0" borderId="0" xfId="0" applyFont="1" applyFill="1" applyBorder="1" applyAlignment="1">
      <alignment horizontal="left" indent="1"/>
    </xf>
    <xf numFmtId="0" fontId="9" fillId="0" borderId="0" xfId="0" applyFont="1" applyFill="1" applyBorder="1" applyAlignment="1">
      <alignment horizontal="right"/>
    </xf>
    <xf numFmtId="0" fontId="0" fillId="0" borderId="0" xfId="0" applyFont="1" applyFill="1" applyBorder="1" applyAlignment="1">
      <alignment horizontal="left" indent="1"/>
    </xf>
    <xf numFmtId="167" fontId="8" fillId="0" borderId="0" xfId="41" applyNumberFormat="1" applyFont="1" applyFill="1" applyBorder="1" applyAlignment="1">
      <alignment horizontal="center"/>
    </xf>
    <xf numFmtId="0" fontId="10" fillId="0" borderId="0" xfId="0" applyFont="1" applyFill="1" applyBorder="1" applyAlignment="1">
      <alignment horizontal="left"/>
    </xf>
    <xf numFmtId="43" fontId="8" fillId="0" borderId="0" xfId="41" applyNumberFormat="1" applyFont="1" applyFill="1" applyBorder="1" applyAlignment="1">
      <alignment horizontal="center"/>
    </xf>
    <xf numFmtId="164" fontId="8" fillId="0" borderId="0" xfId="0" applyNumberFormat="1" applyFont="1" applyFill="1" applyBorder="1" applyAlignment="1">
      <alignment horizontal="center"/>
    </xf>
    <xf numFmtId="0" fontId="26" fillId="0" borderId="0" xfId="0" applyFont="1" applyFill="1" applyBorder="1" applyAlignment="1"/>
    <xf numFmtId="0" fontId="24" fillId="0" borderId="0" xfId="0" applyFont="1" applyFill="1" applyBorder="1" applyAlignment="1">
      <alignment horizontal="left"/>
    </xf>
    <xf numFmtId="0" fontId="24" fillId="0" borderId="0" xfId="0" applyFont="1" applyFill="1" applyBorder="1"/>
    <xf numFmtId="0" fontId="32" fillId="0" borderId="0" xfId="0" applyFont="1" applyFill="1" applyBorder="1" applyAlignment="1">
      <alignment horizontal="left" indent="1"/>
    </xf>
    <xf numFmtId="166" fontId="0" fillId="0" borderId="0" xfId="0" applyNumberFormat="1" applyFill="1" applyBorder="1"/>
    <xf numFmtId="164" fontId="0" fillId="0" borderId="0" xfId="1" applyNumberFormat="1" applyFont="1" applyFill="1" applyBorder="1" applyAlignment="1">
      <alignment horizontal="left" indent="1"/>
    </xf>
    <xf numFmtId="164" fontId="18" fillId="0" borderId="0" xfId="1" applyNumberFormat="1" applyFont="1" applyFill="1" applyBorder="1"/>
    <xf numFmtId="6" fontId="0" fillId="0" borderId="0" xfId="1" applyNumberFormat="1" applyFont="1" applyFill="1" applyBorder="1"/>
    <xf numFmtId="44" fontId="0" fillId="0" borderId="0" xfId="1" applyNumberFormat="1" applyFont="1" applyFill="1" applyBorder="1"/>
    <xf numFmtId="0" fontId="0" fillId="0" borderId="0" xfId="0" applyFill="1" applyBorder="1" applyAlignment="1">
      <alignment horizontal="right" indent="1"/>
    </xf>
    <xf numFmtId="164" fontId="11" fillId="0" borderId="0" xfId="0" applyNumberFormat="1" applyFont="1" applyFill="1" applyBorder="1"/>
    <xf numFmtId="0" fontId="11" fillId="0" borderId="0" xfId="0" applyFont="1" applyFill="1" applyBorder="1" applyAlignment="1">
      <alignment horizontal="left" indent="1"/>
    </xf>
    <xf numFmtId="0" fontId="21" fillId="0" borderId="0" xfId="0" applyFont="1" applyFill="1" applyBorder="1" applyAlignment="1">
      <alignment horizontal="left"/>
    </xf>
    <xf numFmtId="0" fontId="21" fillId="0" borderId="0" xfId="0" applyFont="1" applyFill="1" applyBorder="1" applyAlignment="1">
      <alignment horizontal="center"/>
    </xf>
    <xf numFmtId="164" fontId="23" fillId="0" borderId="0" xfId="1" applyNumberFormat="1" applyFont="1" applyFill="1" applyBorder="1"/>
    <xf numFmtId="167" fontId="0" fillId="0" borderId="0" xfId="41" applyNumberFormat="1" applyFont="1" applyBorder="1"/>
    <xf numFmtId="0" fontId="23" fillId="0" borderId="0" xfId="0" applyFont="1" applyBorder="1"/>
    <xf numFmtId="167" fontId="23" fillId="0" borderId="0" xfId="41" applyNumberFormat="1" applyFont="1" applyBorder="1"/>
    <xf numFmtId="0" fontId="9" fillId="0" borderId="0" xfId="0" applyFont="1" applyBorder="1"/>
    <xf numFmtId="0" fontId="0" fillId="0" borderId="0" xfId="0" applyFill="1" applyBorder="1" applyAlignment="1">
      <alignment horizontal="left"/>
    </xf>
    <xf numFmtId="0" fontId="27" fillId="0" borderId="0" xfId="0" applyFont="1" applyFill="1" applyBorder="1"/>
    <xf numFmtId="0" fontId="16" fillId="0" borderId="0" xfId="0" applyFont="1" applyFill="1" applyBorder="1" applyAlignment="1">
      <alignment horizontal="center"/>
    </xf>
    <xf numFmtId="0" fontId="11" fillId="0" borderId="0" xfId="0" applyFont="1" applyFill="1" applyBorder="1" applyAlignment="1">
      <alignment horizontal="left"/>
    </xf>
    <xf numFmtId="0" fontId="30" fillId="0" borderId="0" xfId="0" applyFont="1" applyFill="1" applyBorder="1" applyAlignment="1">
      <alignment horizontal="right"/>
    </xf>
    <xf numFmtId="0" fontId="31" fillId="0" borderId="0" xfId="0" applyFont="1" applyFill="1" applyBorder="1" applyAlignment="1">
      <alignment horizontal="left"/>
    </xf>
    <xf numFmtId="0" fontId="18" fillId="0" borderId="0" xfId="0" applyFont="1" applyFill="1" applyBorder="1" applyAlignment="1">
      <alignment horizontal="left"/>
    </xf>
    <xf numFmtId="167" fontId="9" fillId="0" borderId="0" xfId="41" applyNumberFormat="1" applyFont="1" applyFill="1" applyBorder="1" applyAlignment="1">
      <alignment horizontal="center"/>
    </xf>
    <xf numFmtId="0" fontId="27" fillId="0" borderId="0" xfId="0" applyFont="1" applyFill="1" applyBorder="1" applyAlignment="1">
      <alignment horizontal="left" indent="1"/>
    </xf>
    <xf numFmtId="0" fontId="27" fillId="0" borderId="0" xfId="0" applyFont="1" applyFill="1" applyBorder="1" applyAlignment="1">
      <alignment horizontal="left" wrapText="1" indent="1"/>
    </xf>
    <xf numFmtId="0" fontId="34" fillId="0" borderId="0" xfId="0" applyFont="1" applyFill="1" applyBorder="1" applyAlignment="1">
      <alignment horizontal="left" wrapText="1" indent="1"/>
    </xf>
    <xf numFmtId="0" fontId="33" fillId="0" borderId="0" xfId="0" applyFont="1" applyFill="1" applyBorder="1" applyAlignment="1">
      <alignment horizontal="left" wrapText="1" indent="1"/>
    </xf>
    <xf numFmtId="0" fontId="33" fillId="0" borderId="0" xfId="0" applyFont="1" applyFill="1" applyBorder="1" applyAlignment="1">
      <alignment horizontal="left"/>
    </xf>
    <xf numFmtId="0" fontId="24" fillId="0" borderId="0" xfId="0" applyFont="1" applyFill="1" applyBorder="1" applyAlignment="1">
      <alignment horizontal="left" indent="1"/>
    </xf>
    <xf numFmtId="0" fontId="21" fillId="0" borderId="0" xfId="0" applyFont="1" applyFill="1" applyBorder="1" applyAlignment="1">
      <alignment horizontal="left" indent="1"/>
    </xf>
    <xf numFmtId="0" fontId="18" fillId="0" borderId="0" xfId="0" applyFont="1" applyFill="1" applyBorder="1" applyAlignment="1">
      <alignment horizontal="left" indent="1"/>
    </xf>
    <xf numFmtId="0" fontId="26" fillId="0" borderId="0" xfId="0" applyFont="1" applyFill="1" applyBorder="1" applyAlignment="1">
      <alignment horizontal="center"/>
    </xf>
    <xf numFmtId="0" fontId="16" fillId="0" borderId="0" xfId="0" applyFont="1" applyFill="1" applyBorder="1" applyAlignment="1">
      <alignment horizontal="right"/>
    </xf>
    <xf numFmtId="0" fontId="22" fillId="0" borderId="0" xfId="0" applyFont="1" applyFill="1" applyBorder="1" applyAlignment="1">
      <alignment horizontal="center"/>
    </xf>
    <xf numFmtId="0" fontId="0" fillId="0" borderId="0" xfId="0" applyFont="1" applyFill="1" applyBorder="1"/>
    <xf numFmtId="166" fontId="0" fillId="0" borderId="0" xfId="0" applyNumberFormat="1"/>
    <xf numFmtId="166" fontId="0" fillId="0" borderId="0" xfId="41" applyNumberFormat="1" applyFont="1" applyFill="1"/>
    <xf numFmtId="0" fontId="0" fillId="0" borderId="0" xfId="0" applyFill="1" applyAlignment="1">
      <alignment horizontal="left" indent="1"/>
    </xf>
    <xf numFmtId="43" fontId="0" fillId="0" borderId="0" xfId="41" applyNumberFormat="1" applyFont="1" applyFill="1"/>
    <xf numFmtId="43" fontId="0" fillId="0" borderId="2" xfId="41" applyNumberFormat="1" applyFont="1" applyFill="1" applyBorder="1"/>
    <xf numFmtId="43" fontId="0" fillId="0" borderId="2" xfId="41" applyFont="1" applyBorder="1"/>
    <xf numFmtId="43" fontId="0" fillId="0" borderId="0" xfId="41" applyNumberFormat="1" applyFont="1" applyBorder="1"/>
    <xf numFmtId="166" fontId="0" fillId="0" borderId="2" xfId="41" applyNumberFormat="1" applyFont="1" applyBorder="1"/>
    <xf numFmtId="43" fontId="0" fillId="0" borderId="4" xfId="41" applyNumberFormat="1" applyFont="1" applyBorder="1"/>
    <xf numFmtId="0" fontId="0" fillId="0" borderId="0" xfId="0"/>
    <xf numFmtId="167" fontId="10" fillId="0" borderId="0" xfId="41" applyNumberFormat="1" applyFont="1" applyFill="1" applyBorder="1"/>
    <xf numFmtId="43" fontId="10" fillId="0" borderId="2" xfId="41" applyNumberFormat="1" applyFont="1" applyBorder="1"/>
    <xf numFmtId="167" fontId="11" fillId="3" borderId="0" xfId="0" applyNumberFormat="1" applyFont="1" applyFill="1"/>
    <xf numFmtId="167" fontId="11" fillId="0" borderId="0" xfId="0" applyNumberFormat="1" applyFont="1" applyFill="1"/>
    <xf numFmtId="167" fontId="11" fillId="0" borderId="0" xfId="0" applyNumberFormat="1" applyFont="1"/>
    <xf numFmtId="167" fontId="10" fillId="2" borderId="0" xfId="41" applyNumberFormat="1" applyFont="1" applyFill="1"/>
    <xf numFmtId="0" fontId="23" fillId="0" borderId="0" xfId="0" applyFont="1" applyFill="1" applyBorder="1" applyAlignment="1">
      <alignment horizontal="left" indent="1"/>
    </xf>
    <xf numFmtId="43" fontId="10" fillId="0" borderId="2" xfId="41" applyFont="1" applyBorder="1"/>
    <xf numFmtId="0" fontId="32" fillId="0" borderId="0" xfId="0" applyFont="1" applyFill="1" applyBorder="1" applyAlignment="1">
      <alignment horizontal="left"/>
    </xf>
    <xf numFmtId="0" fontId="23" fillId="0" borderId="0" xfId="0" applyFont="1" applyFill="1" applyBorder="1"/>
    <xf numFmtId="167" fontId="0" fillId="0" borderId="4" xfId="41" applyNumberFormat="1" applyFont="1" applyFill="1" applyBorder="1"/>
    <xf numFmtId="166" fontId="10" fillId="0" borderId="0" xfId="41" applyNumberFormat="1" applyFont="1" applyAlignment="1">
      <alignment horizontal="right"/>
    </xf>
    <xf numFmtId="43" fontId="10" fillId="0" borderId="4" xfId="41" applyNumberFormat="1" applyFont="1" applyBorder="1"/>
    <xf numFmtId="0" fontId="10" fillId="0" borderId="0" xfId="0" quotePrefix="1" applyFont="1"/>
    <xf numFmtId="164" fontId="8" fillId="17" borderId="0" xfId="0" applyNumberFormat="1" applyFont="1" applyFill="1" applyBorder="1"/>
    <xf numFmtId="167" fontId="3" fillId="0" borderId="0" xfId="41" applyNumberFormat="1" applyFont="1" applyFill="1" applyBorder="1"/>
    <xf numFmtId="0" fontId="16" fillId="0" borderId="0" xfId="0" applyFont="1" applyAlignment="1">
      <alignment horizontal="center"/>
    </xf>
    <xf numFmtId="43" fontId="0" fillId="0" borderId="4" xfId="41" applyNumberFormat="1" applyFont="1" applyFill="1" applyBorder="1"/>
    <xf numFmtId="164" fontId="0" fillId="8" borderId="0" xfId="1" applyNumberFormat="1" applyFont="1" applyFill="1" applyBorder="1"/>
    <xf numFmtId="6" fontId="8" fillId="9" borderId="0" xfId="0" applyNumberFormat="1" applyFont="1" applyFill="1" applyBorder="1"/>
    <xf numFmtId="43" fontId="0" fillId="0" borderId="2" xfId="41" applyNumberFormat="1" applyFont="1" applyBorder="1" applyAlignment="1">
      <alignment horizontal="right"/>
    </xf>
    <xf numFmtId="169" fontId="8" fillId="0" borderId="0" xfId="41" applyNumberFormat="1" applyFont="1" applyAlignment="1">
      <alignment horizontal="center"/>
    </xf>
    <xf numFmtId="169" fontId="0" fillId="0" borderId="2" xfId="41" applyNumberFormat="1" applyFont="1" applyBorder="1"/>
    <xf numFmtId="43" fontId="0" fillId="2" borderId="0" xfId="41" applyNumberFormat="1" applyFont="1" applyFill="1" applyAlignment="1">
      <alignment horizontal="right"/>
    </xf>
    <xf numFmtId="166" fontId="0" fillId="2" borderId="0" xfId="41" applyNumberFormat="1" applyFont="1" applyFill="1" applyAlignment="1">
      <alignment horizontal="right"/>
    </xf>
    <xf numFmtId="43" fontId="0" fillId="2" borderId="0" xfId="41" applyFont="1" applyFill="1" applyBorder="1"/>
    <xf numFmtId="166" fontId="10" fillId="2" borderId="0" xfId="41" applyNumberFormat="1" applyFont="1" applyFill="1" applyAlignment="1">
      <alignment horizontal="right"/>
    </xf>
    <xf numFmtId="167" fontId="0" fillId="2" borderId="0" xfId="41" applyNumberFormat="1" applyFont="1" applyFill="1" applyBorder="1"/>
    <xf numFmtId="167" fontId="8" fillId="2" borderId="0" xfId="41" applyNumberFormat="1" applyFont="1" applyFill="1" applyBorder="1" applyAlignment="1">
      <alignment horizontal="right"/>
    </xf>
    <xf numFmtId="169" fontId="0" fillId="2" borderId="0" xfId="41" applyNumberFormat="1" applyFont="1" applyFill="1" applyBorder="1"/>
    <xf numFmtId="167" fontId="0" fillId="14" borderId="0" xfId="41" quotePrefix="1" applyNumberFormat="1" applyFont="1" applyFill="1" applyBorder="1" applyAlignment="1">
      <alignment horizontal="center"/>
    </xf>
    <xf numFmtId="164" fontId="3" fillId="0" borderId="2" xfId="1" applyNumberFormat="1" applyFont="1" applyFill="1" applyBorder="1"/>
    <xf numFmtId="164" fontId="3" fillId="0" borderId="0" xfId="1" applyNumberFormat="1" applyFont="1" applyFill="1"/>
    <xf numFmtId="0" fontId="8" fillId="0" borderId="0" xfId="0" applyFont="1" applyFill="1"/>
    <xf numFmtId="164" fontId="8" fillId="0" borderId="0" xfId="0" applyNumberFormat="1" applyFont="1" applyFill="1"/>
    <xf numFmtId="164" fontId="0" fillId="0" borderId="0" xfId="1209" applyNumberFormat="1" applyFont="1" applyFill="1" applyBorder="1"/>
    <xf numFmtId="164" fontId="8" fillId="0" borderId="0" xfId="0" applyNumberFormat="1" applyFont="1" applyFill="1" applyBorder="1"/>
    <xf numFmtId="0" fontId="0" fillId="0" borderId="0" xfId="0" applyFill="1" applyBorder="1"/>
    <xf numFmtId="0" fontId="0" fillId="0" borderId="0" xfId="0" applyFont="1" applyFill="1"/>
    <xf numFmtId="167" fontId="0" fillId="14" borderId="0" xfId="41" applyNumberFormat="1" applyFont="1" applyFill="1" applyBorder="1" applyAlignment="1">
      <alignment horizontal="center"/>
    </xf>
    <xf numFmtId="167" fontId="0" fillId="0" borderId="0" xfId="41" applyNumberFormat="1" applyFont="1" applyFill="1" applyBorder="1"/>
    <xf numFmtId="0" fontId="8" fillId="0" borderId="0" xfId="0" applyFont="1" applyFill="1" applyAlignment="1">
      <alignment horizontal="right"/>
    </xf>
    <xf numFmtId="165" fontId="0" fillId="0" borderId="0" xfId="1210" applyNumberFormat="1" applyFont="1" applyFill="1" applyBorder="1"/>
    <xf numFmtId="166" fontId="0" fillId="0" borderId="0" xfId="41" applyNumberFormat="1" applyFont="1" applyFill="1" applyBorder="1"/>
    <xf numFmtId="0" fontId="41" fillId="18" borderId="0" xfId="1211" applyFont="1" applyFill="1" applyBorder="1" applyAlignment="1">
      <alignment horizontal="center" vertical="center"/>
    </xf>
    <xf numFmtId="0" fontId="42" fillId="0" borderId="0" xfId="1211" applyFont="1" applyFill="1" applyAlignment="1">
      <alignment vertical="center"/>
    </xf>
    <xf numFmtId="0" fontId="2" fillId="0" borderId="0" xfId="1211" applyFont="1" applyFill="1" applyAlignment="1">
      <alignment vertical="center"/>
    </xf>
    <xf numFmtId="0" fontId="43" fillId="19" borderId="16" xfId="1211" applyFont="1" applyFill="1" applyBorder="1" applyAlignment="1">
      <alignment horizontal="left" vertical="center"/>
    </xf>
    <xf numFmtId="0" fontId="43" fillId="19" borderId="16" xfId="1211" applyFont="1" applyFill="1" applyBorder="1" applyAlignment="1">
      <alignment horizontal="right" vertical="center"/>
    </xf>
    <xf numFmtId="0" fontId="31" fillId="0" borderId="0" xfId="1211" applyFont="1" applyFill="1" applyAlignment="1">
      <alignment vertical="center"/>
    </xf>
    <xf numFmtId="0" fontId="44" fillId="12" borderId="16" xfId="1211" applyFont="1" applyFill="1" applyBorder="1" applyAlignment="1">
      <alignment vertical="center" wrapText="1"/>
    </xf>
    <xf numFmtId="167" fontId="44" fillId="12" borderId="16" xfId="1212" applyNumberFormat="1" applyFont="1" applyFill="1" applyBorder="1" applyAlignment="1">
      <alignment vertical="center"/>
    </xf>
    <xf numFmtId="0" fontId="44" fillId="0" borderId="0" xfId="1211" applyFont="1" applyFill="1" applyAlignment="1">
      <alignment vertical="center" wrapText="1"/>
    </xf>
    <xf numFmtId="0" fontId="44" fillId="12" borderId="16" xfId="1211" applyFont="1" applyFill="1" applyBorder="1" applyAlignment="1">
      <alignment vertical="center"/>
    </xf>
    <xf numFmtId="0" fontId="44" fillId="0" borderId="0" xfId="1211" applyFont="1" applyFill="1" applyAlignment="1">
      <alignment vertical="center"/>
    </xf>
    <xf numFmtId="0" fontId="45" fillId="0" borderId="16" xfId="1211" applyFont="1" applyFill="1" applyBorder="1" applyAlignment="1">
      <alignment horizontal="left" vertical="center" indent="2"/>
    </xf>
    <xf numFmtId="167" fontId="45" fillId="0" borderId="16" xfId="1212" applyNumberFormat="1" applyFont="1" applyFill="1" applyBorder="1" applyAlignment="1">
      <alignment vertical="center"/>
    </xf>
    <xf numFmtId="167" fontId="44" fillId="0" borderId="0" xfId="1211" applyNumberFormat="1" applyFont="1" applyFill="1" applyAlignment="1">
      <alignment vertical="center"/>
    </xf>
    <xf numFmtId="0" fontId="43" fillId="19" borderId="16" xfId="1211" applyFont="1" applyFill="1" applyBorder="1" applyAlignment="1">
      <alignment vertical="center"/>
    </xf>
    <xf numFmtId="167" fontId="43" fillId="19" borderId="16" xfId="1212" applyNumberFormat="1" applyFont="1" applyFill="1" applyBorder="1" applyAlignment="1">
      <alignment vertical="center"/>
    </xf>
    <xf numFmtId="0" fontId="2" fillId="0" borderId="0" xfId="1211"/>
    <xf numFmtId="167" fontId="2" fillId="0" borderId="0" xfId="1211" applyNumberFormat="1"/>
    <xf numFmtId="167" fontId="2" fillId="0" borderId="0" xfId="1211" applyNumberFormat="1" applyFont="1" applyFill="1" applyAlignment="1">
      <alignment vertical="center"/>
    </xf>
    <xf numFmtId="0" fontId="2" fillId="0" borderId="0" xfId="1211" applyFill="1"/>
    <xf numFmtId="167" fontId="0" fillId="0" borderId="0" xfId="1212" applyNumberFormat="1" applyFont="1"/>
    <xf numFmtId="0" fontId="37" fillId="18" borderId="16" xfId="1211" applyFont="1" applyFill="1" applyBorder="1" applyAlignment="1">
      <alignment vertical="center"/>
    </xf>
    <xf numFmtId="164" fontId="16" fillId="18" borderId="16" xfId="1213" applyNumberFormat="1" applyFont="1" applyFill="1" applyBorder="1" applyAlignment="1">
      <alignment vertical="center"/>
    </xf>
    <xf numFmtId="167" fontId="0" fillId="0" borderId="0" xfId="1212" applyNumberFormat="1" applyFont="1" applyFill="1" applyAlignment="1">
      <alignment vertical="center"/>
    </xf>
    <xf numFmtId="0" fontId="48" fillId="0" borderId="0" xfId="0" applyFont="1" applyAlignment="1"/>
    <xf numFmtId="0" fontId="0" fillId="0" borderId="0" xfId="0" applyAlignment="1"/>
    <xf numFmtId="0" fontId="31" fillId="0" borderId="0" xfId="0" applyFont="1" applyAlignment="1">
      <alignment horizontal="center"/>
    </xf>
    <xf numFmtId="0" fontId="31" fillId="0" borderId="0" xfId="0" applyFont="1" applyAlignment="1">
      <alignment horizontal="center" vertical="top"/>
    </xf>
    <xf numFmtId="0" fontId="33" fillId="0" borderId="0" xfId="0" applyFont="1" applyAlignment="1">
      <alignment horizontal="center"/>
    </xf>
    <xf numFmtId="0" fontId="49" fillId="0" borderId="5" xfId="0" applyFont="1" applyBorder="1"/>
    <xf numFmtId="0" fontId="52" fillId="0" borderId="5" xfId="0" applyFont="1" applyBorder="1" applyAlignment="1">
      <alignment horizontal="left"/>
    </xf>
    <xf numFmtId="0" fontId="51" fillId="0" borderId="5" xfId="0" applyFont="1" applyBorder="1"/>
    <xf numFmtId="0" fontId="54" fillId="0" borderId="0" xfId="0" applyFont="1" applyAlignment="1">
      <alignment horizontal="center"/>
    </xf>
    <xf numFmtId="164" fontId="2" fillId="0" borderId="0" xfId="1211" applyNumberFormat="1" applyFont="1" applyFill="1" applyAlignment="1">
      <alignment vertical="center"/>
    </xf>
    <xf numFmtId="0" fontId="16" fillId="0" borderId="0" xfId="0" applyFont="1" applyAlignment="1">
      <alignment horizontal="center"/>
    </xf>
    <xf numFmtId="0" fontId="10" fillId="0" borderId="4" xfId="0" applyFont="1" applyFill="1" applyBorder="1" applyAlignment="1">
      <alignment horizontal="center"/>
    </xf>
    <xf numFmtId="0" fontId="11" fillId="0" borderId="4" xfId="0" applyFont="1" applyFill="1" applyBorder="1" applyAlignment="1">
      <alignment horizontal="center"/>
    </xf>
    <xf numFmtId="0" fontId="11" fillId="0" borderId="0" xfId="0" applyFont="1" applyFill="1" applyBorder="1" applyAlignment="1">
      <alignment horizontal="center" wrapText="1"/>
    </xf>
    <xf numFmtId="0" fontId="56" fillId="0" borderId="0" xfId="0" applyFont="1" applyFill="1" applyBorder="1" applyAlignment="1">
      <alignment horizontal="center" wrapText="1"/>
    </xf>
    <xf numFmtId="0" fontId="57" fillId="0" borderId="0" xfId="0" applyFont="1" applyFill="1" applyBorder="1" applyAlignment="1">
      <alignment horizontal="center"/>
    </xf>
    <xf numFmtId="0" fontId="56" fillId="0" borderId="4" xfId="0" applyFont="1" applyBorder="1" applyAlignment="1">
      <alignment horizontal="center"/>
    </xf>
    <xf numFmtId="0" fontId="57" fillId="0" borderId="4" xfId="0" applyFont="1" applyFill="1" applyBorder="1" applyAlignment="1">
      <alignment horizontal="center"/>
    </xf>
    <xf numFmtId="0" fontId="56" fillId="0" borderId="4" xfId="0" applyFont="1" applyFill="1" applyBorder="1" applyAlignment="1">
      <alignment horizontal="center"/>
    </xf>
    <xf numFmtId="0" fontId="11" fillId="0" borderId="0" xfId="0" applyFont="1" applyFill="1" applyAlignment="1">
      <alignment horizontal="center" wrapText="1"/>
    </xf>
    <xf numFmtId="0" fontId="11" fillId="0" borderId="2" xfId="0" applyFont="1" applyBorder="1" applyAlignment="1">
      <alignment horizontal="center"/>
    </xf>
    <xf numFmtId="0" fontId="16" fillId="0" borderId="0" xfId="0" applyFont="1" applyBorder="1" applyAlignment="1">
      <alignment horizontal="center"/>
    </xf>
    <xf numFmtId="164" fontId="8" fillId="0" borderId="17" xfId="0" applyNumberFormat="1" applyFont="1" applyFill="1" applyBorder="1"/>
    <xf numFmtId="0" fontId="33" fillId="0" borderId="10" xfId="0" applyFont="1" applyBorder="1" applyAlignment="1">
      <alignment horizontal="center"/>
    </xf>
    <xf numFmtId="0" fontId="8" fillId="0" borderId="11" xfId="0" applyFont="1" applyBorder="1" applyAlignment="1">
      <alignment horizontal="right"/>
    </xf>
    <xf numFmtId="164" fontId="8" fillId="0" borderId="6" xfId="0" applyNumberFormat="1" applyFont="1" applyFill="1" applyBorder="1"/>
    <xf numFmtId="164" fontId="8" fillId="0" borderId="19" xfId="0" applyNumberFormat="1" applyFont="1" applyFill="1" applyBorder="1"/>
    <xf numFmtId="164" fontId="8" fillId="0" borderId="7" xfId="0" applyNumberFormat="1" applyFont="1" applyFill="1" applyBorder="1"/>
    <xf numFmtId="0" fontId="16" fillId="0" borderId="0" xfId="0" applyFont="1" applyFill="1" applyBorder="1" applyAlignment="1">
      <alignment horizontal="left"/>
    </xf>
    <xf numFmtId="0" fontId="27" fillId="0" borderId="10" xfId="0" applyFont="1" applyBorder="1" applyAlignment="1">
      <alignment horizontal="center"/>
    </xf>
    <xf numFmtId="164" fontId="10" fillId="0" borderId="0" xfId="1" applyNumberFormat="1" applyFont="1" applyAlignment="1">
      <alignment horizontal="left"/>
    </xf>
    <xf numFmtId="0" fontId="8" fillId="0" borderId="21" xfId="0" applyFont="1" applyBorder="1" applyAlignment="1">
      <alignment horizontal="right"/>
    </xf>
    <xf numFmtId="0" fontId="8" fillId="0" borderId="22" xfId="0" applyFont="1" applyBorder="1" applyAlignment="1">
      <alignment horizontal="right"/>
    </xf>
    <xf numFmtId="164" fontId="8" fillId="0" borderId="23" xfId="0" applyNumberFormat="1" applyFont="1" applyFill="1" applyBorder="1"/>
    <xf numFmtId="164" fontId="8" fillId="0" borderId="24" xfId="0" applyNumberFormat="1" applyFont="1" applyFill="1" applyBorder="1"/>
    <xf numFmtId="164" fontId="8" fillId="0" borderId="25" xfId="0" applyNumberFormat="1" applyFont="1" applyFill="1" applyBorder="1"/>
    <xf numFmtId="164" fontId="8" fillId="0" borderId="26" xfId="0" applyNumberFormat="1" applyFont="1" applyFill="1" applyBorder="1"/>
    <xf numFmtId="164" fontId="0" fillId="0" borderId="23" xfId="1" applyNumberFormat="1" applyFont="1" applyBorder="1"/>
    <xf numFmtId="164" fontId="0" fillId="0" borderId="24" xfId="1" applyNumberFormat="1" applyFont="1" applyBorder="1"/>
    <xf numFmtId="0" fontId="11" fillId="0" borderId="23" xfId="0" applyFont="1" applyFill="1" applyBorder="1" applyAlignment="1">
      <alignment horizontal="center"/>
    </xf>
    <xf numFmtId="0" fontId="11" fillId="0" borderId="24" xfId="0" applyFont="1" applyFill="1" applyBorder="1" applyAlignment="1">
      <alignment horizontal="center"/>
    </xf>
    <xf numFmtId="44" fontId="0" fillId="0" borderId="23" xfId="1" applyFont="1" applyBorder="1"/>
    <xf numFmtId="44" fontId="0" fillId="0" borderId="24" xfId="1" applyFont="1" applyBorder="1"/>
    <xf numFmtId="167" fontId="8" fillId="0" borderId="23" xfId="0" applyNumberFormat="1" applyFont="1" applyBorder="1"/>
    <xf numFmtId="167" fontId="8" fillId="0" borderId="24" xfId="0" applyNumberFormat="1" applyFont="1" applyBorder="1"/>
    <xf numFmtId="0" fontId="0" fillId="0" borderId="23" xfId="0" applyBorder="1"/>
    <xf numFmtId="0" fontId="0" fillId="0" borderId="24" xfId="0" applyBorder="1"/>
    <xf numFmtId="166" fontId="0" fillId="0" borderId="23" xfId="41" applyNumberFormat="1" applyFont="1" applyBorder="1" applyAlignment="1">
      <alignment horizontal="right"/>
    </xf>
    <xf numFmtId="166" fontId="0" fillId="0" borderId="0" xfId="41" applyNumberFormat="1" applyFont="1" applyBorder="1" applyAlignment="1">
      <alignment horizontal="right"/>
    </xf>
    <xf numFmtId="166" fontId="0" fillId="0" borderId="24" xfId="41" applyNumberFormat="1" applyFont="1" applyBorder="1" applyAlignment="1">
      <alignment horizontal="right"/>
    </xf>
    <xf numFmtId="164" fontId="8" fillId="0" borderId="21" xfId="0" applyNumberFormat="1" applyFont="1" applyFill="1" applyBorder="1"/>
    <xf numFmtId="164" fontId="8" fillId="0" borderId="11" xfId="0" applyNumberFormat="1" applyFont="1" applyFill="1" applyBorder="1"/>
    <xf numFmtId="0" fontId="9" fillId="0" borderId="23" xfId="0" applyFont="1" applyFill="1" applyBorder="1"/>
    <xf numFmtId="0" fontId="8" fillId="0" borderId="24" xfId="0" applyFont="1" applyFill="1" applyBorder="1"/>
    <xf numFmtId="164" fontId="0" fillId="15" borderId="23" xfId="1" applyNumberFormat="1" applyFont="1" applyFill="1" applyBorder="1"/>
    <xf numFmtId="164" fontId="0" fillId="15" borderId="24" xfId="1" applyNumberFormat="1" applyFont="1" applyFill="1" applyBorder="1"/>
    <xf numFmtId="167" fontId="8" fillId="12" borderId="0" xfId="0" applyNumberFormat="1" applyFont="1" applyFill="1" applyBorder="1"/>
    <xf numFmtId="167" fontId="8" fillId="10" borderId="24" xfId="0" applyNumberFormat="1" applyFont="1" applyFill="1" applyBorder="1"/>
    <xf numFmtId="166" fontId="0" fillId="10" borderId="0" xfId="41" applyNumberFormat="1" applyFont="1" applyFill="1" applyBorder="1" applyAlignment="1">
      <alignment horizontal="right"/>
    </xf>
    <xf numFmtId="166" fontId="0" fillId="10" borderId="24" xfId="41" applyNumberFormat="1" applyFont="1" applyFill="1" applyBorder="1" applyAlignment="1">
      <alignment horizontal="right"/>
    </xf>
    <xf numFmtId="0" fontId="8" fillId="0" borderId="23" xfId="0" applyFont="1" applyFill="1" applyBorder="1"/>
    <xf numFmtId="0" fontId="0" fillId="15" borderId="23" xfId="0" applyFill="1" applyBorder="1"/>
    <xf numFmtId="0" fontId="0" fillId="15" borderId="0" xfId="0" applyFill="1" applyBorder="1"/>
    <xf numFmtId="0" fontId="0" fillId="15" borderId="24" xfId="0" applyFill="1" applyBorder="1"/>
    <xf numFmtId="0" fontId="8" fillId="0" borderId="23" xfId="0" applyFont="1" applyFill="1" applyBorder="1" applyAlignment="1">
      <alignment horizontal="right"/>
    </xf>
    <xf numFmtId="0" fontId="8" fillId="0" borderId="24" xfId="0" applyFont="1" applyFill="1" applyBorder="1" applyAlignment="1">
      <alignment horizontal="right"/>
    </xf>
    <xf numFmtId="166" fontId="0" fillId="0" borderId="23" xfId="41" applyNumberFormat="1" applyFont="1" applyBorder="1"/>
    <xf numFmtId="166" fontId="0" fillId="0" borderId="0" xfId="41" applyNumberFormat="1" applyFont="1" applyBorder="1"/>
    <xf numFmtId="166" fontId="0" fillId="0" borderId="24" xfId="41" applyNumberFormat="1" applyFont="1" applyBorder="1"/>
    <xf numFmtId="164" fontId="0" fillId="0" borderId="23" xfId="1" applyNumberFormat="1" applyFont="1" applyFill="1" applyBorder="1"/>
    <xf numFmtId="164" fontId="0" fillId="0" borderId="24" xfId="1" applyNumberFormat="1" applyFont="1" applyFill="1" applyBorder="1"/>
    <xf numFmtId="0" fontId="0" fillId="0" borderId="23" xfId="0" applyFill="1" applyBorder="1"/>
    <xf numFmtId="0" fontId="0" fillId="0" borderId="24" xfId="0" applyFill="1" applyBorder="1"/>
    <xf numFmtId="43" fontId="0" fillId="0" borderId="23" xfId="41" applyNumberFormat="1" applyFont="1" applyBorder="1"/>
    <xf numFmtId="43" fontId="0" fillId="0" borderId="24" xfId="41" applyNumberFormat="1" applyFont="1" applyBorder="1"/>
    <xf numFmtId="43" fontId="0" fillId="0" borderId="30" xfId="41" applyNumberFormat="1" applyFont="1" applyBorder="1"/>
    <xf numFmtId="43" fontId="0" fillId="0" borderId="23" xfId="41" applyFont="1" applyFill="1" applyBorder="1"/>
    <xf numFmtId="43" fontId="0" fillId="0" borderId="24" xfId="41" applyFont="1" applyFill="1" applyBorder="1"/>
    <xf numFmtId="43" fontId="0" fillId="2" borderId="23" xfId="41" applyFont="1" applyFill="1" applyBorder="1"/>
    <xf numFmtId="43" fontId="0" fillId="2" borderId="24" xfId="41" applyFont="1" applyFill="1" applyBorder="1"/>
    <xf numFmtId="169" fontId="0" fillId="0" borderId="24" xfId="41" applyNumberFormat="1" applyFont="1" applyBorder="1"/>
    <xf numFmtId="0" fontId="10" fillId="0" borderId="24" xfId="0" applyFont="1" applyBorder="1"/>
    <xf numFmtId="43" fontId="0" fillId="13" borderId="33" xfId="41" applyFont="1" applyFill="1" applyBorder="1"/>
    <xf numFmtId="0" fontId="26" fillId="13" borderId="20" xfId="0" applyFont="1" applyFill="1" applyBorder="1" applyAlignment="1">
      <alignment horizontal="center"/>
    </xf>
    <xf numFmtId="164" fontId="8" fillId="13" borderId="27" xfId="0" applyNumberFormat="1" applyFont="1" applyFill="1" applyBorder="1"/>
    <xf numFmtId="164" fontId="8" fillId="13" borderId="2" xfId="0" applyNumberFormat="1" applyFont="1" applyFill="1" applyBorder="1"/>
    <xf numFmtId="164" fontId="8" fillId="13" borderId="28" xfId="0" applyNumberFormat="1" applyFont="1" applyFill="1" applyBorder="1"/>
    <xf numFmtId="164" fontId="8" fillId="13" borderId="7" xfId="0" applyNumberFormat="1" applyFont="1" applyFill="1" applyBorder="1"/>
    <xf numFmtId="0" fontId="11" fillId="0" borderId="23" xfId="0" applyFont="1" applyFill="1" applyBorder="1" applyAlignment="1">
      <alignment horizontal="center" wrapText="1"/>
    </xf>
    <xf numFmtId="0" fontId="11" fillId="0" borderId="24" xfId="0" applyFont="1" applyFill="1" applyBorder="1" applyAlignment="1">
      <alignment horizontal="center" wrapText="1"/>
    </xf>
    <xf numFmtId="0" fontId="10" fillId="0" borderId="23" xfId="0" applyFont="1" applyFill="1" applyBorder="1" applyAlignment="1">
      <alignment horizontal="center"/>
    </xf>
    <xf numFmtId="0" fontId="10" fillId="0" borderId="24" xfId="0" applyFont="1" applyFill="1" applyBorder="1" applyAlignment="1">
      <alignment horizontal="center"/>
    </xf>
    <xf numFmtId="0" fontId="11" fillId="0" borderId="27" xfId="0" applyFont="1" applyBorder="1" applyAlignment="1">
      <alignment horizontal="center"/>
    </xf>
    <xf numFmtId="0" fontId="11" fillId="0" borderId="28" xfId="0" applyFont="1" applyBorder="1" applyAlignment="1">
      <alignment horizontal="center"/>
    </xf>
    <xf numFmtId="0" fontId="11" fillId="0" borderId="6" xfId="0" applyFont="1" applyFill="1" applyBorder="1" applyAlignment="1">
      <alignment horizontal="center" wrapText="1"/>
    </xf>
    <xf numFmtId="0" fontId="10" fillId="0" borderId="6" xfId="0" applyFont="1" applyFill="1" applyBorder="1" applyAlignment="1">
      <alignment horizontal="center"/>
    </xf>
    <xf numFmtId="0" fontId="11" fillId="0" borderId="6" xfId="0" applyFont="1" applyBorder="1" applyAlignment="1">
      <alignment horizontal="center"/>
    </xf>
    <xf numFmtId="0" fontId="8" fillId="0" borderId="6" xfId="0" applyFont="1" applyFill="1" applyBorder="1"/>
    <xf numFmtId="164" fontId="0" fillId="15" borderId="6" xfId="1" applyNumberFormat="1" applyFont="1" applyFill="1" applyBorder="1"/>
    <xf numFmtId="164" fontId="0" fillId="0" borderId="6" xfId="1" applyNumberFormat="1" applyFont="1" applyBorder="1"/>
    <xf numFmtId="0" fontId="11" fillId="0" borderId="6" xfId="0" applyFont="1" applyFill="1" applyBorder="1" applyAlignment="1">
      <alignment horizontal="center"/>
    </xf>
    <xf numFmtId="44" fontId="0" fillId="0" borderId="6" xfId="1" applyFont="1" applyBorder="1"/>
    <xf numFmtId="0" fontId="0" fillId="15" borderId="6" xfId="0" applyFill="1" applyBorder="1"/>
    <xf numFmtId="0" fontId="8" fillId="0" borderId="6" xfId="0" applyFont="1" applyFill="1" applyBorder="1" applyAlignment="1">
      <alignment horizontal="right"/>
    </xf>
    <xf numFmtId="166" fontId="0" fillId="0" borderId="6" xfId="41" applyNumberFormat="1" applyFont="1" applyBorder="1"/>
    <xf numFmtId="43" fontId="0" fillId="0" borderId="6" xfId="41" applyNumberFormat="1" applyFont="1" applyBorder="1"/>
    <xf numFmtId="43" fontId="0" fillId="0" borderId="8" xfId="41" applyNumberFormat="1" applyFont="1" applyBorder="1"/>
    <xf numFmtId="166" fontId="0" fillId="0" borderId="6" xfId="41" applyNumberFormat="1" applyFont="1" applyBorder="1" applyAlignment="1">
      <alignment horizontal="right"/>
    </xf>
    <xf numFmtId="0" fontId="0" fillId="0" borderId="6" xfId="0" applyFill="1" applyBorder="1"/>
    <xf numFmtId="0" fontId="11" fillId="0" borderId="7" xfId="0" applyFont="1" applyBorder="1" applyAlignment="1">
      <alignment horizontal="center"/>
    </xf>
    <xf numFmtId="164" fontId="0" fillId="0" borderId="24" xfId="1" applyNumberFormat="1" applyFont="1" applyFill="1" applyBorder="1" applyAlignment="1">
      <alignment horizontal="left" indent="1"/>
    </xf>
    <xf numFmtId="6" fontId="0" fillId="0" borderId="24" xfId="1" applyNumberFormat="1" applyFont="1" applyFill="1" applyBorder="1"/>
    <xf numFmtId="166" fontId="0" fillId="0" borderId="24" xfId="41" applyNumberFormat="1" applyFont="1" applyFill="1" applyBorder="1"/>
    <xf numFmtId="43" fontId="0" fillId="0" borderId="24" xfId="41" applyNumberFormat="1" applyFont="1" applyFill="1" applyBorder="1"/>
    <xf numFmtId="10" fontId="0" fillId="0" borderId="24" xfId="6" applyNumberFormat="1" applyFont="1" applyFill="1" applyBorder="1"/>
    <xf numFmtId="44" fontId="0" fillId="0" borderId="24" xfId="1" applyFont="1" applyFill="1" applyBorder="1"/>
    <xf numFmtId="0" fontId="8" fillId="0" borderId="11" xfId="0" applyFont="1" applyBorder="1"/>
    <xf numFmtId="0" fontId="8" fillId="0" borderId="12" xfId="0" applyFont="1" applyBorder="1" applyAlignment="1">
      <alignment horizontal="right"/>
    </xf>
    <xf numFmtId="165" fontId="0" fillId="0" borderId="6" xfId="6" applyNumberFormat="1" applyFont="1" applyFill="1" applyBorder="1"/>
    <xf numFmtId="164" fontId="0" fillId="0" borderId="6" xfId="1" applyNumberFormat="1" applyFont="1" applyFill="1" applyBorder="1" applyAlignment="1">
      <alignment horizontal="left" indent="1"/>
    </xf>
    <xf numFmtId="6" fontId="0" fillId="0" borderId="6" xfId="1" applyNumberFormat="1" applyFont="1" applyFill="1" applyBorder="1"/>
    <xf numFmtId="166" fontId="0" fillId="0" borderId="6" xfId="41" applyNumberFormat="1" applyFont="1" applyFill="1" applyBorder="1"/>
    <xf numFmtId="43" fontId="0" fillId="0" borderId="6" xfId="41" applyNumberFormat="1" applyFont="1" applyFill="1" applyBorder="1"/>
    <xf numFmtId="10" fontId="0" fillId="0" borderId="6" xfId="6" applyNumberFormat="1" applyFont="1" applyFill="1" applyBorder="1"/>
    <xf numFmtId="44" fontId="0" fillId="0" borderId="6" xfId="1" applyFont="1" applyFill="1" applyBorder="1"/>
    <xf numFmtId="164" fontId="8" fillId="0" borderId="27" xfId="0" applyNumberFormat="1" applyFont="1" applyFill="1" applyBorder="1"/>
    <xf numFmtId="164" fontId="8" fillId="0" borderId="28" xfId="0" applyNumberFormat="1" applyFont="1" applyFill="1" applyBorder="1"/>
    <xf numFmtId="0" fontId="26" fillId="22" borderId="20" xfId="0" applyFont="1" applyFill="1" applyBorder="1" applyAlignment="1">
      <alignment horizontal="center"/>
    </xf>
    <xf numFmtId="164" fontId="8" fillId="22" borderId="27" xfId="0" applyNumberFormat="1" applyFont="1" applyFill="1" applyBorder="1"/>
    <xf numFmtId="164" fontId="8" fillId="22" borderId="2" xfId="0" applyNumberFormat="1" applyFont="1" applyFill="1" applyBorder="1"/>
    <xf numFmtId="164" fontId="8" fillId="22" borderId="28" xfId="0" applyNumberFormat="1" applyFont="1" applyFill="1" applyBorder="1"/>
    <xf numFmtId="164" fontId="8" fillId="22" borderId="7" xfId="0" applyNumberFormat="1" applyFont="1" applyFill="1" applyBorder="1"/>
    <xf numFmtId="0" fontId="58" fillId="0" borderId="5" xfId="0" applyFont="1" applyBorder="1"/>
    <xf numFmtId="0" fontId="8" fillId="0" borderId="23" xfId="0" applyFont="1" applyBorder="1" applyAlignment="1">
      <alignment horizontal="right"/>
    </xf>
    <xf numFmtId="0" fontId="8" fillId="15" borderId="23" xfId="0" applyFont="1" applyFill="1" applyBorder="1" applyAlignment="1">
      <alignment horizontal="right"/>
    </xf>
    <xf numFmtId="0" fontId="8" fillId="0" borderId="24" xfId="0" applyFont="1" applyBorder="1" applyAlignment="1">
      <alignment horizontal="right"/>
    </xf>
    <xf numFmtId="167" fontId="8" fillId="0" borderId="24" xfId="0" applyNumberFormat="1" applyFont="1" applyFill="1" applyBorder="1"/>
    <xf numFmtId="0" fontId="8" fillId="15" borderId="24" xfId="0" applyFont="1" applyFill="1" applyBorder="1" applyAlignment="1">
      <alignment horizontal="right"/>
    </xf>
    <xf numFmtId="0" fontId="8" fillId="0" borderId="6" xfId="0" applyFont="1" applyBorder="1" applyAlignment="1">
      <alignment horizontal="right"/>
    </xf>
    <xf numFmtId="167" fontId="8" fillId="0" borderId="6" xfId="0" applyNumberFormat="1" applyFont="1" applyFill="1" applyBorder="1"/>
    <xf numFmtId="0" fontId="8" fillId="15" borderId="6" xfId="0" applyFont="1" applyFill="1" applyBorder="1" applyAlignment="1">
      <alignment horizontal="right"/>
    </xf>
    <xf numFmtId="164" fontId="0" fillId="15" borderId="0" xfId="1209" applyNumberFormat="1" applyFont="1" applyFill="1"/>
    <xf numFmtId="0" fontId="27" fillId="0" borderId="9" xfId="0" applyFont="1" applyBorder="1" applyAlignment="1">
      <alignment horizontal="center"/>
    </xf>
    <xf numFmtId="0" fontId="0" fillId="0" borderId="6" xfId="0" applyFont="1" applyFill="1" applyBorder="1"/>
    <xf numFmtId="167" fontId="0" fillId="0" borderId="6" xfId="41" applyNumberFormat="1" applyFont="1" applyBorder="1"/>
    <xf numFmtId="43" fontId="0" fillId="0" borderId="7" xfId="41" applyNumberFormat="1" applyFont="1" applyBorder="1"/>
    <xf numFmtId="10" fontId="0" fillId="0" borderId="6" xfId="6" applyNumberFormat="1" applyFont="1" applyBorder="1"/>
    <xf numFmtId="164" fontId="0" fillId="0" borderId="6" xfId="1209" applyNumberFormat="1" applyFont="1" applyFill="1" applyBorder="1"/>
    <xf numFmtId="165" fontId="0" fillId="0" borderId="6" xfId="1210" applyNumberFormat="1" applyFont="1" applyFill="1" applyBorder="1"/>
    <xf numFmtId="0" fontId="0" fillId="0" borderId="24" xfId="0" applyFont="1" applyFill="1" applyBorder="1"/>
    <xf numFmtId="164" fontId="3" fillId="0" borderId="24" xfId="1" applyNumberFormat="1" applyFont="1" applyFill="1" applyBorder="1"/>
    <xf numFmtId="167" fontId="0" fillId="0" borderId="24" xfId="41" applyNumberFormat="1" applyFont="1" applyBorder="1"/>
    <xf numFmtId="43" fontId="0" fillId="0" borderId="28" xfId="41" applyNumberFormat="1" applyFont="1" applyBorder="1"/>
    <xf numFmtId="10" fontId="0" fillId="0" borderId="24" xfId="6" applyNumberFormat="1" applyFont="1" applyBorder="1"/>
    <xf numFmtId="165" fontId="0" fillId="0" borderId="24" xfId="6" applyNumberFormat="1" applyFont="1" applyFill="1" applyBorder="1"/>
    <xf numFmtId="164" fontId="0" fillId="0" borderId="24" xfId="1209" applyNumberFormat="1" applyFont="1" applyFill="1" applyBorder="1"/>
    <xf numFmtId="165" fontId="0" fillId="0" borderId="24" xfId="1210" applyNumberFormat="1" applyFont="1" applyFill="1" applyBorder="1"/>
    <xf numFmtId="0" fontId="0" fillId="0" borderId="23" xfId="0" applyFont="1" applyFill="1" applyBorder="1"/>
    <xf numFmtId="164" fontId="3" fillId="0" borderId="23" xfId="1" applyNumberFormat="1" applyFont="1" applyFill="1" applyBorder="1"/>
    <xf numFmtId="167" fontId="0" fillId="0" borderId="23" xfId="41" applyNumberFormat="1" applyFont="1" applyBorder="1"/>
    <xf numFmtId="43" fontId="10" fillId="0" borderId="27" xfId="41" applyNumberFormat="1" applyFont="1" applyBorder="1"/>
    <xf numFmtId="166" fontId="0" fillId="0" borderId="23" xfId="41" applyNumberFormat="1" applyFont="1" applyFill="1" applyBorder="1" applyAlignment="1">
      <alignment horizontal="right"/>
    </xf>
    <xf numFmtId="164" fontId="0" fillId="0" borderId="23" xfId="1209" applyNumberFormat="1" applyFont="1" applyFill="1" applyBorder="1"/>
    <xf numFmtId="167" fontId="0" fillId="0" borderId="23" xfId="41" applyNumberFormat="1" applyFont="1" applyFill="1" applyBorder="1"/>
    <xf numFmtId="44" fontId="0" fillId="10" borderId="23" xfId="1" applyFont="1" applyFill="1" applyBorder="1"/>
    <xf numFmtId="44" fontId="0" fillId="10" borderId="0" xfId="1" applyFont="1" applyFill="1"/>
    <xf numFmtId="44" fontId="0" fillId="10" borderId="24" xfId="1" applyFont="1" applyFill="1" applyBorder="1"/>
    <xf numFmtId="44" fontId="0" fillId="10" borderId="6" xfId="1" applyFont="1" applyFill="1" applyBorder="1"/>
    <xf numFmtId="167" fontId="8" fillId="0" borderId="23" xfId="0" applyNumberFormat="1" applyFont="1" applyFill="1" applyBorder="1"/>
    <xf numFmtId="164" fontId="0" fillId="10" borderId="23" xfId="1" applyNumberFormat="1" applyFont="1" applyFill="1" applyBorder="1"/>
    <xf numFmtId="164" fontId="0" fillId="10" borderId="24" xfId="1" applyNumberFormat="1" applyFont="1" applyFill="1" applyBorder="1"/>
    <xf numFmtId="164" fontId="0" fillId="10" borderId="6" xfId="1" applyNumberFormat="1" applyFont="1" applyFill="1" applyBorder="1"/>
    <xf numFmtId="0" fontId="0" fillId="0" borderId="0" xfId="0" applyFont="1" applyAlignment="1">
      <alignment horizontal="left"/>
    </xf>
    <xf numFmtId="0" fontId="8" fillId="0" borderId="22" xfId="0" applyFont="1" applyBorder="1" applyAlignment="1">
      <alignment horizontal="center"/>
    </xf>
    <xf numFmtId="0" fontId="11" fillId="0" borderId="21" xfId="0" applyFont="1" applyBorder="1" applyAlignment="1">
      <alignment horizontal="center"/>
    </xf>
    <xf numFmtId="0" fontId="11" fillId="0" borderId="11" xfId="0" applyFont="1" applyBorder="1" applyAlignment="1">
      <alignment horizontal="center"/>
    </xf>
    <xf numFmtId="0" fontId="11" fillId="0" borderId="22" xfId="0" applyFont="1" applyBorder="1" applyAlignment="1">
      <alignment horizontal="center"/>
    </xf>
    <xf numFmtId="0" fontId="11" fillId="0" borderId="12" xfId="0" applyFont="1" applyBorder="1" applyAlignment="1">
      <alignment horizontal="center"/>
    </xf>
    <xf numFmtId="0" fontId="11" fillId="0" borderId="23" xfId="0" applyFont="1" applyBorder="1" applyAlignment="1">
      <alignment horizontal="center"/>
    </xf>
    <xf numFmtId="0" fontId="11" fillId="0" borderId="24" xfId="0" applyFont="1" applyBorder="1" applyAlignment="1">
      <alignment horizontal="center"/>
    </xf>
    <xf numFmtId="0" fontId="18" fillId="0" borderId="5" xfId="0" applyFont="1" applyFill="1" applyBorder="1"/>
    <xf numFmtId="0" fontId="39" fillId="15" borderId="24" xfId="0" applyFont="1" applyFill="1" applyBorder="1"/>
    <xf numFmtId="164" fontId="10" fillId="0" borderId="24" xfId="1" applyNumberFormat="1" applyFont="1" applyBorder="1"/>
    <xf numFmtId="164" fontId="0" fillId="7" borderId="28" xfId="1" applyNumberFormat="1" applyFont="1" applyFill="1" applyBorder="1"/>
    <xf numFmtId="165" fontId="0" fillId="0" borderId="24" xfId="6" applyNumberFormat="1" applyFont="1" applyBorder="1"/>
    <xf numFmtId="6" fontId="0" fillId="3" borderId="37" xfId="0" applyNumberFormat="1" applyFont="1" applyFill="1" applyBorder="1"/>
    <xf numFmtId="164" fontId="0" fillId="14" borderId="24" xfId="1" applyNumberFormat="1" applyFont="1" applyFill="1" applyBorder="1"/>
    <xf numFmtId="43" fontId="0" fillId="0" borderId="24" xfId="41" applyFont="1" applyBorder="1"/>
    <xf numFmtId="0" fontId="8" fillId="15" borderId="0" xfId="0" applyFont="1" applyFill="1" applyAlignment="1">
      <alignment horizontal="center"/>
    </xf>
    <xf numFmtId="0" fontId="39" fillId="15" borderId="6" xfId="0" applyFont="1" applyFill="1" applyBorder="1"/>
    <xf numFmtId="164" fontId="10" fillId="0" borderId="6" xfId="1" applyNumberFormat="1" applyFont="1" applyBorder="1"/>
    <xf numFmtId="164" fontId="0" fillId="7" borderId="7" xfId="1" applyNumberFormat="1" applyFont="1" applyFill="1" applyBorder="1"/>
    <xf numFmtId="164" fontId="0" fillId="3" borderId="6" xfId="1" applyNumberFormat="1" applyFont="1" applyFill="1" applyBorder="1"/>
    <xf numFmtId="165" fontId="0" fillId="0" borderId="6" xfId="6" applyNumberFormat="1" applyFont="1" applyBorder="1"/>
    <xf numFmtId="165" fontId="0" fillId="3" borderId="6" xfId="6" applyNumberFormat="1" applyFont="1" applyFill="1" applyBorder="1"/>
    <xf numFmtId="6" fontId="0" fillId="2" borderId="38" xfId="0" applyNumberFormat="1" applyFont="1" applyFill="1" applyBorder="1"/>
    <xf numFmtId="164" fontId="0" fillId="14" borderId="6" xfId="1" applyNumberFormat="1" applyFont="1" applyFill="1" applyBorder="1"/>
    <xf numFmtId="43" fontId="0" fillId="2" borderId="6" xfId="41" applyNumberFormat="1" applyFont="1" applyFill="1" applyBorder="1" applyAlignment="1">
      <alignment horizontal="right"/>
    </xf>
    <xf numFmtId="43" fontId="0" fillId="0" borderId="6" xfId="41" applyFont="1" applyBorder="1"/>
    <xf numFmtId="167" fontId="0" fillId="10" borderId="0" xfId="41" applyNumberFormat="1" applyFont="1" applyFill="1"/>
    <xf numFmtId="167" fontId="0" fillId="10" borderId="24" xfId="41" applyNumberFormat="1" applyFont="1" applyFill="1" applyBorder="1"/>
    <xf numFmtId="167" fontId="0" fillId="10" borderId="6" xfId="41" applyNumberFormat="1" applyFont="1" applyFill="1" applyBorder="1"/>
    <xf numFmtId="0" fontId="39" fillId="15" borderId="23" xfId="0" applyFont="1" applyFill="1" applyBorder="1"/>
    <xf numFmtId="167" fontId="0" fillId="10" borderId="23" xfId="41" applyNumberFormat="1" applyFont="1" applyFill="1" applyBorder="1"/>
    <xf numFmtId="164" fontId="0" fillId="7" borderId="27" xfId="1" applyNumberFormat="1" applyFont="1" applyFill="1" applyBorder="1"/>
    <xf numFmtId="6" fontId="0" fillId="3" borderId="39" xfId="0" applyNumberFormat="1" applyFont="1" applyFill="1" applyBorder="1"/>
    <xf numFmtId="164" fontId="0" fillId="14" borderId="23" xfId="1" applyNumberFormat="1" applyFont="1" applyFill="1" applyBorder="1"/>
    <xf numFmtId="43" fontId="0" fillId="0" borderId="23" xfId="41" applyFont="1" applyBorder="1"/>
    <xf numFmtId="164" fontId="0" fillId="6" borderId="23" xfId="1" applyNumberFormat="1" applyFont="1" applyFill="1" applyBorder="1"/>
    <xf numFmtId="164" fontId="0" fillId="6" borderId="24" xfId="1" applyNumberFormat="1" applyFont="1" applyFill="1" applyBorder="1"/>
    <xf numFmtId="164" fontId="3" fillId="0" borderId="7" xfId="1" applyNumberFormat="1" applyFont="1" applyFill="1" applyBorder="1"/>
    <xf numFmtId="164" fontId="0" fillId="6" borderId="6" xfId="1" applyNumberFormat="1" applyFont="1" applyFill="1" applyBorder="1"/>
    <xf numFmtId="0" fontId="11" fillId="0" borderId="11" xfId="0" applyFont="1" applyFill="1" applyBorder="1" applyAlignment="1">
      <alignment horizontal="center"/>
    </xf>
    <xf numFmtId="0" fontId="11" fillId="0" borderId="12" xfId="0" applyFont="1" applyFill="1" applyBorder="1" applyAlignment="1">
      <alignment horizontal="center"/>
    </xf>
    <xf numFmtId="0" fontId="0" fillId="0" borderId="23" xfId="0" applyBorder="1" applyAlignment="1">
      <alignment horizontal="right"/>
    </xf>
    <xf numFmtId="166" fontId="0" fillId="0" borderId="23" xfId="0" applyNumberFormat="1" applyBorder="1"/>
    <xf numFmtId="0" fontId="0" fillId="0" borderId="23" xfId="0" applyFill="1" applyBorder="1" applyAlignment="1">
      <alignment horizontal="right"/>
    </xf>
    <xf numFmtId="43" fontId="0" fillId="0" borderId="27" xfId="41" applyNumberFormat="1" applyFont="1" applyBorder="1"/>
    <xf numFmtId="0" fontId="0" fillId="0" borderId="24" xfId="0" applyBorder="1" applyAlignment="1">
      <alignment horizontal="right"/>
    </xf>
    <xf numFmtId="166" fontId="0" fillId="0" borderId="24" xfId="0" applyNumberFormat="1" applyBorder="1"/>
    <xf numFmtId="0" fontId="0" fillId="0" borderId="24" xfId="0" applyFill="1" applyBorder="1" applyAlignment="1">
      <alignment horizontal="right"/>
    </xf>
    <xf numFmtId="0" fontId="0" fillId="0" borderId="6" xfId="0" applyBorder="1" applyAlignment="1">
      <alignment horizontal="right"/>
    </xf>
    <xf numFmtId="166" fontId="0" fillId="0" borderId="6" xfId="0" applyNumberFormat="1" applyBorder="1"/>
    <xf numFmtId="0" fontId="0" fillId="0" borderId="6" xfId="0" applyFill="1" applyBorder="1" applyAlignment="1">
      <alignment horizontal="right"/>
    </xf>
    <xf numFmtId="6" fontId="0" fillId="0" borderId="6" xfId="0" applyNumberFormat="1" applyFont="1" applyFill="1" applyBorder="1"/>
    <xf numFmtId="166" fontId="0" fillId="0" borderId="6" xfId="41" applyNumberFormat="1" applyFont="1" applyFill="1" applyBorder="1" applyAlignment="1">
      <alignment horizontal="right"/>
    </xf>
    <xf numFmtId="6" fontId="0" fillId="0" borderId="24" xfId="0" applyNumberFormat="1" applyFont="1" applyFill="1" applyBorder="1"/>
    <xf numFmtId="166" fontId="0" fillId="0" borderId="24" xfId="41" applyNumberFormat="1" applyFont="1" applyFill="1" applyBorder="1" applyAlignment="1">
      <alignment horizontal="right"/>
    </xf>
    <xf numFmtId="6" fontId="0" fillId="0" borderId="23" xfId="0" applyNumberFormat="1" applyFont="1" applyFill="1" applyBorder="1"/>
    <xf numFmtId="166" fontId="0" fillId="0" borderId="23" xfId="41" applyNumberFormat="1" applyFont="1" applyFill="1" applyBorder="1"/>
    <xf numFmtId="43" fontId="0" fillId="0" borderId="23" xfId="41" applyNumberFormat="1" applyFont="1" applyFill="1" applyBorder="1"/>
    <xf numFmtId="164" fontId="0" fillId="15" borderId="23" xfId="1209" applyNumberFormat="1" applyFont="1" applyFill="1" applyBorder="1"/>
    <xf numFmtId="164" fontId="0" fillId="15" borderId="0" xfId="1209" applyNumberFormat="1" applyFont="1" applyFill="1" applyBorder="1"/>
    <xf numFmtId="164" fontId="0" fillId="15" borderId="24" xfId="1209" applyNumberFormat="1" applyFont="1" applyFill="1" applyBorder="1"/>
    <xf numFmtId="164" fontId="0" fillId="15" borderId="6" xfId="1209" applyNumberFormat="1" applyFont="1" applyFill="1" applyBorder="1"/>
    <xf numFmtId="0" fontId="10" fillId="0" borderId="23" xfId="0" applyFont="1" applyBorder="1" applyAlignment="1">
      <alignment horizontal="center"/>
    </xf>
    <xf numFmtId="0" fontId="10" fillId="0" borderId="24" xfId="0" applyFont="1" applyBorder="1" applyAlignment="1">
      <alignment horizontal="center"/>
    </xf>
    <xf numFmtId="0" fontId="10" fillId="0" borderId="6" xfId="0" applyFont="1" applyBorder="1" applyAlignment="1">
      <alignment horizontal="center"/>
    </xf>
    <xf numFmtId="43" fontId="0" fillId="0" borderId="27" xfId="41" applyNumberFormat="1" applyFont="1" applyFill="1" applyBorder="1"/>
    <xf numFmtId="10" fontId="0" fillId="0" borderId="23" xfId="6" applyNumberFormat="1" applyFont="1" applyFill="1" applyBorder="1"/>
    <xf numFmtId="165" fontId="0" fillId="0" borderId="23" xfId="1210" applyNumberFormat="1" applyFont="1" applyFill="1" applyBorder="1"/>
    <xf numFmtId="164" fontId="8" fillId="15" borderId="23" xfId="0" applyNumberFormat="1" applyFont="1" applyFill="1" applyBorder="1"/>
    <xf numFmtId="6" fontId="8" fillId="0" borderId="23" xfId="0" applyNumberFormat="1" applyFont="1" applyFill="1" applyBorder="1"/>
    <xf numFmtId="164" fontId="0" fillId="0" borderId="23" xfId="0" applyNumberFormat="1" applyFill="1" applyBorder="1"/>
    <xf numFmtId="0" fontId="8" fillId="0" borderId="24" xfId="0" applyFont="1" applyFill="1" applyBorder="1" applyAlignment="1">
      <alignment horizontal="center"/>
    </xf>
    <xf numFmtId="164" fontId="8" fillId="15" borderId="24" xfId="0" applyNumberFormat="1" applyFont="1" applyFill="1" applyBorder="1"/>
    <xf numFmtId="43" fontId="0" fillId="0" borderId="24" xfId="41" applyNumberFormat="1" applyFont="1" applyBorder="1" applyAlignment="1">
      <alignment horizontal="right"/>
    </xf>
    <xf numFmtId="169" fontId="8" fillId="0" borderId="24" xfId="41" applyNumberFormat="1" applyFont="1" applyBorder="1" applyAlignment="1">
      <alignment horizontal="center"/>
    </xf>
    <xf numFmtId="6" fontId="8" fillId="0" borderId="24" xfId="0" applyNumberFormat="1" applyFont="1" applyFill="1" applyBorder="1"/>
    <xf numFmtId="164" fontId="0" fillId="0" borderId="24" xfId="0" applyNumberFormat="1" applyFill="1" applyBorder="1"/>
    <xf numFmtId="164" fontId="8" fillId="0" borderId="24" xfId="1" applyNumberFormat="1" applyFont="1" applyFill="1" applyBorder="1" applyAlignment="1">
      <alignment horizontal="center"/>
    </xf>
    <xf numFmtId="164" fontId="8" fillId="15" borderId="6" xfId="0" applyNumberFormat="1" applyFont="1" applyFill="1" applyBorder="1"/>
    <xf numFmtId="43" fontId="0" fillId="0" borderId="6" xfId="41" applyNumberFormat="1" applyFont="1" applyBorder="1" applyAlignment="1">
      <alignment horizontal="right"/>
    </xf>
    <xf numFmtId="169" fontId="8" fillId="0" borderId="6" xfId="41" applyNumberFormat="1" applyFont="1" applyBorder="1" applyAlignment="1">
      <alignment horizontal="center"/>
    </xf>
    <xf numFmtId="6" fontId="8" fillId="0" borderId="6" xfId="0" applyNumberFormat="1" applyFont="1" applyFill="1" applyBorder="1"/>
    <xf numFmtId="164" fontId="0" fillId="0" borderId="6" xfId="0" applyNumberFormat="1" applyFill="1" applyBorder="1"/>
    <xf numFmtId="164" fontId="8" fillId="0" borderId="6" xfId="1" applyNumberFormat="1" applyFont="1" applyFill="1" applyBorder="1" applyAlignment="1">
      <alignment horizontal="center"/>
    </xf>
    <xf numFmtId="164" fontId="8" fillId="22" borderId="34" xfId="0" applyNumberFormat="1" applyFont="1" applyFill="1" applyBorder="1"/>
    <xf numFmtId="164" fontId="8" fillId="22" borderId="33" xfId="0" applyNumberFormat="1" applyFont="1" applyFill="1" applyBorder="1"/>
    <xf numFmtId="164" fontId="8" fillId="22" borderId="35" xfId="0" applyNumberFormat="1" applyFont="1" applyFill="1" applyBorder="1"/>
    <xf numFmtId="164" fontId="8" fillId="22" borderId="36" xfId="0" applyNumberFormat="1" applyFont="1" applyFill="1" applyBorder="1"/>
    <xf numFmtId="44" fontId="0" fillId="0" borderId="24" xfId="1209" applyFont="1" applyBorder="1"/>
    <xf numFmtId="164" fontId="0" fillId="0" borderId="24" xfId="1209" applyNumberFormat="1" applyFont="1" applyBorder="1"/>
    <xf numFmtId="44" fontId="0" fillId="10" borderId="23" xfId="1209" applyFont="1" applyFill="1" applyBorder="1"/>
    <xf numFmtId="44" fontId="0" fillId="10" borderId="0" xfId="1209" applyFont="1" applyFill="1" applyBorder="1"/>
    <xf numFmtId="44" fontId="0" fillId="10" borderId="24" xfId="1209" applyFont="1" applyFill="1" applyBorder="1"/>
    <xf numFmtId="44" fontId="0" fillId="10" borderId="6" xfId="1209" applyFont="1" applyFill="1" applyBorder="1"/>
    <xf numFmtId="164" fontId="0" fillId="10" borderId="23" xfId="1209" applyNumberFormat="1" applyFont="1" applyFill="1" applyBorder="1"/>
    <xf numFmtId="164" fontId="0" fillId="10" borderId="0" xfId="1209" applyNumberFormat="1" applyFont="1" applyFill="1" applyBorder="1"/>
    <xf numFmtId="164" fontId="0" fillId="10" borderId="24" xfId="1209" applyNumberFormat="1" applyFont="1" applyFill="1" applyBorder="1"/>
    <xf numFmtId="164" fontId="0" fillId="10" borderId="6" xfId="1209" applyNumberFormat="1" applyFont="1" applyFill="1" applyBorder="1"/>
    <xf numFmtId="43" fontId="10" fillId="2" borderId="23" xfId="41" applyNumberFormat="1" applyFont="1" applyFill="1" applyBorder="1" applyAlignment="1">
      <alignment horizontal="right"/>
    </xf>
    <xf numFmtId="43" fontId="10" fillId="2" borderId="0" xfId="41" applyNumberFormat="1" applyFont="1" applyFill="1" applyAlignment="1">
      <alignment horizontal="right"/>
    </xf>
    <xf numFmtId="43" fontId="10" fillId="2" borderId="24" xfId="41" applyNumberFormat="1" applyFont="1" applyFill="1" applyBorder="1" applyAlignment="1">
      <alignment horizontal="right"/>
    </xf>
    <xf numFmtId="43" fontId="10" fillId="2" borderId="6" xfId="41" applyNumberFormat="1" applyFont="1" applyFill="1" applyBorder="1" applyAlignment="1">
      <alignment horizontal="right"/>
    </xf>
    <xf numFmtId="166" fontId="10" fillId="0" borderId="23" xfId="41" applyNumberFormat="1" applyFont="1" applyBorder="1" applyAlignment="1">
      <alignment horizontal="right"/>
    </xf>
    <xf numFmtId="167" fontId="0" fillId="2" borderId="23" xfId="41" applyNumberFormat="1" applyFont="1" applyFill="1" applyBorder="1"/>
    <xf numFmtId="167" fontId="0" fillId="0" borderId="29" xfId="41" applyNumberFormat="1" applyFont="1" applyFill="1" applyBorder="1"/>
    <xf numFmtId="167" fontId="8" fillId="0" borderId="23" xfId="41" applyNumberFormat="1" applyFont="1" applyFill="1" applyBorder="1"/>
    <xf numFmtId="167" fontId="8" fillId="2" borderId="23" xfId="41" applyNumberFormat="1" applyFont="1" applyFill="1" applyBorder="1" applyAlignment="1">
      <alignment horizontal="right"/>
    </xf>
    <xf numFmtId="166" fontId="10" fillId="0" borderId="24" xfId="41" applyNumberFormat="1" applyFont="1" applyBorder="1" applyAlignment="1">
      <alignment horizontal="right"/>
    </xf>
    <xf numFmtId="167" fontId="0" fillId="0" borderId="24" xfId="41" applyNumberFormat="1" applyFont="1" applyFill="1" applyBorder="1"/>
    <xf numFmtId="167" fontId="0" fillId="2" borderId="24" xfId="41" applyNumberFormat="1" applyFont="1" applyFill="1" applyBorder="1"/>
    <xf numFmtId="167" fontId="0" fillId="0" borderId="30" xfId="41" applyNumberFormat="1" applyFont="1" applyFill="1" applyBorder="1"/>
    <xf numFmtId="167" fontId="8" fillId="0" borderId="24" xfId="41" applyNumberFormat="1" applyFont="1" applyFill="1" applyBorder="1"/>
    <xf numFmtId="167" fontId="8" fillId="2" borderId="24" xfId="41" applyNumberFormat="1" applyFont="1" applyFill="1" applyBorder="1" applyAlignment="1">
      <alignment horizontal="right"/>
    </xf>
    <xf numFmtId="166" fontId="10" fillId="0" borderId="6" xfId="41" applyNumberFormat="1" applyFont="1" applyBorder="1" applyAlignment="1">
      <alignment horizontal="right"/>
    </xf>
    <xf numFmtId="43" fontId="0" fillId="2" borderId="6" xfId="41" applyFont="1" applyFill="1" applyBorder="1"/>
    <xf numFmtId="167" fontId="0" fillId="2" borderId="6" xfId="41" applyNumberFormat="1" applyFont="1" applyFill="1" applyBorder="1"/>
    <xf numFmtId="167" fontId="0" fillId="0" borderId="8" xfId="41" applyNumberFormat="1" applyFont="1" applyFill="1" applyBorder="1"/>
    <xf numFmtId="167" fontId="8" fillId="0" borderId="6" xfId="41" applyNumberFormat="1" applyFont="1" applyFill="1" applyBorder="1"/>
    <xf numFmtId="167" fontId="8" fillId="2" borderId="6" xfId="41" applyNumberFormat="1" applyFont="1" applyFill="1" applyBorder="1" applyAlignment="1">
      <alignment horizontal="right"/>
    </xf>
    <xf numFmtId="44" fontId="0" fillId="0" borderId="23" xfId="1" applyFont="1" applyFill="1" applyBorder="1"/>
    <xf numFmtId="43" fontId="0" fillId="0" borderId="28" xfId="41" applyFont="1" applyBorder="1"/>
    <xf numFmtId="43" fontId="0" fillId="0" borderId="7" xfId="41" applyFont="1" applyBorder="1"/>
    <xf numFmtId="169" fontId="10" fillId="2" borderId="0" xfId="41" applyNumberFormat="1" applyFont="1" applyFill="1" applyAlignment="1">
      <alignment horizontal="right"/>
    </xf>
    <xf numFmtId="164" fontId="0" fillId="0" borderId="8" xfId="1" applyNumberFormat="1" applyFont="1" applyFill="1" applyBorder="1"/>
    <xf numFmtId="169" fontId="0" fillId="2" borderId="6" xfId="41" applyNumberFormat="1" applyFont="1" applyFill="1" applyBorder="1"/>
    <xf numFmtId="164" fontId="0" fillId="0" borderId="30" xfId="1" applyNumberFormat="1" applyFont="1" applyFill="1" applyBorder="1"/>
    <xf numFmtId="169" fontId="0" fillId="2" borderId="24" xfId="41" applyNumberFormat="1" applyFont="1" applyFill="1" applyBorder="1"/>
    <xf numFmtId="164" fontId="11" fillId="0" borderId="23" xfId="0" applyNumberFormat="1" applyFont="1" applyFill="1" applyBorder="1"/>
    <xf numFmtId="164" fontId="11" fillId="0" borderId="6" xfId="0" applyNumberFormat="1" applyFont="1" applyFill="1" applyBorder="1"/>
    <xf numFmtId="165" fontId="8" fillId="0" borderId="6" xfId="6" applyNumberFormat="1" applyFont="1" applyFill="1" applyBorder="1"/>
    <xf numFmtId="0" fontId="56" fillId="0" borderId="6" xfId="0" applyFont="1" applyFill="1" applyBorder="1" applyAlignment="1">
      <alignment horizontal="center" wrapText="1"/>
    </xf>
    <xf numFmtId="0" fontId="57" fillId="0" borderId="6" xfId="0" applyFont="1" applyFill="1" applyBorder="1" applyAlignment="1">
      <alignment horizontal="center"/>
    </xf>
    <xf numFmtId="0" fontId="56" fillId="0" borderId="8" xfId="0" applyFont="1" applyFill="1" applyBorder="1" applyAlignment="1">
      <alignment horizontal="center"/>
    </xf>
    <xf numFmtId="41" fontId="0" fillId="0" borderId="6" xfId="1208" applyFont="1" applyBorder="1"/>
    <xf numFmtId="41" fontId="0" fillId="0" borderId="6" xfId="1208" applyFont="1" applyFill="1" applyBorder="1"/>
    <xf numFmtId="164" fontId="8" fillId="17" borderId="6" xfId="0" applyNumberFormat="1" applyFont="1" applyFill="1" applyBorder="1"/>
    <xf numFmtId="167" fontId="3" fillId="17" borderId="6" xfId="41" applyNumberFormat="1" applyFont="1" applyFill="1" applyBorder="1"/>
    <xf numFmtId="167" fontId="3" fillId="0" borderId="6" xfId="41" applyNumberFormat="1" applyFont="1" applyFill="1" applyBorder="1"/>
    <xf numFmtId="10" fontId="0" fillId="12" borderId="6" xfId="6" applyNumberFormat="1" applyFont="1" applyFill="1" applyBorder="1"/>
    <xf numFmtId="43" fontId="0" fillId="15" borderId="6" xfId="41" applyFont="1" applyFill="1" applyBorder="1"/>
    <xf numFmtId="165" fontId="8" fillId="0" borderId="24" xfId="6" applyNumberFormat="1" applyFont="1" applyFill="1" applyBorder="1"/>
    <xf numFmtId="0" fontId="56" fillId="0" borderId="24" xfId="0" applyFont="1" applyFill="1" applyBorder="1" applyAlignment="1">
      <alignment horizontal="center" wrapText="1"/>
    </xf>
    <xf numFmtId="0" fontId="57" fillId="0" borderId="24" xfId="0" applyFont="1" applyFill="1" applyBorder="1" applyAlignment="1">
      <alignment horizontal="center"/>
    </xf>
    <xf numFmtId="0" fontId="57" fillId="0" borderId="30" xfId="0" applyFont="1" applyFill="1" applyBorder="1" applyAlignment="1">
      <alignment horizontal="center"/>
    </xf>
    <xf numFmtId="0" fontId="0" fillId="0" borderId="24" xfId="0" applyFill="1" applyBorder="1" applyAlignment="1">
      <alignment horizontal="center"/>
    </xf>
    <xf numFmtId="41" fontId="0" fillId="0" borderId="24" xfId="1208" applyFont="1" applyBorder="1"/>
    <xf numFmtId="41" fontId="0" fillId="0" borderId="24" xfId="1208" applyFont="1" applyFill="1" applyBorder="1"/>
    <xf numFmtId="167" fontId="3" fillId="0" borderId="24" xfId="41" applyNumberFormat="1" applyFont="1" applyFill="1" applyBorder="1"/>
    <xf numFmtId="164" fontId="0" fillId="0" borderId="28" xfId="1" applyNumberFormat="1" applyFont="1" applyFill="1" applyBorder="1"/>
    <xf numFmtId="167" fontId="0" fillId="0" borderId="28" xfId="41" applyNumberFormat="1" applyFont="1" applyFill="1" applyBorder="1"/>
    <xf numFmtId="43" fontId="0" fillId="15" borderId="24" xfId="41" applyFont="1" applyFill="1" applyBorder="1"/>
    <xf numFmtId="0" fontId="11" fillId="0" borderId="8" xfId="0" applyFont="1" applyFill="1" applyBorder="1" applyAlignment="1">
      <alignment horizontal="center"/>
    </xf>
    <xf numFmtId="167" fontId="10" fillId="0" borderId="6" xfId="41" applyNumberFormat="1" applyFont="1" applyFill="1" applyBorder="1"/>
    <xf numFmtId="165" fontId="11" fillId="0" borderId="8" xfId="6" quotePrefix="1" applyNumberFormat="1" applyFont="1" applyBorder="1" applyAlignment="1">
      <alignment horizontal="center"/>
    </xf>
    <xf numFmtId="167" fontId="0" fillId="0" borderId="31" xfId="41" applyNumberFormat="1" applyFont="1" applyFill="1" applyBorder="1"/>
    <xf numFmtId="167" fontId="0" fillId="0" borderId="32" xfId="41" applyNumberFormat="1" applyFont="1" applyFill="1" applyBorder="1"/>
    <xf numFmtId="167" fontId="0" fillId="0" borderId="42" xfId="41" applyNumberFormat="1" applyFont="1" applyFill="1" applyBorder="1"/>
    <xf numFmtId="0" fontId="11" fillId="0" borderId="5" xfId="0" applyFont="1" applyFill="1" applyBorder="1"/>
    <xf numFmtId="164" fontId="8" fillId="22" borderId="18" xfId="0" applyNumberFormat="1" applyFont="1" applyFill="1" applyBorder="1"/>
    <xf numFmtId="167" fontId="8" fillId="0" borderId="43" xfId="0" applyNumberFormat="1" applyFont="1" applyBorder="1"/>
    <xf numFmtId="165" fontId="8" fillId="0" borderId="45" xfId="6" applyNumberFormat="1" applyFont="1" applyFill="1" applyBorder="1"/>
    <xf numFmtId="165" fontId="8" fillId="0" borderId="44" xfId="6" applyNumberFormat="1" applyFont="1" applyFill="1" applyBorder="1"/>
    <xf numFmtId="0" fontId="8" fillId="0" borderId="40" xfId="0" applyFont="1" applyFill="1" applyBorder="1" applyAlignment="1">
      <alignment horizontal="center"/>
    </xf>
    <xf numFmtId="0" fontId="56" fillId="0" borderId="7" xfId="0" applyFont="1" applyFill="1" applyBorder="1" applyAlignment="1">
      <alignment horizontal="center"/>
    </xf>
    <xf numFmtId="165" fontId="8" fillId="12" borderId="0" xfId="6" applyNumberFormat="1" applyFont="1" applyFill="1" applyBorder="1"/>
    <xf numFmtId="165" fontId="8" fillId="12" borderId="4" xfId="6" applyNumberFormat="1" applyFont="1" applyFill="1" applyBorder="1"/>
    <xf numFmtId="167" fontId="8" fillId="12" borderId="41" xfId="0" applyNumberFormat="1" applyFont="1" applyFill="1" applyBorder="1"/>
    <xf numFmtId="165" fontId="8" fillId="12" borderId="24" xfId="6" applyNumberFormat="1" applyFont="1" applyFill="1" applyBorder="1"/>
    <xf numFmtId="165" fontId="8" fillId="12" borderId="30" xfId="6" applyNumberFormat="1" applyFont="1" applyFill="1" applyBorder="1"/>
    <xf numFmtId="0" fontId="11" fillId="0" borderId="5" xfId="0" applyFont="1" applyFill="1" applyBorder="1" applyAlignment="1">
      <alignment horizontal="center"/>
    </xf>
    <xf numFmtId="0" fontId="10" fillId="0" borderId="11" xfId="0" applyFont="1" applyFill="1" applyBorder="1" applyAlignment="1">
      <alignment horizontal="center"/>
    </xf>
    <xf numFmtId="0" fontId="10" fillId="0" borderId="22" xfId="0" applyFont="1" applyFill="1" applyBorder="1" applyAlignment="1">
      <alignment horizontal="center"/>
    </xf>
    <xf numFmtId="167" fontId="3" fillId="14" borderId="0" xfId="41" applyNumberFormat="1" applyFont="1" applyFill="1" applyBorder="1" applyAlignment="1">
      <alignment horizontal="center"/>
    </xf>
    <xf numFmtId="167" fontId="3" fillId="14" borderId="0" xfId="41" applyNumberFormat="1" applyFont="1" applyFill="1" applyBorder="1" applyAlignment="1"/>
    <xf numFmtId="167" fontId="3" fillId="14" borderId="0" xfId="41" quotePrefix="1" applyNumberFormat="1" applyFont="1" applyFill="1" applyBorder="1" applyAlignment="1">
      <alignment horizontal="center"/>
    </xf>
    <xf numFmtId="10" fontId="0" fillId="21" borderId="0" xfId="6" applyNumberFormat="1" applyFont="1" applyFill="1" applyBorder="1"/>
    <xf numFmtId="10" fontId="0" fillId="21" borderId="24" xfId="6" applyNumberFormat="1" applyFont="1" applyFill="1" applyBorder="1"/>
    <xf numFmtId="10" fontId="0" fillId="21" borderId="6" xfId="6" applyNumberFormat="1" applyFont="1" applyFill="1" applyBorder="1"/>
    <xf numFmtId="37" fontId="8" fillId="20" borderId="2" xfId="0" applyNumberFormat="1" applyFont="1" applyFill="1" applyBorder="1"/>
    <xf numFmtId="37" fontId="8" fillId="20" borderId="28" xfId="0" applyNumberFormat="1" applyFont="1" applyFill="1" applyBorder="1"/>
    <xf numFmtId="37" fontId="8" fillId="20" borderId="7" xfId="0" applyNumberFormat="1" applyFont="1" applyFill="1" applyBorder="1"/>
    <xf numFmtId="164" fontId="8" fillId="22" borderId="46" xfId="0" applyNumberFormat="1" applyFont="1" applyFill="1" applyBorder="1"/>
    <xf numFmtId="164" fontId="8" fillId="22" borderId="47" xfId="0" applyNumberFormat="1" applyFont="1" applyFill="1" applyBorder="1"/>
    <xf numFmtId="164" fontId="8" fillId="22" borderId="48" xfId="0" applyNumberFormat="1" applyFont="1" applyFill="1" applyBorder="1"/>
    <xf numFmtId="43" fontId="0" fillId="0" borderId="41" xfId="41" applyFont="1" applyFill="1" applyBorder="1"/>
    <xf numFmtId="43" fontId="0" fillId="0" borderId="40" xfId="41" applyFont="1" applyFill="1" applyBorder="1"/>
    <xf numFmtId="167" fontId="0" fillId="15" borderId="6" xfId="41" applyNumberFormat="1" applyFont="1" applyFill="1" applyBorder="1" applyAlignment="1">
      <alignment horizontal="center"/>
    </xf>
    <xf numFmtId="0" fontId="56" fillId="0" borderId="2" xfId="0" applyFont="1" applyFill="1" applyBorder="1" applyAlignment="1">
      <alignment horizontal="center"/>
    </xf>
    <xf numFmtId="5" fontId="8" fillId="10" borderId="23" xfId="0" applyNumberFormat="1" applyFont="1" applyFill="1" applyBorder="1"/>
    <xf numFmtId="5" fontId="8" fillId="10" borderId="0" xfId="0" applyNumberFormat="1" applyFont="1" applyFill="1" applyBorder="1"/>
    <xf numFmtId="5" fontId="8" fillId="10" borderId="24" xfId="0" applyNumberFormat="1" applyFont="1" applyFill="1" applyBorder="1"/>
    <xf numFmtId="5" fontId="8" fillId="10" borderId="6" xfId="0" applyNumberFormat="1" applyFont="1" applyFill="1" applyBorder="1"/>
    <xf numFmtId="164" fontId="8" fillId="22" borderId="49" xfId="0" applyNumberFormat="1" applyFont="1" applyFill="1" applyBorder="1"/>
    <xf numFmtId="167" fontId="8" fillId="12" borderId="40" xfId="0" applyNumberFormat="1" applyFont="1" applyFill="1" applyBorder="1"/>
    <xf numFmtId="165" fontId="8" fillId="12" borderId="6" xfId="6" applyNumberFormat="1" applyFont="1" applyFill="1" applyBorder="1"/>
    <xf numFmtId="165" fontId="8" fillId="12" borderId="8" xfId="6" applyNumberFormat="1" applyFont="1" applyFill="1" applyBorder="1"/>
    <xf numFmtId="0" fontId="11" fillId="12" borderId="50" xfId="0" applyFont="1" applyFill="1" applyBorder="1" applyAlignment="1">
      <alignment horizontal="center"/>
    </xf>
    <xf numFmtId="0" fontId="10" fillId="12" borderId="50" xfId="0" applyFont="1" applyFill="1" applyBorder="1" applyAlignment="1">
      <alignment horizontal="center"/>
    </xf>
    <xf numFmtId="0" fontId="11" fillId="12" borderId="51" xfId="0" applyFont="1" applyFill="1" applyBorder="1" applyAlignment="1">
      <alignment horizontal="center"/>
    </xf>
    <xf numFmtId="0" fontId="11" fillId="0" borderId="51" xfId="0" applyFont="1" applyFill="1" applyBorder="1" applyAlignment="1">
      <alignment horizontal="center"/>
    </xf>
    <xf numFmtId="167" fontId="15" fillId="14" borderId="11" xfId="41" applyNumberFormat="1" applyFont="1" applyFill="1" applyBorder="1" applyAlignment="1">
      <alignment horizontal="center" vertical="center" wrapText="1"/>
    </xf>
    <xf numFmtId="0" fontId="0" fillId="0" borderId="11" xfId="0" applyFill="1" applyBorder="1" applyAlignment="1">
      <alignment horizontal="center"/>
    </xf>
    <xf numFmtId="0" fontId="8" fillId="0" borderId="11" xfId="0" applyFont="1" applyFill="1" applyBorder="1" applyAlignment="1">
      <alignment horizontal="center"/>
    </xf>
    <xf numFmtId="0" fontId="8" fillId="0" borderId="12" xfId="0" applyFont="1" applyFill="1" applyBorder="1" applyAlignment="1">
      <alignment horizontal="center"/>
    </xf>
    <xf numFmtId="0" fontId="0" fillId="15" borderId="11" xfId="0" applyFill="1" applyBorder="1"/>
    <xf numFmtId="0" fontId="23" fillId="15" borderId="11" xfId="0" applyFont="1" applyFill="1" applyBorder="1"/>
    <xf numFmtId="167" fontId="3" fillId="14" borderId="27" xfId="41" applyNumberFormat="1" applyFont="1" applyFill="1" applyBorder="1" applyAlignment="1">
      <alignment horizontal="center"/>
    </xf>
    <xf numFmtId="0" fontId="8" fillId="0" borderId="2" xfId="0" applyFont="1" applyBorder="1"/>
    <xf numFmtId="0" fontId="0" fillId="0" borderId="2" xfId="0" applyBorder="1"/>
    <xf numFmtId="0" fontId="0" fillId="0" borderId="7" xfId="0" applyBorder="1"/>
    <xf numFmtId="0" fontId="0" fillId="15" borderId="2" xfId="0" applyFill="1" applyBorder="1"/>
    <xf numFmtId="0" fontId="23" fillId="15" borderId="2" xfId="0" applyFont="1" applyFill="1" applyBorder="1"/>
    <xf numFmtId="0" fontId="8" fillId="0" borderId="4" xfId="0" applyFont="1" applyFill="1" applyBorder="1"/>
    <xf numFmtId="0" fontId="11" fillId="12" borderId="52" xfId="0" applyFont="1" applyFill="1" applyBorder="1" applyAlignment="1">
      <alignment horizontal="center"/>
    </xf>
    <xf numFmtId="0" fontId="21" fillId="0" borderId="5" xfId="0" applyFont="1" applyBorder="1" applyAlignment="1">
      <alignment horizontal="center"/>
    </xf>
    <xf numFmtId="0" fontId="26" fillId="0" borderId="5" xfId="0" applyFont="1" applyBorder="1"/>
    <xf numFmtId="0" fontId="16" fillId="0" borderId="5" xfId="0" applyFont="1" applyBorder="1"/>
    <xf numFmtId="0" fontId="0" fillId="15" borderId="5" xfId="0" applyFill="1" applyBorder="1"/>
    <xf numFmtId="0" fontId="0" fillId="0" borderId="5" xfId="0" applyFill="1" applyBorder="1"/>
    <xf numFmtId="0" fontId="0" fillId="0" borderId="5" xfId="0" applyFill="1" applyBorder="1" applyAlignment="1">
      <alignment horizontal="left" indent="1"/>
    </xf>
    <xf numFmtId="0" fontId="26" fillId="0" borderId="5" xfId="0" applyFont="1" applyFill="1" applyBorder="1"/>
    <xf numFmtId="0" fontId="18" fillId="0" borderId="5" xfId="0" applyFont="1" applyFill="1" applyBorder="1" applyAlignment="1">
      <alignment horizontal="right"/>
    </xf>
    <xf numFmtId="164" fontId="0" fillId="15" borderId="2" xfId="1" applyNumberFormat="1" applyFont="1" applyFill="1" applyBorder="1"/>
    <xf numFmtId="0" fontId="16" fillId="0" borderId="0" xfId="0" applyFont="1" applyAlignment="1">
      <alignment horizontal="center"/>
    </xf>
    <xf numFmtId="43" fontId="3" fillId="0" borderId="0" xfId="41" applyNumberFormat="1" applyFont="1" applyBorder="1"/>
    <xf numFmtId="43" fontId="3" fillId="0" borderId="0" xfId="41" applyNumberFormat="1" applyFont="1"/>
    <xf numFmtId="43" fontId="3" fillId="0" borderId="24" xfId="41" applyNumberFormat="1" applyFont="1" applyBorder="1"/>
    <xf numFmtId="0" fontId="11" fillId="12" borderId="54" xfId="0" applyFont="1" applyFill="1" applyBorder="1"/>
    <xf numFmtId="0" fontId="0" fillId="12" borderId="5" xfId="0" applyFill="1" applyBorder="1"/>
    <xf numFmtId="0" fontId="0" fillId="12" borderId="55" xfId="0" applyFill="1" applyBorder="1"/>
    <xf numFmtId="0" fontId="53" fillId="0" borderId="5" xfId="0" applyFont="1" applyBorder="1" applyAlignment="1">
      <alignment horizontal="center"/>
    </xf>
    <xf numFmtId="0" fontId="37" fillId="0" borderId="10" xfId="0" applyFont="1" applyBorder="1" applyAlignment="1">
      <alignment horizontal="center"/>
    </xf>
    <xf numFmtId="0" fontId="52" fillId="0" borderId="5" xfId="0" applyFont="1" applyFill="1" applyBorder="1" applyAlignment="1">
      <alignment horizontal="left"/>
    </xf>
    <xf numFmtId="0" fontId="24" fillId="0" borderId="5" xfId="0" applyFont="1" applyFill="1" applyBorder="1" applyAlignment="1">
      <alignment horizontal="left"/>
    </xf>
    <xf numFmtId="0" fontId="51" fillId="0" borderId="5" xfId="0" applyFont="1" applyFill="1" applyBorder="1"/>
    <xf numFmtId="0" fontId="31" fillId="0" borderId="5" xfId="0" applyFont="1" applyFill="1" applyBorder="1" applyAlignment="1">
      <alignment horizontal="left"/>
    </xf>
    <xf numFmtId="0" fontId="8" fillId="2" borderId="5" xfId="0" applyFont="1" applyFill="1" applyBorder="1"/>
    <xf numFmtId="0" fontId="37" fillId="0" borderId="5" xfId="0" applyFont="1" applyBorder="1" applyAlignment="1">
      <alignment horizontal="center"/>
    </xf>
    <xf numFmtId="0" fontId="38" fillId="0" borderId="5" xfId="0" applyFont="1" applyBorder="1" applyAlignment="1">
      <alignment horizontal="left" vertical="center"/>
    </xf>
    <xf numFmtId="0" fontId="38" fillId="0" borderId="5" xfId="0" applyFont="1" applyBorder="1" applyAlignment="1">
      <alignment vertical="top"/>
    </xf>
    <xf numFmtId="0" fontId="50" fillId="0" borderId="5" xfId="0" applyFont="1" applyBorder="1" applyAlignment="1">
      <alignment horizontal="left"/>
    </xf>
    <xf numFmtId="0" fontId="26" fillId="22" borderId="56" xfId="0" applyFont="1" applyFill="1" applyBorder="1" applyAlignment="1">
      <alignment horizontal="center"/>
    </xf>
    <xf numFmtId="0" fontId="26" fillId="20" borderId="9" xfId="0" applyFont="1" applyFill="1" applyBorder="1" applyAlignment="1">
      <alignment horizontal="center"/>
    </xf>
    <xf numFmtId="0" fontId="38" fillId="0" borderId="5" xfId="0" applyFont="1" applyBorder="1" applyAlignment="1">
      <alignment horizontal="left"/>
    </xf>
    <xf numFmtId="0" fontId="0" fillId="0" borderId="5" xfId="0" applyFill="1" applyBorder="1" applyAlignment="1">
      <alignment horizontal="center"/>
    </xf>
    <xf numFmtId="0" fontId="10" fillId="0" borderId="5" xfId="0" applyFont="1" applyFill="1" applyBorder="1"/>
    <xf numFmtId="0" fontId="21" fillId="0" borderId="5" xfId="0" applyFont="1" applyBorder="1" applyAlignment="1">
      <alignment horizontal="left"/>
    </xf>
    <xf numFmtId="0" fontId="18" fillId="0" borderId="5" xfId="0" applyFont="1" applyBorder="1" applyAlignment="1"/>
    <xf numFmtId="0" fontId="51" fillId="0" borderId="5" xfId="0" applyFont="1" applyFill="1" applyBorder="1" applyAlignment="1"/>
    <xf numFmtId="0" fontId="10" fillId="0" borderId="5" xfId="0" applyFont="1" applyFill="1" applyBorder="1" applyAlignment="1">
      <alignment horizontal="right"/>
    </xf>
    <xf numFmtId="0" fontId="10" fillId="15" borderId="5" xfId="0" applyFont="1" applyFill="1" applyBorder="1" applyAlignment="1">
      <alignment horizontal="right"/>
    </xf>
    <xf numFmtId="167" fontId="8" fillId="12" borderId="53" xfId="0" applyNumberFormat="1" applyFont="1" applyFill="1" applyBorder="1"/>
    <xf numFmtId="165" fontId="8" fillId="12" borderId="23" xfId="6" applyNumberFormat="1" applyFont="1" applyFill="1" applyBorder="1" applyAlignment="1">
      <alignment horizontal="right"/>
    </xf>
    <xf numFmtId="165" fontId="8" fillId="12" borderId="29" xfId="6" applyNumberFormat="1" applyFont="1" applyFill="1" applyBorder="1" applyAlignment="1">
      <alignment horizontal="right"/>
    </xf>
    <xf numFmtId="165" fontId="8" fillId="0" borderId="23" xfId="6" applyNumberFormat="1" applyFont="1" applyBorder="1"/>
    <xf numFmtId="0" fontId="56" fillId="0" borderId="23" xfId="0" applyFont="1" applyFill="1" applyBorder="1" applyAlignment="1">
      <alignment horizontal="center" wrapText="1"/>
    </xf>
    <xf numFmtId="0" fontId="57" fillId="0" borderId="23" xfId="0" applyFont="1" applyFill="1" applyBorder="1" applyAlignment="1">
      <alignment horizontal="center"/>
    </xf>
    <xf numFmtId="0" fontId="56" fillId="0" borderId="29" xfId="0" applyFont="1" applyBorder="1" applyAlignment="1">
      <alignment horizontal="center"/>
    </xf>
    <xf numFmtId="164" fontId="0" fillId="0" borderId="23" xfId="1" applyNumberFormat="1" applyFont="1" applyBorder="1" applyAlignment="1">
      <alignment horizontal="right"/>
    </xf>
    <xf numFmtId="41" fontId="0" fillId="0" borderId="23" xfId="1208" applyFont="1" applyBorder="1"/>
    <xf numFmtId="167" fontId="3" fillId="0" borderId="23" xfId="41" applyNumberFormat="1" applyFont="1" applyFill="1" applyBorder="1"/>
    <xf numFmtId="10" fontId="0" fillId="21" borderId="23" xfId="6" applyNumberFormat="1" applyFont="1" applyFill="1" applyBorder="1"/>
    <xf numFmtId="0" fontId="8" fillId="0" borderId="23" xfId="0" applyFont="1" applyBorder="1"/>
    <xf numFmtId="164" fontId="0" fillId="0" borderId="27" xfId="1" applyNumberFormat="1" applyFont="1" applyFill="1" applyBorder="1"/>
    <xf numFmtId="164" fontId="8" fillId="0" borderId="23" xfId="0" applyNumberFormat="1" applyFont="1" applyBorder="1"/>
    <xf numFmtId="164" fontId="8" fillId="22" borderId="57" xfId="0" applyNumberFormat="1" applyFont="1" applyFill="1" applyBorder="1"/>
    <xf numFmtId="37" fontId="8" fillId="20" borderId="27" xfId="0" applyNumberFormat="1" applyFont="1" applyFill="1" applyBorder="1"/>
    <xf numFmtId="167" fontId="0" fillId="0" borderId="27" xfId="41" applyNumberFormat="1" applyFont="1" applyFill="1" applyBorder="1"/>
    <xf numFmtId="43" fontId="0" fillId="0" borderId="53" xfId="41" applyFont="1" applyFill="1" applyBorder="1"/>
    <xf numFmtId="167" fontId="0" fillId="0" borderId="58" xfId="41" applyNumberFormat="1" applyFont="1" applyFill="1" applyBorder="1"/>
    <xf numFmtId="43" fontId="0" fillId="15" borderId="23" xfId="41" applyFont="1" applyFill="1" applyBorder="1"/>
    <xf numFmtId="43" fontId="3" fillId="0" borderId="23" xfId="41" applyNumberFormat="1" applyFont="1" applyBorder="1"/>
    <xf numFmtId="43" fontId="0" fillId="0" borderId="27" xfId="41" applyFont="1" applyBorder="1"/>
    <xf numFmtId="166" fontId="10" fillId="2" borderId="23" xfId="41" applyNumberFormat="1" applyFont="1" applyFill="1" applyBorder="1" applyAlignment="1">
      <alignment horizontal="right"/>
    </xf>
    <xf numFmtId="43" fontId="3" fillId="0" borderId="6" xfId="41" applyNumberFormat="1" applyFont="1" applyBorder="1"/>
    <xf numFmtId="0" fontId="11" fillId="0" borderId="0" xfId="0" applyFont="1" applyBorder="1" applyAlignment="1">
      <alignment horizontal="center"/>
    </xf>
    <xf numFmtId="166" fontId="3" fillId="0" borderId="0" xfId="41" applyNumberFormat="1" applyFont="1" applyFill="1"/>
    <xf numFmtId="166" fontId="0" fillId="0" borderId="0" xfId="0" applyNumberFormat="1" applyFont="1"/>
    <xf numFmtId="166" fontId="3" fillId="0" borderId="0" xfId="41" applyNumberFormat="1" applyFont="1"/>
    <xf numFmtId="43" fontId="3" fillId="0" borderId="2" xfId="41" applyNumberFormat="1" applyFont="1" applyBorder="1"/>
    <xf numFmtId="166" fontId="3" fillId="0" borderId="2" xfId="41" applyNumberFormat="1" applyFont="1" applyFill="1" applyBorder="1"/>
    <xf numFmtId="166" fontId="0" fillId="0" borderId="2" xfId="0" applyNumberFormat="1" applyFont="1" applyBorder="1"/>
    <xf numFmtId="166" fontId="3" fillId="0" borderId="2" xfId="41" applyNumberFormat="1" applyFont="1" applyBorder="1"/>
    <xf numFmtId="43" fontId="3" fillId="2" borderId="23" xfId="41" applyNumberFormat="1" applyFont="1" applyFill="1" applyBorder="1"/>
    <xf numFmtId="43" fontId="3" fillId="2" borderId="0" xfId="41" applyNumberFormat="1" applyFont="1" applyFill="1" applyBorder="1"/>
    <xf numFmtId="43" fontId="3" fillId="2" borderId="0" xfId="41" applyNumberFormat="1" applyFont="1" applyFill="1"/>
    <xf numFmtId="169" fontId="3" fillId="0" borderId="24" xfId="41" applyNumberFormat="1" applyFont="1" applyBorder="1"/>
    <xf numFmtId="169" fontId="3" fillId="0" borderId="0" xfId="41" applyNumberFormat="1" applyFont="1" applyBorder="1"/>
    <xf numFmtId="169" fontId="3" fillId="0" borderId="6" xfId="41" applyNumberFormat="1" applyFont="1" applyBorder="1"/>
    <xf numFmtId="0" fontId="0" fillId="2" borderId="0" xfId="0" applyFont="1" applyFill="1" applyBorder="1"/>
    <xf numFmtId="0" fontId="0" fillId="2" borderId="0" xfId="0" applyFont="1" applyFill="1"/>
    <xf numFmtId="0" fontId="0" fillId="0" borderId="24" xfId="0" applyFont="1" applyBorder="1"/>
    <xf numFmtId="0" fontId="0" fillId="0" borderId="0" xfId="0" applyFont="1" applyBorder="1"/>
    <xf numFmtId="0" fontId="0" fillId="0" borderId="6" xfId="0" applyFont="1" applyBorder="1"/>
    <xf numFmtId="43" fontId="3" fillId="2" borderId="4" xfId="41" applyNumberFormat="1" applyFont="1" applyFill="1" applyBorder="1"/>
    <xf numFmtId="43" fontId="3" fillId="0" borderId="30" xfId="41" applyNumberFormat="1" applyFont="1" applyBorder="1"/>
    <xf numFmtId="43" fontId="3" fillId="0" borderId="4" xfId="41" applyNumberFormat="1" applyFont="1" applyBorder="1"/>
    <xf numFmtId="43" fontId="3" fillId="0" borderId="8" xfId="41" applyNumberFormat="1" applyFont="1" applyBorder="1"/>
    <xf numFmtId="0" fontId="0" fillId="0" borderId="23" xfId="0" applyFont="1" applyBorder="1"/>
    <xf numFmtId="43" fontId="10" fillId="13" borderId="33" xfId="41" applyFont="1" applyFill="1" applyBorder="1"/>
    <xf numFmtId="43" fontId="10" fillId="13" borderId="35" xfId="41" applyFont="1" applyFill="1" applyBorder="1"/>
    <xf numFmtId="43" fontId="10" fillId="13" borderId="36" xfId="41" applyFont="1" applyFill="1" applyBorder="1"/>
    <xf numFmtId="164" fontId="8" fillId="0" borderId="24" xfId="0" applyNumberFormat="1" applyFont="1" applyFill="1" applyBorder="1" applyAlignment="1"/>
    <xf numFmtId="0" fontId="8" fillId="0" borderId="24" xfId="0" applyFont="1" applyFill="1" applyBorder="1" applyAlignment="1"/>
    <xf numFmtId="164" fontId="0" fillId="15" borderId="24" xfId="1" applyNumberFormat="1" applyFont="1" applyFill="1" applyBorder="1" applyAlignment="1"/>
    <xf numFmtId="0" fontId="0" fillId="0" borderId="24" xfId="0" applyBorder="1" applyAlignment="1"/>
    <xf numFmtId="0" fontId="0" fillId="15" borderId="24" xfId="0" applyFill="1" applyBorder="1" applyAlignment="1"/>
    <xf numFmtId="164" fontId="0" fillId="0" borderId="24" xfId="1" applyNumberFormat="1" applyFont="1" applyFill="1" applyBorder="1" applyAlignment="1"/>
    <xf numFmtId="166" fontId="0" fillId="0" borderId="24" xfId="41" applyNumberFormat="1" applyFont="1" applyBorder="1" applyAlignment="1"/>
    <xf numFmtId="43" fontId="0" fillId="0" borderId="28" xfId="41" applyNumberFormat="1" applyFont="1" applyBorder="1" applyAlignment="1"/>
    <xf numFmtId="165" fontId="0" fillId="0" borderId="24" xfId="6" applyNumberFormat="1" applyFont="1" applyFill="1" applyBorder="1" applyAlignment="1"/>
    <xf numFmtId="164" fontId="11" fillId="0" borderId="24" xfId="0" applyNumberFormat="1" applyFont="1" applyFill="1" applyBorder="1" applyAlignment="1"/>
    <xf numFmtId="0" fontId="0" fillId="0" borderId="24" xfId="0" applyFill="1" applyBorder="1" applyAlignment="1"/>
    <xf numFmtId="166" fontId="0" fillId="0" borderId="24" xfId="41" applyNumberFormat="1" applyFont="1" applyFill="1" applyBorder="1" applyAlignment="1"/>
    <xf numFmtId="43" fontId="0" fillId="0" borderId="24" xfId="41" applyNumberFormat="1" applyFont="1" applyFill="1" applyBorder="1" applyAlignment="1"/>
    <xf numFmtId="10" fontId="0" fillId="0" borderId="24" xfId="6" applyNumberFormat="1" applyFont="1" applyFill="1" applyBorder="1" applyAlignment="1"/>
    <xf numFmtId="44" fontId="0" fillId="0" borderId="24" xfId="1" applyFont="1" applyFill="1" applyBorder="1" applyAlignment="1"/>
    <xf numFmtId="43" fontId="0" fillId="0" borderId="24" xfId="41" applyFont="1" applyFill="1" applyBorder="1" applyAlignment="1"/>
    <xf numFmtId="43" fontId="3" fillId="0" borderId="24" xfId="41" applyNumberFormat="1" applyFont="1" applyBorder="1" applyAlignment="1"/>
    <xf numFmtId="166" fontId="10" fillId="2" borderId="24" xfId="41" applyNumberFormat="1" applyFont="1" applyFill="1" applyBorder="1" applyAlignment="1">
      <alignment horizontal="right"/>
    </xf>
    <xf numFmtId="166" fontId="10" fillId="2" borderId="6" xfId="41" applyNumberFormat="1" applyFont="1" applyFill="1" applyBorder="1" applyAlignment="1">
      <alignment horizontal="right"/>
    </xf>
    <xf numFmtId="0" fontId="8" fillId="0" borderId="24" xfId="0" applyFont="1" applyBorder="1" applyAlignment="1">
      <alignment horizontal="center"/>
    </xf>
    <xf numFmtId="0" fontId="8" fillId="0" borderId="6" xfId="0" applyFont="1" applyBorder="1" applyAlignment="1">
      <alignment horizontal="center"/>
    </xf>
    <xf numFmtId="164" fontId="8" fillId="13" borderId="34" xfId="0" applyNumberFormat="1" applyFont="1" applyFill="1" applyBorder="1"/>
    <xf numFmtId="164" fontId="8" fillId="13" borderId="33" xfId="0" applyNumberFormat="1" applyFont="1" applyFill="1" applyBorder="1"/>
    <xf numFmtId="164" fontId="8" fillId="13" borderId="35" xfId="0" applyNumberFormat="1" applyFont="1" applyFill="1" applyBorder="1"/>
    <xf numFmtId="164" fontId="8" fillId="13" borderId="36" xfId="0" applyNumberFormat="1" applyFont="1" applyFill="1" applyBorder="1"/>
    <xf numFmtId="164" fontId="23" fillId="0" borderId="24" xfId="1" applyNumberFormat="1" applyFont="1" applyFill="1" applyBorder="1"/>
    <xf numFmtId="164" fontId="23" fillId="0" borderId="23" xfId="1" applyNumberFormat="1" applyFont="1" applyFill="1" applyBorder="1"/>
    <xf numFmtId="164" fontId="23" fillId="0" borderId="6" xfId="1" applyNumberFormat="1" applyFont="1" applyFill="1" applyBorder="1"/>
    <xf numFmtId="0" fontId="33" fillId="0" borderId="60" xfId="0" applyFont="1" applyBorder="1" applyAlignment="1">
      <alignment horizontal="center"/>
    </xf>
    <xf numFmtId="0" fontId="11" fillId="0" borderId="61" xfId="0" applyFont="1" applyBorder="1"/>
    <xf numFmtId="0" fontId="52" fillId="0" borderId="61" xfId="0" applyFont="1" applyBorder="1" applyAlignment="1">
      <alignment horizontal="left"/>
    </xf>
    <xf numFmtId="0" fontId="24" fillId="0" borderId="61" xfId="0" applyFont="1" applyBorder="1" applyAlignment="1">
      <alignment horizontal="left"/>
    </xf>
    <xf numFmtId="0" fontId="51" fillId="0" borderId="61" xfId="0" applyFont="1" applyBorder="1"/>
    <xf numFmtId="0" fontId="59" fillId="0" borderId="61" xfId="0" applyFont="1" applyBorder="1"/>
    <xf numFmtId="0" fontId="18" fillId="0" borderId="61" xfId="0" applyFont="1" applyBorder="1"/>
    <xf numFmtId="0" fontId="26" fillId="13" borderId="59" xfId="0" applyFont="1" applyFill="1" applyBorder="1" applyAlignment="1">
      <alignment horizontal="center"/>
    </xf>
    <xf numFmtId="0" fontId="8" fillId="0" borderId="61" xfId="0" applyFont="1" applyBorder="1"/>
    <xf numFmtId="0" fontId="27" fillId="0" borderId="61" xfId="0" applyFont="1" applyBorder="1" applyAlignment="1">
      <alignment horizontal="center"/>
    </xf>
    <xf numFmtId="0" fontId="27" fillId="0" borderId="60" xfId="0" applyFont="1" applyBorder="1" applyAlignment="1">
      <alignment horizontal="center"/>
    </xf>
    <xf numFmtId="0" fontId="27" fillId="15" borderId="61" xfId="0" applyFont="1" applyFill="1" applyBorder="1" applyAlignment="1">
      <alignment horizontal="center"/>
    </xf>
    <xf numFmtId="0" fontId="11" fillId="0" borderId="61" xfId="0" applyFont="1" applyFill="1" applyBorder="1"/>
    <xf numFmtId="0" fontId="0" fillId="0" borderId="61" xfId="0" applyFill="1" applyBorder="1" applyAlignment="1">
      <alignment horizontal="left" indent="1"/>
    </xf>
    <xf numFmtId="0" fontId="18" fillId="0" borderId="61" xfId="0" applyFont="1" applyFill="1" applyBorder="1"/>
    <xf numFmtId="0" fontId="9" fillId="0" borderId="61" xfId="0" applyFont="1" applyFill="1" applyBorder="1" applyAlignment="1">
      <alignment horizontal="left" indent="1"/>
    </xf>
    <xf numFmtId="0" fontId="55" fillId="0" borderId="5" xfId="0" applyFont="1" applyBorder="1"/>
    <xf numFmtId="0" fontId="10" fillId="15" borderId="5" xfId="0" applyFont="1" applyFill="1" applyBorder="1"/>
    <xf numFmtId="0" fontId="10" fillId="0" borderId="5" xfId="0" applyFont="1" applyFill="1" applyBorder="1" applyAlignment="1">
      <alignment horizontal="center"/>
    </xf>
    <xf numFmtId="0" fontId="18" fillId="0" borderId="5" xfId="0" applyFont="1" applyFill="1" applyBorder="1" applyAlignment="1">
      <alignment horizontal="center"/>
    </xf>
    <xf numFmtId="0" fontId="9" fillId="0" borderId="5" xfId="0" applyFont="1" applyFill="1" applyBorder="1" applyAlignment="1">
      <alignment horizontal="left" indent="1"/>
    </xf>
    <xf numFmtId="0" fontId="11" fillId="0" borderId="5" xfId="0" applyFont="1" applyFill="1" applyBorder="1" applyAlignment="1">
      <alignment horizontal="left" indent="1"/>
    </xf>
    <xf numFmtId="0" fontId="21" fillId="0" borderId="5" xfId="0" applyFont="1" applyFill="1" applyBorder="1" applyAlignment="1">
      <alignment horizontal="left"/>
    </xf>
    <xf numFmtId="0" fontId="21" fillId="0" borderId="5" xfId="0" applyFont="1" applyFill="1" applyBorder="1" applyAlignment="1">
      <alignment horizontal="center"/>
    </xf>
    <xf numFmtId="0" fontId="26" fillId="0" borderId="61" xfId="0" applyFont="1" applyBorder="1"/>
    <xf numFmtId="0" fontId="0" fillId="0" borderId="61" xfId="0" applyBorder="1"/>
    <xf numFmtId="0" fontId="16" fillId="0" borderId="61" xfId="0" applyFont="1" applyBorder="1"/>
    <xf numFmtId="0" fontId="0" fillId="15" borderId="61" xfId="0" applyFill="1" applyBorder="1"/>
    <xf numFmtId="0" fontId="10" fillId="0" borderId="61" xfId="0" applyFont="1" applyBorder="1"/>
    <xf numFmtId="0" fontId="0" fillId="0" borderId="61" xfId="0" applyBorder="1" applyAlignment="1">
      <alignment horizontal="left" indent="1"/>
    </xf>
    <xf numFmtId="0" fontId="10" fillId="0" borderId="61" xfId="0" applyFont="1" applyBorder="1" applyAlignment="1">
      <alignment horizontal="right"/>
    </xf>
    <xf numFmtId="0" fontId="19" fillId="0" borderId="61" xfId="0" applyFont="1" applyFill="1" applyBorder="1" applyAlignment="1">
      <alignment horizontal="left" indent="2"/>
    </xf>
    <xf numFmtId="0" fontId="0" fillId="0" borderId="61" xfId="0" applyFill="1" applyBorder="1"/>
    <xf numFmtId="0" fontId="10" fillId="0" borderId="61" xfId="0" applyFont="1" applyFill="1" applyBorder="1"/>
    <xf numFmtId="0" fontId="10" fillId="0" borderId="61" xfId="0" applyFont="1" applyFill="1" applyBorder="1" applyAlignment="1">
      <alignment horizontal="center"/>
    </xf>
    <xf numFmtId="0" fontId="11" fillId="0" borderId="61" xfId="0" applyFont="1" applyFill="1" applyBorder="1" applyAlignment="1">
      <alignment horizontal="center"/>
    </xf>
    <xf numFmtId="0" fontId="18" fillId="0" borderId="61" xfId="0" applyFont="1" applyFill="1" applyBorder="1" applyAlignment="1">
      <alignment horizontal="center"/>
    </xf>
    <xf numFmtId="0" fontId="26" fillId="0" borderId="61" xfId="0" applyFont="1" applyFill="1" applyBorder="1"/>
    <xf numFmtId="0" fontId="18" fillId="0" borderId="61" xfId="0" applyFont="1" applyFill="1" applyBorder="1" applyAlignment="1">
      <alignment horizontal="right"/>
    </xf>
    <xf numFmtId="0" fontId="0" fillId="0" borderId="61" xfId="0" applyFill="1" applyBorder="1" applyAlignment="1">
      <alignment horizontal="center"/>
    </xf>
    <xf numFmtId="0" fontId="16" fillId="0" borderId="61" xfId="0" applyFont="1" applyFill="1" applyBorder="1"/>
    <xf numFmtId="0" fontId="8" fillId="0" borderId="61" xfId="0" applyFont="1" applyFill="1" applyBorder="1"/>
    <xf numFmtId="164" fontId="0" fillId="0" borderId="22" xfId="1" applyNumberFormat="1" applyFont="1" applyFill="1" applyBorder="1"/>
    <xf numFmtId="164" fontId="10" fillId="0" borderId="24" xfId="1" applyNumberFormat="1" applyFont="1" applyFill="1" applyBorder="1"/>
    <xf numFmtId="164" fontId="0" fillId="0" borderId="12" xfId="1" applyNumberFormat="1" applyFont="1" applyFill="1" applyBorder="1"/>
    <xf numFmtId="164" fontId="10" fillId="0" borderId="6" xfId="1" applyNumberFormat="1" applyFont="1" applyFill="1" applyBorder="1"/>
    <xf numFmtId="0" fontId="26" fillId="22" borderId="59" xfId="0" applyFont="1" applyFill="1" applyBorder="1" applyAlignment="1">
      <alignment horizontal="center"/>
    </xf>
    <xf numFmtId="0" fontId="0" fillId="0" borderId="61" xfId="0" applyBorder="1" applyAlignment="1">
      <alignment horizontal="center"/>
    </xf>
    <xf numFmtId="0" fontId="8" fillId="0" borderId="61" xfId="0" applyFont="1" applyFill="1" applyBorder="1" applyAlignment="1">
      <alignment horizontal="center"/>
    </xf>
    <xf numFmtId="166" fontId="3" fillId="0" borderId="6" xfId="41" applyNumberFormat="1" applyFont="1" applyBorder="1"/>
    <xf numFmtId="166" fontId="3" fillId="0" borderId="7" xfId="41" applyNumberFormat="1" applyFont="1" applyBorder="1"/>
    <xf numFmtId="0" fontId="8" fillId="0" borderId="21" xfId="0" applyFont="1" applyBorder="1"/>
    <xf numFmtId="166" fontId="3" fillId="0" borderId="23" xfId="41" applyNumberFormat="1" applyFont="1" applyBorder="1"/>
    <xf numFmtId="166" fontId="3" fillId="0" borderId="27" xfId="41" applyNumberFormat="1" applyFont="1" applyBorder="1"/>
    <xf numFmtId="165" fontId="0" fillId="0" borderId="23" xfId="6" applyNumberFormat="1" applyFont="1" applyFill="1" applyBorder="1"/>
    <xf numFmtId="0" fontId="8" fillId="0" borderId="24" xfId="0" applyFont="1" applyBorder="1"/>
    <xf numFmtId="0" fontId="26" fillId="0" borderId="24" xfId="0" applyFont="1" applyBorder="1"/>
    <xf numFmtId="0" fontId="58" fillId="0" borderId="61" xfId="0" applyFont="1" applyBorder="1"/>
    <xf numFmtId="0" fontId="27" fillId="15" borderId="24" xfId="0" applyFont="1" applyFill="1" applyBorder="1" applyAlignment="1">
      <alignment horizontal="center"/>
    </xf>
    <xf numFmtId="0" fontId="11" fillId="0" borderId="24" xfId="0" applyFont="1" applyBorder="1"/>
    <xf numFmtId="0" fontId="0" fillId="0" borderId="24" xfId="0" applyBorder="1" applyAlignment="1">
      <alignment horizontal="left" indent="1"/>
    </xf>
    <xf numFmtId="0" fontId="10" fillId="0" borderId="24" xfId="0" applyFont="1" applyFill="1" applyBorder="1"/>
    <xf numFmtId="0" fontId="10" fillId="0" borderId="24" xfId="0" applyFont="1" applyFill="1" applyBorder="1" applyAlignment="1">
      <alignment horizontal="left"/>
    </xf>
    <xf numFmtId="0" fontId="11" fillId="0" borderId="24" xfId="0" applyFont="1" applyFill="1" applyBorder="1" applyAlignment="1">
      <alignment horizontal="left"/>
    </xf>
    <xf numFmtId="0" fontId="0" fillId="0" borderId="24" xfId="0" applyFill="1" applyBorder="1" applyAlignment="1">
      <alignment horizontal="left" indent="1"/>
    </xf>
    <xf numFmtId="0" fontId="26" fillId="0" borderId="24" xfId="0" applyFont="1" applyFill="1" applyBorder="1"/>
    <xf numFmtId="0" fontId="18" fillId="0" borderId="24" xfId="0" applyFont="1" applyFill="1" applyBorder="1" applyAlignment="1">
      <alignment horizontal="right"/>
    </xf>
    <xf numFmtId="0" fontId="16" fillId="0" borderId="24" xfId="0" applyFont="1" applyFill="1" applyBorder="1"/>
    <xf numFmtId="0" fontId="18" fillId="0" borderId="24" xfId="0" applyFont="1" applyBorder="1" applyAlignment="1">
      <alignment horizontal="right"/>
    </xf>
    <xf numFmtId="0" fontId="0" fillId="0" borderId="24" xfId="0" applyBorder="1" applyAlignment="1">
      <alignment horizontal="center"/>
    </xf>
    <xf numFmtId="0" fontId="16" fillId="0" borderId="24" xfId="0" applyFont="1" applyBorder="1"/>
    <xf numFmtId="164" fontId="0" fillId="0" borderId="28" xfId="1" applyNumberFormat="1" applyFont="1" applyBorder="1"/>
    <xf numFmtId="164" fontId="0" fillId="16" borderId="24" xfId="1" applyNumberFormat="1" applyFont="1" applyFill="1" applyBorder="1"/>
    <xf numFmtId="164" fontId="8" fillId="11" borderId="24" xfId="0" applyNumberFormat="1" applyFont="1" applyFill="1" applyBorder="1"/>
    <xf numFmtId="6" fontId="8" fillId="9" borderId="37" xfId="0" applyNumberFormat="1" applyFont="1" applyFill="1" applyBorder="1"/>
    <xf numFmtId="164" fontId="0" fillId="0" borderId="7" xfId="1" applyNumberFormat="1" applyFont="1" applyBorder="1"/>
    <xf numFmtId="164" fontId="0" fillId="2" borderId="6" xfId="1" applyNumberFormat="1" applyFont="1" applyFill="1" applyBorder="1"/>
    <xf numFmtId="164" fontId="8" fillId="11" borderId="6" xfId="0" applyNumberFormat="1" applyFont="1" applyFill="1" applyBorder="1"/>
    <xf numFmtId="0" fontId="8" fillId="0" borderId="6" xfId="0" applyFont="1" applyBorder="1"/>
    <xf numFmtId="6" fontId="8" fillId="9" borderId="38" xfId="0" applyNumberFormat="1" applyFont="1" applyFill="1" applyBorder="1"/>
    <xf numFmtId="0" fontId="0" fillId="0" borderId="6" xfId="0" applyBorder="1" applyAlignment="1">
      <alignment horizontal="center"/>
    </xf>
    <xf numFmtId="0" fontId="9" fillId="0" borderId="61" xfId="0" applyFont="1" applyFill="1" applyBorder="1" applyAlignment="1">
      <alignment horizontal="right"/>
    </xf>
    <xf numFmtId="0" fontId="0" fillId="15" borderId="12" xfId="0" applyFill="1" applyBorder="1"/>
    <xf numFmtId="0" fontId="0" fillId="0" borderId="5" xfId="0" applyFont="1" applyBorder="1"/>
    <xf numFmtId="164" fontId="0" fillId="0" borderId="5" xfId="1" applyNumberFormat="1" applyFont="1" applyFill="1" applyBorder="1" applyAlignment="1">
      <alignment horizontal="left"/>
    </xf>
    <xf numFmtId="164" fontId="0" fillId="15" borderId="5" xfId="1" applyNumberFormat="1" applyFont="1" applyFill="1" applyBorder="1" applyAlignment="1">
      <alignment horizontal="left"/>
    </xf>
    <xf numFmtId="43" fontId="3" fillId="0" borderId="23" xfId="41" applyFont="1" applyBorder="1"/>
    <xf numFmtId="43" fontId="3" fillId="0" borderId="0" xfId="41" applyFont="1"/>
    <xf numFmtId="43" fontId="3" fillId="0" borderId="27" xfId="41" applyNumberFormat="1" applyFont="1" applyBorder="1"/>
    <xf numFmtId="43" fontId="3" fillId="0" borderId="28" xfId="41" applyNumberFormat="1" applyFont="1" applyBorder="1"/>
    <xf numFmtId="43" fontId="3" fillId="0" borderId="7" xfId="41" applyNumberFormat="1" applyFont="1" applyBorder="1"/>
    <xf numFmtId="166" fontId="10" fillId="0" borderId="23" xfId="41" applyNumberFormat="1" applyFont="1" applyFill="1" applyBorder="1" applyAlignment="1">
      <alignment horizontal="right"/>
    </xf>
    <xf numFmtId="166" fontId="10" fillId="0" borderId="0" xfId="41" applyNumberFormat="1" applyFont="1" applyFill="1" applyAlignment="1">
      <alignment horizontal="right"/>
    </xf>
    <xf numFmtId="169" fontId="10" fillId="0" borderId="24" xfId="41" applyNumberFormat="1" applyFont="1" applyBorder="1" applyAlignment="1">
      <alignment horizontal="right"/>
    </xf>
    <xf numFmtId="169" fontId="10" fillId="0" borderId="0" xfId="41" applyNumberFormat="1" applyFont="1" applyAlignment="1">
      <alignment horizontal="right"/>
    </xf>
    <xf numFmtId="169" fontId="10" fillId="0" borderId="6" xfId="41" applyNumberFormat="1" applyFont="1" applyBorder="1" applyAlignment="1">
      <alignment horizontal="right"/>
    </xf>
    <xf numFmtId="164" fontId="10" fillId="15" borderId="0" xfId="1" applyNumberFormat="1" applyFont="1" applyFill="1"/>
    <xf numFmtId="10" fontId="10" fillId="0" borderId="0" xfId="6" applyNumberFormat="1" applyFont="1"/>
    <xf numFmtId="10" fontId="10" fillId="0" borderId="24" xfId="6" applyNumberFormat="1" applyFont="1" applyBorder="1"/>
    <xf numFmtId="10" fontId="10" fillId="0" borderId="6" xfId="6" applyNumberFormat="1" applyFont="1" applyBorder="1"/>
    <xf numFmtId="164" fontId="3" fillId="0" borderId="24" xfId="1" applyNumberFormat="1" applyFont="1" applyBorder="1"/>
    <xf numFmtId="164" fontId="3" fillId="0" borderId="0" xfId="1" applyNumberFormat="1" applyFont="1"/>
    <xf numFmtId="164" fontId="3" fillId="0" borderId="6" xfId="1" applyNumberFormat="1" applyFont="1" applyBorder="1"/>
    <xf numFmtId="164" fontId="40" fillId="15" borderId="0" xfId="1" applyNumberFormat="1" applyFont="1" applyFill="1"/>
    <xf numFmtId="164" fontId="10" fillId="0" borderId="23" xfId="1" applyNumberFormat="1" applyFont="1" applyBorder="1"/>
    <xf numFmtId="43" fontId="3" fillId="0" borderId="0" xfId="41" applyNumberFormat="1" applyFont="1" applyFill="1"/>
    <xf numFmtId="164" fontId="11" fillId="15" borderId="0" xfId="0" applyNumberFormat="1" applyFont="1" applyFill="1"/>
    <xf numFmtId="10" fontId="10" fillId="0" borderId="0" xfId="6" applyNumberFormat="1" applyFont="1" applyFill="1"/>
    <xf numFmtId="10" fontId="10" fillId="0" borderId="23" xfId="6" applyNumberFormat="1" applyFont="1" applyFill="1" applyBorder="1"/>
    <xf numFmtId="10" fontId="10" fillId="0" borderId="6" xfId="6" applyNumberFormat="1" applyFont="1" applyFill="1" applyBorder="1"/>
    <xf numFmtId="43" fontId="3" fillId="0" borderId="23" xfId="41" applyNumberFormat="1" applyFont="1" applyFill="1" applyBorder="1"/>
    <xf numFmtId="43" fontId="3" fillId="0" borderId="6" xfId="41" applyNumberFormat="1" applyFont="1" applyFill="1" applyBorder="1"/>
    <xf numFmtId="43" fontId="3" fillId="0" borderId="29" xfId="41" applyNumberFormat="1" applyFont="1" applyFill="1" applyBorder="1"/>
    <xf numFmtId="43" fontId="3" fillId="0" borderId="4" xfId="41" applyNumberFormat="1" applyFont="1" applyFill="1" applyBorder="1"/>
    <xf numFmtId="43" fontId="3" fillId="0" borderId="8" xfId="41" applyNumberFormat="1" applyFont="1" applyFill="1" applyBorder="1"/>
    <xf numFmtId="43" fontId="3" fillId="0" borderId="27" xfId="41" applyNumberFormat="1" applyFont="1" applyFill="1" applyBorder="1"/>
    <xf numFmtId="43" fontId="3" fillId="0" borderId="2" xfId="41" applyNumberFormat="1" applyFont="1" applyFill="1" applyBorder="1"/>
    <xf numFmtId="43" fontId="3" fillId="0" borderId="7" xfId="41" applyNumberFormat="1" applyFont="1" applyFill="1" applyBorder="1"/>
    <xf numFmtId="43" fontId="3" fillId="0" borderId="27" xfId="41" applyFont="1" applyBorder="1"/>
    <xf numFmtId="169" fontId="3" fillId="0" borderId="28" xfId="41" applyNumberFormat="1" applyFont="1" applyBorder="1"/>
    <xf numFmtId="169" fontId="3" fillId="0" borderId="2" xfId="41" applyNumberFormat="1" applyFont="1" applyBorder="1"/>
    <xf numFmtId="169" fontId="3" fillId="0" borderId="7" xfId="41" applyNumberFormat="1" applyFont="1" applyBorder="1"/>
    <xf numFmtId="169" fontId="10" fillId="2" borderId="24" xfId="41" applyNumberFormat="1" applyFont="1" applyFill="1" applyBorder="1" applyAlignment="1">
      <alignment horizontal="right"/>
    </xf>
    <xf numFmtId="169" fontId="10" fillId="2" borderId="6" xfId="41" applyNumberFormat="1" applyFont="1" applyFill="1" applyBorder="1" applyAlignment="1">
      <alignment horizontal="right"/>
    </xf>
    <xf numFmtId="0" fontId="22" fillId="0" borderId="61" xfId="0" applyFont="1" applyFill="1" applyBorder="1" applyAlignment="1">
      <alignment horizontal="left" indent="1"/>
    </xf>
    <xf numFmtId="0" fontId="10" fillId="0" borderId="61" xfId="0" applyFont="1" applyFill="1" applyBorder="1" applyAlignment="1">
      <alignment horizontal="left" indent="1"/>
    </xf>
    <xf numFmtId="0" fontId="24" fillId="0" borderId="61" xfId="0" applyFont="1" applyFill="1" applyBorder="1" applyAlignment="1">
      <alignment horizontal="left"/>
    </xf>
    <xf numFmtId="0" fontId="27" fillId="0" borderId="61" xfId="0" applyFont="1" applyFill="1" applyBorder="1" applyAlignment="1">
      <alignment horizontal="center"/>
    </xf>
    <xf numFmtId="0" fontId="10" fillId="0" borderId="61" xfId="0" applyFont="1" applyBorder="1" applyAlignment="1">
      <alignment horizontal="center"/>
    </xf>
    <xf numFmtId="0" fontId="8" fillId="15" borderId="61" xfId="0" applyFont="1" applyFill="1" applyBorder="1"/>
    <xf numFmtId="0" fontId="0" fillId="0" borderId="61" xfId="0" applyFont="1" applyBorder="1" applyAlignment="1">
      <alignment horizontal="left"/>
    </xf>
    <xf numFmtId="0" fontId="10" fillId="0" borderId="61" xfId="0" applyFont="1" applyBorder="1" applyAlignment="1">
      <alignment horizontal="left"/>
    </xf>
    <xf numFmtId="0" fontId="8" fillId="0" borderId="61" xfId="0" applyFont="1" applyBorder="1" applyAlignment="1">
      <alignment horizontal="left" indent="1"/>
    </xf>
    <xf numFmtId="0" fontId="11" fillId="0" borderId="61" xfId="0" applyFont="1" applyBorder="1" applyAlignment="1">
      <alignment horizontal="right"/>
    </xf>
    <xf numFmtId="0" fontId="9" fillId="0" borderId="61" xfId="0" applyFont="1" applyFill="1" applyBorder="1" applyAlignment="1">
      <alignment horizontal="left" indent="2"/>
    </xf>
    <xf numFmtId="0" fontId="11" fillId="0" borderId="61" xfId="0" applyFont="1" applyFill="1" applyBorder="1" applyAlignment="1">
      <alignment horizontal="right" indent="1"/>
    </xf>
    <xf numFmtId="0" fontId="8" fillId="0" borderId="61" xfId="0" applyFont="1" applyFill="1" applyBorder="1" applyAlignment="1">
      <alignment horizontal="left" indent="1"/>
    </xf>
    <xf numFmtId="0" fontId="10" fillId="0" borderId="61" xfId="0" applyFont="1" applyFill="1" applyBorder="1" applyAlignment="1">
      <alignment horizontal="right"/>
    </xf>
    <xf numFmtId="0" fontId="21" fillId="0" borderId="61" xfId="0" applyFont="1" applyBorder="1" applyAlignment="1">
      <alignment horizontal="center"/>
    </xf>
    <xf numFmtId="0" fontId="8" fillId="0" borderId="61" xfId="0" applyFont="1" applyFill="1" applyBorder="1" applyAlignment="1">
      <alignment wrapText="1"/>
    </xf>
    <xf numFmtId="0" fontId="11" fillId="0" borderId="61" xfId="0" applyFont="1" applyFill="1" applyBorder="1" applyAlignment="1">
      <alignment horizontal="right"/>
    </xf>
    <xf numFmtId="44" fontId="0" fillId="10" borderId="0" xfId="1" applyFont="1" applyFill="1" applyBorder="1"/>
    <xf numFmtId="0" fontId="18" fillId="0" borderId="61" xfId="0" applyFont="1" applyBorder="1" applyAlignment="1">
      <alignment horizontal="right"/>
    </xf>
    <xf numFmtId="0" fontId="0" fillId="14" borderId="61" xfId="0" applyFill="1" applyBorder="1"/>
    <xf numFmtId="0" fontId="0" fillId="8" borderId="61" xfId="0" applyFill="1" applyBorder="1" applyAlignment="1">
      <alignment horizontal="left" indent="1"/>
    </xf>
    <xf numFmtId="0" fontId="11" fillId="0" borderId="61" xfId="0" applyFont="1" applyBorder="1" applyAlignment="1">
      <alignment horizontal="center"/>
    </xf>
    <xf numFmtId="0" fontId="11" fillId="0" borderId="61" xfId="0" applyFont="1" applyBorder="1" applyAlignment="1">
      <alignment horizontal="left" indent="1"/>
    </xf>
    <xf numFmtId="0" fontId="18" fillId="0" borderId="61" xfId="0" applyFont="1" applyBorder="1" applyAlignment="1">
      <alignment horizontal="center"/>
    </xf>
    <xf numFmtId="164" fontId="10" fillId="3" borderId="37" xfId="0" applyNumberFormat="1" applyFont="1" applyFill="1" applyBorder="1"/>
    <xf numFmtId="164" fontId="0" fillId="8" borderId="28" xfId="1" applyNumberFormat="1" applyFont="1" applyFill="1" applyBorder="1"/>
    <xf numFmtId="164" fontId="10" fillId="3" borderId="38" xfId="0" applyNumberFormat="1" applyFont="1" applyFill="1" applyBorder="1"/>
    <xf numFmtId="164" fontId="0" fillId="8" borderId="7" xfId="1" applyNumberFormat="1" applyFont="1" applyFill="1" applyBorder="1"/>
    <xf numFmtId="0" fontId="0" fillId="6" borderId="61" xfId="0" applyFill="1" applyBorder="1" applyAlignment="1">
      <alignment horizontal="left" indent="1"/>
    </xf>
    <xf numFmtId="0" fontId="39" fillId="15" borderId="61" xfId="0" applyFont="1" applyFill="1" applyBorder="1"/>
    <xf numFmtId="0" fontId="9" fillId="0" borderId="61" xfId="0" applyFont="1" applyBorder="1" applyAlignment="1">
      <alignment horizontal="left" indent="2"/>
    </xf>
    <xf numFmtId="0" fontId="0" fillId="7" borderId="61" xfId="0" applyFill="1" applyBorder="1" applyAlignment="1">
      <alignment horizontal="left" indent="1"/>
    </xf>
    <xf numFmtId="0" fontId="0" fillId="0" borderId="61" xfId="0" applyFont="1" applyBorder="1" applyAlignment="1">
      <alignment horizontal="left" indent="1"/>
    </xf>
    <xf numFmtId="164" fontId="3" fillId="15" borderId="0" xfId="1" applyNumberFormat="1" applyFont="1" applyFill="1"/>
    <xf numFmtId="166" fontId="10" fillId="0" borderId="0" xfId="41" applyNumberFormat="1" applyFont="1" applyBorder="1" applyAlignment="1">
      <alignment horizontal="right"/>
    </xf>
    <xf numFmtId="0" fontId="9" fillId="0" borderId="0" xfId="0" applyFont="1" applyFill="1" applyBorder="1"/>
    <xf numFmtId="43" fontId="3" fillId="2" borderId="0" xfId="41" applyFont="1" applyFill="1" applyBorder="1"/>
    <xf numFmtId="0" fontId="23" fillId="0" borderId="61" xfId="0" applyFont="1" applyFill="1" applyBorder="1" applyAlignment="1">
      <alignment horizontal="left" indent="2"/>
    </xf>
    <xf numFmtId="0" fontId="29" fillId="0" borderId="61" xfId="0" applyFont="1" applyFill="1" applyBorder="1" applyAlignment="1">
      <alignment horizontal="left" indent="2"/>
    </xf>
    <xf numFmtId="0" fontId="28" fillId="0" borderId="61" xfId="0" applyFont="1" applyFill="1" applyBorder="1"/>
    <xf numFmtId="43" fontId="10" fillId="13" borderId="59" xfId="41" applyFont="1" applyFill="1" applyBorder="1" applyAlignment="1">
      <alignment horizontal="right"/>
    </xf>
    <xf numFmtId="0" fontId="0" fillId="0" borderId="60" xfId="0" applyFill="1" applyBorder="1" applyAlignment="1">
      <alignment horizontal="right"/>
    </xf>
    <xf numFmtId="0" fontId="29" fillId="0" borderId="61" xfId="0" applyFont="1" applyFill="1" applyBorder="1" applyAlignment="1">
      <alignment horizontal="left" indent="1"/>
    </xf>
    <xf numFmtId="0" fontId="0" fillId="0" borderId="61" xfId="0" applyFill="1" applyBorder="1" applyAlignment="1">
      <alignment horizontal="left" indent="2"/>
    </xf>
    <xf numFmtId="0" fontId="18" fillId="0" borderId="61" xfId="0" applyFont="1" applyFill="1" applyBorder="1" applyAlignment="1">
      <alignment horizontal="right" indent="1"/>
    </xf>
    <xf numFmtId="164" fontId="0" fillId="0" borderId="0" xfId="0" applyNumberFormat="1" applyFont="1" applyFill="1"/>
    <xf numFmtId="0" fontId="16" fillId="0" borderId="0" xfId="0" applyFont="1" applyAlignment="1">
      <alignment horizontal="center"/>
    </xf>
    <xf numFmtId="164" fontId="8" fillId="2" borderId="0" xfId="0" applyNumberFormat="1" applyFont="1" applyFill="1" applyAlignment="1">
      <alignment horizontal="center"/>
    </xf>
    <xf numFmtId="0" fontId="0" fillId="0" borderId="0" xfId="0" applyAlignment="1">
      <alignment horizontal="center"/>
    </xf>
    <xf numFmtId="0" fontId="0" fillId="0" borderId="0" xfId="0" applyAlignment="1"/>
    <xf numFmtId="0" fontId="16" fillId="0" borderId="0" xfId="0" applyFont="1" applyAlignment="1"/>
    <xf numFmtId="0" fontId="37" fillId="18" borderId="13" xfId="1211" applyFont="1" applyFill="1" applyBorder="1" applyAlignment="1">
      <alignment horizontal="center" vertical="center"/>
    </xf>
    <xf numFmtId="0" fontId="41" fillId="18" borderId="14" xfId="1211" applyFont="1" applyFill="1" applyBorder="1" applyAlignment="1">
      <alignment horizontal="center" vertical="center"/>
    </xf>
    <xf numFmtId="0" fontId="41" fillId="18" borderId="15" xfId="1211" applyFont="1" applyFill="1" applyBorder="1" applyAlignment="1">
      <alignment horizontal="center" vertical="center"/>
    </xf>
    <xf numFmtId="0" fontId="2" fillId="0" borderId="0" xfId="1211" applyFont="1" applyFill="1" applyAlignment="1">
      <alignment horizontal="left" vertical="center" wrapText="1"/>
    </xf>
  </cellXfs>
  <cellStyles count="1214">
    <cellStyle name="Comma" xfId="41" builtinId="3"/>
    <cellStyle name="Comma [0]" xfId="1208" builtinId="6"/>
    <cellStyle name="Comma 2" xfId="1212"/>
    <cellStyle name="Currency" xfId="1" builtinId="4"/>
    <cellStyle name="Currency 2" xfId="1209"/>
    <cellStyle name="Currency 3" xfId="1213"/>
    <cellStyle name="Followed Hyperlink" xfId="3" builtinId="9" hidden="1"/>
    <cellStyle name="Followed Hyperlink" xfId="5"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xfId="537" builtinId="9" hidden="1"/>
    <cellStyle name="Followed Hyperlink" xfId="539" builtinId="9" hidden="1"/>
    <cellStyle name="Followed Hyperlink" xfId="541" builtinId="9" hidden="1"/>
    <cellStyle name="Followed Hyperlink" xfId="543" builtinId="9" hidden="1"/>
    <cellStyle name="Followed Hyperlink" xfId="545" builtinId="9" hidden="1"/>
    <cellStyle name="Followed Hyperlink" xfId="547" builtinId="9" hidden="1"/>
    <cellStyle name="Followed Hyperlink" xfId="549" builtinId="9" hidden="1"/>
    <cellStyle name="Followed Hyperlink" xfId="551" builtinId="9" hidden="1"/>
    <cellStyle name="Followed Hyperlink" xfId="553" builtinId="9" hidden="1"/>
    <cellStyle name="Followed Hyperlink" xfId="555" builtinId="9" hidden="1"/>
    <cellStyle name="Followed Hyperlink" xfId="557" builtinId="9" hidden="1"/>
    <cellStyle name="Followed Hyperlink" xfId="559" builtinId="9" hidden="1"/>
    <cellStyle name="Followed Hyperlink" xfId="561" builtinId="9" hidden="1"/>
    <cellStyle name="Followed Hyperlink" xfId="563" builtinId="9" hidden="1"/>
    <cellStyle name="Followed Hyperlink" xfId="565" builtinId="9" hidden="1"/>
    <cellStyle name="Followed Hyperlink" xfId="567" builtinId="9" hidden="1"/>
    <cellStyle name="Followed Hyperlink" xfId="569" builtinId="9" hidden="1"/>
    <cellStyle name="Followed Hyperlink" xfId="571" builtinId="9" hidden="1"/>
    <cellStyle name="Followed Hyperlink" xfId="573" builtinId="9" hidden="1"/>
    <cellStyle name="Followed Hyperlink" xfId="575"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05" builtinId="9" hidden="1"/>
    <cellStyle name="Followed Hyperlink" xfId="807" builtinId="9" hidden="1"/>
    <cellStyle name="Followed Hyperlink" xfId="809"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39" builtinId="9" hidden="1"/>
    <cellStyle name="Followed Hyperlink" xfId="841" builtinId="9" hidden="1"/>
    <cellStyle name="Followed Hyperlink" xfId="843" builtinId="9" hidden="1"/>
    <cellStyle name="Followed Hyperlink" xfId="845" builtinId="9" hidden="1"/>
    <cellStyle name="Followed Hyperlink" xfId="847" builtinId="9" hidden="1"/>
    <cellStyle name="Followed Hyperlink" xfId="849" builtinId="9" hidden="1"/>
    <cellStyle name="Followed Hyperlink" xfId="851" builtinId="9" hidden="1"/>
    <cellStyle name="Followed Hyperlink" xfId="853" builtinId="9" hidden="1"/>
    <cellStyle name="Followed Hyperlink" xfId="855" builtinId="9" hidden="1"/>
    <cellStyle name="Followed Hyperlink" xfId="857" builtinId="9" hidden="1"/>
    <cellStyle name="Followed Hyperlink" xfId="859" builtinId="9" hidden="1"/>
    <cellStyle name="Followed Hyperlink" xfId="861" builtinId="9" hidden="1"/>
    <cellStyle name="Followed Hyperlink" xfId="863" builtinId="9" hidden="1"/>
    <cellStyle name="Followed Hyperlink" xfId="865" builtinId="9" hidden="1"/>
    <cellStyle name="Followed Hyperlink" xfId="867" builtinId="9" hidden="1"/>
    <cellStyle name="Followed Hyperlink" xfId="869" builtinId="9" hidden="1"/>
    <cellStyle name="Followed Hyperlink" xfId="871" builtinId="9" hidden="1"/>
    <cellStyle name="Followed Hyperlink" xfId="873" builtinId="9" hidden="1"/>
    <cellStyle name="Followed Hyperlink" xfId="875" builtinId="9" hidden="1"/>
    <cellStyle name="Followed Hyperlink" xfId="877" builtinId="9" hidden="1"/>
    <cellStyle name="Followed Hyperlink" xfId="879" builtinId="9" hidden="1"/>
    <cellStyle name="Followed Hyperlink" xfId="881" builtinId="9" hidden="1"/>
    <cellStyle name="Followed Hyperlink" xfId="883" builtinId="9" hidden="1"/>
    <cellStyle name="Followed Hyperlink" xfId="885" builtinId="9" hidden="1"/>
    <cellStyle name="Followed Hyperlink" xfId="887" builtinId="9" hidden="1"/>
    <cellStyle name="Followed Hyperlink" xfId="889" builtinId="9" hidden="1"/>
    <cellStyle name="Followed Hyperlink" xfId="891" builtinId="9" hidden="1"/>
    <cellStyle name="Followed Hyperlink" xfId="893" builtinId="9" hidden="1"/>
    <cellStyle name="Followed Hyperlink" xfId="895" builtinId="9" hidden="1"/>
    <cellStyle name="Followed Hyperlink" xfId="897" builtinId="9" hidden="1"/>
    <cellStyle name="Followed Hyperlink" xfId="899" builtinId="9" hidden="1"/>
    <cellStyle name="Followed Hyperlink" xfId="901" builtinId="9" hidden="1"/>
    <cellStyle name="Followed Hyperlink" xfId="903" builtinId="9" hidden="1"/>
    <cellStyle name="Followed Hyperlink" xfId="905" builtinId="9" hidden="1"/>
    <cellStyle name="Followed Hyperlink" xfId="907" builtinId="9" hidden="1"/>
    <cellStyle name="Followed Hyperlink" xfId="909" builtinId="9" hidden="1"/>
    <cellStyle name="Followed Hyperlink" xfId="911" builtinId="9" hidden="1"/>
    <cellStyle name="Followed Hyperlink" xfId="913" builtinId="9" hidden="1"/>
    <cellStyle name="Followed Hyperlink" xfId="915" builtinId="9" hidden="1"/>
    <cellStyle name="Followed Hyperlink" xfId="917" builtinId="9" hidden="1"/>
    <cellStyle name="Followed Hyperlink" xfId="919" builtinId="9" hidden="1"/>
    <cellStyle name="Followed Hyperlink" xfId="921" builtinId="9" hidden="1"/>
    <cellStyle name="Followed Hyperlink" xfId="923" builtinId="9" hidden="1"/>
    <cellStyle name="Followed Hyperlink" xfId="925" builtinId="9" hidden="1"/>
    <cellStyle name="Followed Hyperlink" xfId="927" builtinId="9" hidden="1"/>
    <cellStyle name="Followed Hyperlink" xfId="929" builtinId="9" hidden="1"/>
    <cellStyle name="Followed Hyperlink" xfId="931" builtinId="9" hidden="1"/>
    <cellStyle name="Followed Hyperlink" xfId="933" builtinId="9" hidden="1"/>
    <cellStyle name="Followed Hyperlink" xfId="935" builtinId="9" hidden="1"/>
    <cellStyle name="Followed Hyperlink" xfId="937" builtinId="9" hidden="1"/>
    <cellStyle name="Followed Hyperlink" xfId="939" builtinId="9" hidden="1"/>
    <cellStyle name="Followed Hyperlink" xfId="941" builtinId="9" hidden="1"/>
    <cellStyle name="Followed Hyperlink" xfId="943" builtinId="9" hidden="1"/>
    <cellStyle name="Followed Hyperlink" xfId="945" builtinId="9" hidden="1"/>
    <cellStyle name="Followed Hyperlink" xfId="947" builtinId="9" hidden="1"/>
    <cellStyle name="Followed Hyperlink" xfId="949" builtinId="9" hidden="1"/>
    <cellStyle name="Followed Hyperlink" xfId="951" builtinId="9" hidden="1"/>
    <cellStyle name="Followed Hyperlink" xfId="953" builtinId="9" hidden="1"/>
    <cellStyle name="Followed Hyperlink" xfId="955" builtinId="9" hidden="1"/>
    <cellStyle name="Followed Hyperlink" xfId="957" builtinId="9" hidden="1"/>
    <cellStyle name="Followed Hyperlink" xfId="959" builtinId="9" hidden="1"/>
    <cellStyle name="Followed Hyperlink" xfId="961" builtinId="9" hidden="1"/>
    <cellStyle name="Followed Hyperlink" xfId="963" builtinId="9" hidden="1"/>
    <cellStyle name="Followed Hyperlink" xfId="965" builtinId="9" hidden="1"/>
    <cellStyle name="Followed Hyperlink" xfId="967" builtinId="9" hidden="1"/>
    <cellStyle name="Followed Hyperlink" xfId="969" builtinId="9" hidden="1"/>
    <cellStyle name="Followed Hyperlink" xfId="971" builtinId="9" hidden="1"/>
    <cellStyle name="Followed Hyperlink" xfId="973" builtinId="9" hidden="1"/>
    <cellStyle name="Followed Hyperlink" xfId="975" builtinId="9" hidden="1"/>
    <cellStyle name="Followed Hyperlink" xfId="977" builtinId="9" hidden="1"/>
    <cellStyle name="Followed Hyperlink" xfId="979" builtinId="9" hidden="1"/>
    <cellStyle name="Followed Hyperlink" xfId="981" builtinId="9" hidden="1"/>
    <cellStyle name="Followed Hyperlink" xfId="983" builtinId="9" hidden="1"/>
    <cellStyle name="Followed Hyperlink" xfId="985" builtinId="9" hidden="1"/>
    <cellStyle name="Followed Hyperlink" xfId="987" builtinId="9" hidden="1"/>
    <cellStyle name="Followed Hyperlink" xfId="989" builtinId="9" hidden="1"/>
    <cellStyle name="Followed Hyperlink" xfId="991" builtinId="9" hidden="1"/>
    <cellStyle name="Followed Hyperlink" xfId="993" builtinId="9" hidden="1"/>
    <cellStyle name="Followed Hyperlink" xfId="995" builtinId="9" hidden="1"/>
    <cellStyle name="Followed Hyperlink" xfId="997" builtinId="9" hidden="1"/>
    <cellStyle name="Followed Hyperlink" xfId="999" builtinId="9" hidden="1"/>
    <cellStyle name="Followed Hyperlink" xfId="1001" builtinId="9" hidden="1"/>
    <cellStyle name="Followed Hyperlink" xfId="1003" builtinId="9" hidden="1"/>
    <cellStyle name="Followed Hyperlink" xfId="1005" builtinId="9" hidden="1"/>
    <cellStyle name="Followed Hyperlink" xfId="1007" builtinId="9" hidden="1"/>
    <cellStyle name="Followed Hyperlink" xfId="1009" builtinId="9" hidden="1"/>
    <cellStyle name="Followed Hyperlink" xfId="1011" builtinId="9" hidden="1"/>
    <cellStyle name="Followed Hyperlink" xfId="1013" builtinId="9" hidden="1"/>
    <cellStyle name="Followed Hyperlink" xfId="1015" builtinId="9" hidden="1"/>
    <cellStyle name="Followed Hyperlink" xfId="1017" builtinId="9" hidden="1"/>
    <cellStyle name="Followed Hyperlink" xfId="1019" builtinId="9" hidden="1"/>
    <cellStyle name="Followed Hyperlink" xfId="1021" builtinId="9" hidden="1"/>
    <cellStyle name="Followed Hyperlink" xfId="1023" builtinId="9" hidden="1"/>
    <cellStyle name="Followed Hyperlink" xfId="1025" builtinId="9" hidden="1"/>
    <cellStyle name="Followed Hyperlink" xfId="1027" builtinId="9" hidden="1"/>
    <cellStyle name="Followed Hyperlink" xfId="1029" builtinId="9" hidden="1"/>
    <cellStyle name="Followed Hyperlink" xfId="1031" builtinId="9" hidden="1"/>
    <cellStyle name="Followed Hyperlink" xfId="1033" builtinId="9" hidden="1"/>
    <cellStyle name="Followed Hyperlink" xfId="1035" builtinId="9" hidden="1"/>
    <cellStyle name="Followed Hyperlink" xfId="1037" builtinId="9" hidden="1"/>
    <cellStyle name="Followed Hyperlink" xfId="1039" builtinId="9" hidden="1"/>
    <cellStyle name="Followed Hyperlink" xfId="1041" builtinId="9" hidden="1"/>
    <cellStyle name="Followed Hyperlink" xfId="1043" builtinId="9" hidden="1"/>
    <cellStyle name="Followed Hyperlink" xfId="1045" builtinId="9" hidden="1"/>
    <cellStyle name="Followed Hyperlink" xfId="1047" builtinId="9" hidden="1"/>
    <cellStyle name="Followed Hyperlink" xfId="1049" builtinId="9" hidden="1"/>
    <cellStyle name="Followed Hyperlink" xfId="1051" builtinId="9" hidden="1"/>
    <cellStyle name="Followed Hyperlink" xfId="1053" builtinId="9" hidden="1"/>
    <cellStyle name="Followed Hyperlink" xfId="1055" builtinId="9" hidden="1"/>
    <cellStyle name="Followed Hyperlink" xfId="1057" builtinId="9" hidden="1"/>
    <cellStyle name="Followed Hyperlink" xfId="1059" builtinId="9" hidden="1"/>
    <cellStyle name="Followed Hyperlink" xfId="1061" builtinId="9" hidden="1"/>
    <cellStyle name="Followed Hyperlink" xfId="1063" builtinId="9" hidden="1"/>
    <cellStyle name="Followed Hyperlink" xfId="1065" builtinId="9" hidden="1"/>
    <cellStyle name="Followed Hyperlink" xfId="1067" builtinId="9" hidden="1"/>
    <cellStyle name="Followed Hyperlink" xfId="1069" builtinId="9" hidden="1"/>
    <cellStyle name="Followed Hyperlink" xfId="1071" builtinId="9" hidden="1"/>
    <cellStyle name="Followed Hyperlink" xfId="1073" builtinId="9" hidden="1"/>
    <cellStyle name="Followed Hyperlink" xfId="1075" builtinId="9" hidden="1"/>
    <cellStyle name="Followed Hyperlink" xfId="1077" builtinId="9" hidden="1"/>
    <cellStyle name="Followed Hyperlink" xfId="1079" builtinId="9" hidden="1"/>
    <cellStyle name="Followed Hyperlink" xfId="1081" builtinId="9" hidden="1"/>
    <cellStyle name="Followed Hyperlink" xfId="1083" builtinId="9" hidden="1"/>
    <cellStyle name="Followed Hyperlink" xfId="1085" builtinId="9" hidden="1"/>
    <cellStyle name="Followed Hyperlink" xfId="1087" builtinId="9" hidden="1"/>
    <cellStyle name="Followed Hyperlink" xfId="1089" builtinId="9" hidden="1"/>
    <cellStyle name="Followed Hyperlink" xfId="1091" builtinId="9" hidden="1"/>
    <cellStyle name="Followed Hyperlink" xfId="1093" builtinId="9" hidden="1"/>
    <cellStyle name="Followed Hyperlink" xfId="1095" builtinId="9" hidden="1"/>
    <cellStyle name="Followed Hyperlink" xfId="1097" builtinId="9" hidden="1"/>
    <cellStyle name="Followed Hyperlink" xfId="1099" builtinId="9" hidden="1"/>
    <cellStyle name="Followed Hyperlink" xfId="1101" builtinId="9" hidden="1"/>
    <cellStyle name="Followed Hyperlink" xfId="1103" builtinId="9" hidden="1"/>
    <cellStyle name="Followed Hyperlink" xfId="1105" builtinId="9" hidden="1"/>
    <cellStyle name="Followed Hyperlink" xfId="1107" builtinId="9" hidden="1"/>
    <cellStyle name="Followed Hyperlink" xfId="1109" builtinId="9" hidden="1"/>
    <cellStyle name="Followed Hyperlink" xfId="1111" builtinId="9" hidden="1"/>
    <cellStyle name="Followed Hyperlink" xfId="1113" builtinId="9" hidden="1"/>
    <cellStyle name="Followed Hyperlink" xfId="1115" builtinId="9" hidden="1"/>
    <cellStyle name="Followed Hyperlink" xfId="1117" builtinId="9" hidden="1"/>
    <cellStyle name="Followed Hyperlink" xfId="1119" builtinId="9" hidden="1"/>
    <cellStyle name="Followed Hyperlink" xfId="1121" builtinId="9" hidden="1"/>
    <cellStyle name="Followed Hyperlink" xfId="1123" builtinId="9" hidden="1"/>
    <cellStyle name="Followed Hyperlink" xfId="1125" builtinId="9" hidden="1"/>
    <cellStyle name="Followed Hyperlink" xfId="1127" builtinId="9" hidden="1"/>
    <cellStyle name="Followed Hyperlink" xfId="1129" builtinId="9" hidden="1"/>
    <cellStyle name="Followed Hyperlink" xfId="1131" builtinId="9" hidden="1"/>
    <cellStyle name="Followed Hyperlink" xfId="1133" builtinId="9" hidden="1"/>
    <cellStyle name="Followed Hyperlink" xfId="1135" builtinId="9" hidden="1"/>
    <cellStyle name="Followed Hyperlink" xfId="1137" builtinId="9" hidden="1"/>
    <cellStyle name="Followed Hyperlink" xfId="1139" builtinId="9" hidden="1"/>
    <cellStyle name="Followed Hyperlink" xfId="1141" builtinId="9" hidden="1"/>
    <cellStyle name="Followed Hyperlink" xfId="1143" builtinId="9" hidden="1"/>
    <cellStyle name="Followed Hyperlink" xfId="1145" builtinId="9" hidden="1"/>
    <cellStyle name="Followed Hyperlink" xfId="1147" builtinId="9" hidden="1"/>
    <cellStyle name="Followed Hyperlink" xfId="1149" builtinId="9" hidden="1"/>
    <cellStyle name="Followed Hyperlink" xfId="1151" builtinId="9" hidden="1"/>
    <cellStyle name="Followed Hyperlink" xfId="1153" builtinId="9" hidden="1"/>
    <cellStyle name="Followed Hyperlink" xfId="1155" builtinId="9" hidden="1"/>
    <cellStyle name="Followed Hyperlink" xfId="1157" builtinId="9" hidden="1"/>
    <cellStyle name="Followed Hyperlink" xfId="1159" builtinId="9" hidden="1"/>
    <cellStyle name="Followed Hyperlink" xfId="1161" builtinId="9" hidden="1"/>
    <cellStyle name="Followed Hyperlink" xfId="1163" builtinId="9" hidden="1"/>
    <cellStyle name="Followed Hyperlink" xfId="1165" builtinId="9" hidden="1"/>
    <cellStyle name="Followed Hyperlink" xfId="1167" builtinId="9" hidden="1"/>
    <cellStyle name="Followed Hyperlink" xfId="1169" builtinId="9" hidden="1"/>
    <cellStyle name="Followed Hyperlink" xfId="1171" builtinId="9" hidden="1"/>
    <cellStyle name="Followed Hyperlink" xfId="1173" builtinId="9" hidden="1"/>
    <cellStyle name="Followed Hyperlink" xfId="1175" builtinId="9" hidden="1"/>
    <cellStyle name="Followed Hyperlink" xfId="1177" builtinId="9" hidden="1"/>
    <cellStyle name="Followed Hyperlink" xfId="1179" builtinId="9" hidden="1"/>
    <cellStyle name="Followed Hyperlink" xfId="1181" builtinId="9" hidden="1"/>
    <cellStyle name="Followed Hyperlink" xfId="1183" builtinId="9" hidden="1"/>
    <cellStyle name="Followed Hyperlink" xfId="1185" builtinId="9" hidden="1"/>
    <cellStyle name="Followed Hyperlink" xfId="1187" builtinId="9" hidden="1"/>
    <cellStyle name="Followed Hyperlink" xfId="1189" builtinId="9" hidden="1"/>
    <cellStyle name="Followed Hyperlink" xfId="1191" builtinId="9" hidden="1"/>
    <cellStyle name="Followed Hyperlink" xfId="1193" builtinId="9" hidden="1"/>
    <cellStyle name="Followed Hyperlink" xfId="1195" builtinId="9" hidden="1"/>
    <cellStyle name="Followed Hyperlink" xfId="1197" builtinId="9" hidden="1"/>
    <cellStyle name="Followed Hyperlink" xfId="1199" builtinId="9" hidden="1"/>
    <cellStyle name="Followed Hyperlink" xfId="1201" builtinId="9" hidden="1"/>
    <cellStyle name="Followed Hyperlink" xfId="1203" builtinId="9" hidden="1"/>
    <cellStyle name="Followed Hyperlink" xfId="1205" builtinId="9" hidden="1"/>
    <cellStyle name="Followed Hyperlink" xfId="1207" builtinId="9" hidden="1"/>
    <cellStyle name="Hyperlink" xfId="2" builtinId="8" hidden="1"/>
    <cellStyle name="Hyperlink" xfId="4"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6" builtinId="8" hidden="1"/>
    <cellStyle name="Hyperlink" xfId="888" builtinId="8" hidden="1"/>
    <cellStyle name="Hyperlink" xfId="890" builtinId="8" hidden="1"/>
    <cellStyle name="Hyperlink" xfId="892" builtinId="8" hidden="1"/>
    <cellStyle name="Hyperlink" xfId="894" builtinId="8" hidden="1"/>
    <cellStyle name="Hyperlink" xfId="896" builtinId="8" hidden="1"/>
    <cellStyle name="Hyperlink" xfId="898" builtinId="8" hidden="1"/>
    <cellStyle name="Hyperlink" xfId="900" builtinId="8" hidden="1"/>
    <cellStyle name="Hyperlink" xfId="902" builtinId="8" hidden="1"/>
    <cellStyle name="Hyperlink" xfId="904" builtinId="8" hidden="1"/>
    <cellStyle name="Hyperlink" xfId="906" builtinId="8" hidden="1"/>
    <cellStyle name="Hyperlink" xfId="908" builtinId="8" hidden="1"/>
    <cellStyle name="Hyperlink" xfId="910" builtinId="8" hidden="1"/>
    <cellStyle name="Hyperlink" xfId="912" builtinId="8" hidden="1"/>
    <cellStyle name="Hyperlink" xfId="914" builtinId="8" hidden="1"/>
    <cellStyle name="Hyperlink" xfId="916" builtinId="8" hidden="1"/>
    <cellStyle name="Hyperlink" xfId="918" builtinId="8" hidden="1"/>
    <cellStyle name="Hyperlink" xfId="920" builtinId="8" hidden="1"/>
    <cellStyle name="Hyperlink" xfId="922" builtinId="8" hidden="1"/>
    <cellStyle name="Hyperlink" xfId="924" builtinId="8" hidden="1"/>
    <cellStyle name="Hyperlink" xfId="926" builtinId="8" hidden="1"/>
    <cellStyle name="Hyperlink" xfId="928" builtinId="8" hidden="1"/>
    <cellStyle name="Hyperlink" xfId="930" builtinId="8" hidden="1"/>
    <cellStyle name="Hyperlink" xfId="932" builtinId="8" hidden="1"/>
    <cellStyle name="Hyperlink" xfId="934" builtinId="8" hidden="1"/>
    <cellStyle name="Hyperlink" xfId="936" builtinId="8" hidden="1"/>
    <cellStyle name="Hyperlink" xfId="938" builtinId="8" hidden="1"/>
    <cellStyle name="Hyperlink" xfId="940" builtinId="8" hidden="1"/>
    <cellStyle name="Hyperlink" xfId="942" builtinId="8" hidden="1"/>
    <cellStyle name="Hyperlink" xfId="944" builtinId="8" hidden="1"/>
    <cellStyle name="Hyperlink" xfId="946" builtinId="8" hidden="1"/>
    <cellStyle name="Hyperlink" xfId="948" builtinId="8" hidden="1"/>
    <cellStyle name="Hyperlink" xfId="950" builtinId="8" hidden="1"/>
    <cellStyle name="Hyperlink" xfId="952" builtinId="8" hidden="1"/>
    <cellStyle name="Hyperlink" xfId="954" builtinId="8" hidden="1"/>
    <cellStyle name="Hyperlink" xfId="956" builtinId="8" hidden="1"/>
    <cellStyle name="Hyperlink" xfId="958" builtinId="8" hidden="1"/>
    <cellStyle name="Hyperlink" xfId="960" builtinId="8" hidden="1"/>
    <cellStyle name="Hyperlink" xfId="962" builtinId="8" hidden="1"/>
    <cellStyle name="Hyperlink" xfId="964" builtinId="8" hidden="1"/>
    <cellStyle name="Hyperlink" xfId="966" builtinId="8" hidden="1"/>
    <cellStyle name="Hyperlink" xfId="968" builtinId="8" hidden="1"/>
    <cellStyle name="Hyperlink" xfId="970" builtinId="8" hidden="1"/>
    <cellStyle name="Hyperlink" xfId="972" builtinId="8" hidden="1"/>
    <cellStyle name="Hyperlink" xfId="974" builtinId="8" hidden="1"/>
    <cellStyle name="Hyperlink" xfId="976" builtinId="8" hidden="1"/>
    <cellStyle name="Hyperlink" xfId="978" builtinId="8" hidden="1"/>
    <cellStyle name="Hyperlink" xfId="980" builtinId="8" hidden="1"/>
    <cellStyle name="Hyperlink" xfId="982" builtinId="8" hidden="1"/>
    <cellStyle name="Hyperlink" xfId="984" builtinId="8" hidden="1"/>
    <cellStyle name="Hyperlink" xfId="986" builtinId="8" hidden="1"/>
    <cellStyle name="Hyperlink" xfId="988" builtinId="8" hidden="1"/>
    <cellStyle name="Hyperlink" xfId="990" builtinId="8" hidden="1"/>
    <cellStyle name="Hyperlink" xfId="992" builtinId="8" hidden="1"/>
    <cellStyle name="Hyperlink" xfId="994" builtinId="8" hidden="1"/>
    <cellStyle name="Hyperlink" xfId="996" builtinId="8" hidden="1"/>
    <cellStyle name="Hyperlink" xfId="998" builtinId="8" hidden="1"/>
    <cellStyle name="Hyperlink" xfId="1000" builtinId="8" hidden="1"/>
    <cellStyle name="Hyperlink" xfId="1002" builtinId="8" hidden="1"/>
    <cellStyle name="Hyperlink" xfId="1004" builtinId="8" hidden="1"/>
    <cellStyle name="Hyperlink" xfId="1006" builtinId="8" hidden="1"/>
    <cellStyle name="Hyperlink" xfId="1008" builtinId="8" hidden="1"/>
    <cellStyle name="Hyperlink" xfId="1010" builtinId="8" hidden="1"/>
    <cellStyle name="Hyperlink" xfId="1012" builtinId="8" hidden="1"/>
    <cellStyle name="Hyperlink" xfId="1014" builtinId="8" hidden="1"/>
    <cellStyle name="Hyperlink" xfId="1016" builtinId="8" hidden="1"/>
    <cellStyle name="Hyperlink" xfId="1018" builtinId="8" hidden="1"/>
    <cellStyle name="Hyperlink" xfId="1020" builtinId="8" hidden="1"/>
    <cellStyle name="Hyperlink" xfId="1022" builtinId="8" hidden="1"/>
    <cellStyle name="Hyperlink" xfId="1024" builtinId="8" hidden="1"/>
    <cellStyle name="Hyperlink" xfId="1026" builtinId="8" hidden="1"/>
    <cellStyle name="Hyperlink" xfId="1028" builtinId="8" hidden="1"/>
    <cellStyle name="Hyperlink" xfId="1030" builtinId="8" hidden="1"/>
    <cellStyle name="Hyperlink" xfId="1032" builtinId="8" hidden="1"/>
    <cellStyle name="Hyperlink" xfId="1034" builtinId="8" hidden="1"/>
    <cellStyle name="Hyperlink" xfId="1036" builtinId="8" hidden="1"/>
    <cellStyle name="Hyperlink" xfId="1038" builtinId="8" hidden="1"/>
    <cellStyle name="Hyperlink" xfId="1040" builtinId="8" hidden="1"/>
    <cellStyle name="Hyperlink" xfId="1042" builtinId="8" hidden="1"/>
    <cellStyle name="Hyperlink" xfId="1044" builtinId="8" hidden="1"/>
    <cellStyle name="Hyperlink" xfId="1046" builtinId="8" hidden="1"/>
    <cellStyle name="Hyperlink" xfId="1048" builtinId="8" hidden="1"/>
    <cellStyle name="Hyperlink" xfId="1050" builtinId="8" hidden="1"/>
    <cellStyle name="Hyperlink" xfId="1052" builtinId="8" hidden="1"/>
    <cellStyle name="Hyperlink" xfId="1054" builtinId="8" hidden="1"/>
    <cellStyle name="Hyperlink" xfId="1056" builtinId="8" hidden="1"/>
    <cellStyle name="Hyperlink" xfId="1058" builtinId="8" hidden="1"/>
    <cellStyle name="Hyperlink" xfId="1060" builtinId="8" hidden="1"/>
    <cellStyle name="Hyperlink" xfId="1062" builtinId="8" hidden="1"/>
    <cellStyle name="Hyperlink" xfId="1064" builtinId="8" hidden="1"/>
    <cellStyle name="Hyperlink" xfId="1066" builtinId="8" hidden="1"/>
    <cellStyle name="Hyperlink" xfId="1068" builtinId="8" hidden="1"/>
    <cellStyle name="Hyperlink" xfId="1070" builtinId="8" hidden="1"/>
    <cellStyle name="Hyperlink" xfId="1072" builtinId="8" hidden="1"/>
    <cellStyle name="Hyperlink" xfId="1074" builtinId="8" hidden="1"/>
    <cellStyle name="Hyperlink" xfId="1076" builtinId="8" hidden="1"/>
    <cellStyle name="Hyperlink" xfId="1078" builtinId="8" hidden="1"/>
    <cellStyle name="Hyperlink" xfId="1080" builtinId="8" hidden="1"/>
    <cellStyle name="Hyperlink" xfId="1082" builtinId="8" hidden="1"/>
    <cellStyle name="Hyperlink" xfId="1084" builtinId="8" hidden="1"/>
    <cellStyle name="Hyperlink" xfId="1086" builtinId="8" hidden="1"/>
    <cellStyle name="Hyperlink" xfId="1088" builtinId="8" hidden="1"/>
    <cellStyle name="Hyperlink" xfId="1090" builtinId="8" hidden="1"/>
    <cellStyle name="Hyperlink" xfId="1092" builtinId="8" hidden="1"/>
    <cellStyle name="Hyperlink" xfId="1094" builtinId="8" hidden="1"/>
    <cellStyle name="Hyperlink" xfId="1096" builtinId="8" hidden="1"/>
    <cellStyle name="Hyperlink" xfId="1098" builtinId="8" hidden="1"/>
    <cellStyle name="Hyperlink" xfId="1100" builtinId="8" hidden="1"/>
    <cellStyle name="Hyperlink" xfId="1102" builtinId="8" hidden="1"/>
    <cellStyle name="Hyperlink" xfId="1104" builtinId="8" hidden="1"/>
    <cellStyle name="Hyperlink" xfId="1106" builtinId="8" hidden="1"/>
    <cellStyle name="Hyperlink" xfId="1108" builtinId="8" hidden="1"/>
    <cellStyle name="Hyperlink" xfId="1110" builtinId="8" hidden="1"/>
    <cellStyle name="Hyperlink" xfId="1112" builtinId="8" hidden="1"/>
    <cellStyle name="Hyperlink" xfId="1114" builtinId="8" hidden="1"/>
    <cellStyle name="Hyperlink" xfId="1116" builtinId="8" hidden="1"/>
    <cellStyle name="Hyperlink" xfId="1118" builtinId="8" hidden="1"/>
    <cellStyle name="Hyperlink" xfId="1120" builtinId="8" hidden="1"/>
    <cellStyle name="Hyperlink" xfId="1122" builtinId="8" hidden="1"/>
    <cellStyle name="Hyperlink" xfId="1124" builtinId="8" hidden="1"/>
    <cellStyle name="Hyperlink" xfId="1126" builtinId="8" hidden="1"/>
    <cellStyle name="Hyperlink" xfId="1128" builtinId="8" hidden="1"/>
    <cellStyle name="Hyperlink" xfId="1130" builtinId="8" hidden="1"/>
    <cellStyle name="Hyperlink" xfId="1132" builtinId="8" hidden="1"/>
    <cellStyle name="Hyperlink" xfId="1134" builtinId="8" hidden="1"/>
    <cellStyle name="Hyperlink" xfId="1136" builtinId="8" hidden="1"/>
    <cellStyle name="Hyperlink" xfId="1138" builtinId="8" hidden="1"/>
    <cellStyle name="Hyperlink" xfId="1140" builtinId="8" hidden="1"/>
    <cellStyle name="Hyperlink" xfId="1142" builtinId="8" hidden="1"/>
    <cellStyle name="Hyperlink" xfId="1144" builtinId="8" hidden="1"/>
    <cellStyle name="Hyperlink" xfId="1146" builtinId="8" hidden="1"/>
    <cellStyle name="Hyperlink" xfId="1148" builtinId="8" hidden="1"/>
    <cellStyle name="Hyperlink" xfId="1150" builtinId="8" hidden="1"/>
    <cellStyle name="Hyperlink" xfId="1152" builtinId="8" hidden="1"/>
    <cellStyle name="Hyperlink" xfId="1154" builtinId="8" hidden="1"/>
    <cellStyle name="Hyperlink" xfId="1156" builtinId="8" hidden="1"/>
    <cellStyle name="Hyperlink" xfId="1158" builtinId="8" hidden="1"/>
    <cellStyle name="Hyperlink" xfId="1160" builtinId="8" hidden="1"/>
    <cellStyle name="Hyperlink" xfId="1162" builtinId="8" hidden="1"/>
    <cellStyle name="Hyperlink" xfId="1164" builtinId="8" hidden="1"/>
    <cellStyle name="Hyperlink" xfId="1166" builtinId="8" hidden="1"/>
    <cellStyle name="Hyperlink" xfId="1168" builtinId="8" hidden="1"/>
    <cellStyle name="Hyperlink" xfId="1170" builtinId="8" hidden="1"/>
    <cellStyle name="Hyperlink" xfId="1172" builtinId="8" hidden="1"/>
    <cellStyle name="Hyperlink" xfId="1174" builtinId="8" hidden="1"/>
    <cellStyle name="Hyperlink" xfId="1176" builtinId="8" hidden="1"/>
    <cellStyle name="Hyperlink" xfId="1178" builtinId="8" hidden="1"/>
    <cellStyle name="Hyperlink" xfId="1180" builtinId="8" hidden="1"/>
    <cellStyle name="Hyperlink" xfId="1182" builtinId="8" hidden="1"/>
    <cellStyle name="Hyperlink" xfId="1184" builtinId="8" hidden="1"/>
    <cellStyle name="Hyperlink" xfId="1186" builtinId="8" hidden="1"/>
    <cellStyle name="Hyperlink" xfId="1188" builtinId="8" hidden="1"/>
    <cellStyle name="Hyperlink" xfId="1190" builtinId="8" hidden="1"/>
    <cellStyle name="Hyperlink" xfId="1192" builtinId="8" hidden="1"/>
    <cellStyle name="Hyperlink" xfId="1194" builtinId="8" hidden="1"/>
    <cellStyle name="Hyperlink" xfId="1196" builtinId="8" hidden="1"/>
    <cellStyle name="Hyperlink" xfId="1198" builtinId="8" hidden="1"/>
    <cellStyle name="Hyperlink" xfId="1200" builtinId="8" hidden="1"/>
    <cellStyle name="Hyperlink" xfId="1202" builtinId="8" hidden="1"/>
    <cellStyle name="Hyperlink" xfId="1204" builtinId="8" hidden="1"/>
    <cellStyle name="Hyperlink" xfId="1206" builtinId="8" hidden="1"/>
    <cellStyle name="Normal" xfId="0" builtinId="0"/>
    <cellStyle name="Normal 2" xfId="1211"/>
    <cellStyle name="Percent" xfId="6" builtinId="5"/>
    <cellStyle name="Percent 2" xfId="1210"/>
  </cellStyles>
  <dxfs count="0"/>
  <tableStyles count="0" defaultTableStyle="TableStyleMedium9" defaultPivotStyle="PivotStyleMedium4"/>
  <colors>
    <mruColors>
      <color rgb="FF008000"/>
      <color rgb="FF996633"/>
      <color rgb="FF6666FF"/>
      <color rgb="FF29B8FF"/>
      <color rgb="FFFF9966"/>
      <color rgb="FF00A4F6"/>
      <color rgb="FF66CCFF"/>
      <color rgb="FFCC0066"/>
      <color rgb="FF00FF00"/>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0.xml"/><Relationship Id="rId1" Type="http://schemas.microsoft.com/office/2011/relationships/chartStyle" Target="style10.xml"/></Relationships>
</file>

<file path=xl/charts/_rels/chart16.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3.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1.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2.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5.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21.xml"/><Relationship Id="rId1" Type="http://schemas.microsoft.com/office/2011/relationships/chartStyle" Target="style21.xml"/></Relationships>
</file>

<file path=xl/charts/_rels/chart39.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43.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44.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4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4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1.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52.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55.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56.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59.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63.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64.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65.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67.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68.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69.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38.xml"/><Relationship Id="rId1" Type="http://schemas.microsoft.com/office/2011/relationships/chartStyle" Target="style38.xml"/></Relationships>
</file>

<file path=xl/charts/_rels/chart72.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73.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76.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77.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81.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b="1"/>
              <a:t>Total City -  Revenues by Fund Type</a:t>
            </a:r>
          </a:p>
        </c:rich>
      </c:tx>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691536016701849"/>
          <c:y val="0.10705226780969608"/>
          <c:w val="0.86444846871904668"/>
          <c:h val="0.75331590325606423"/>
        </c:manualLayout>
      </c:layout>
      <c:lineChart>
        <c:grouping val="standard"/>
        <c:varyColors val="0"/>
        <c:ser>
          <c:idx val="1"/>
          <c:order val="1"/>
          <c:tx>
            <c:strRef>
              <c:f>'All Depts'!$A$10</c:f>
              <c:strCache>
                <c:ptCount val="1"/>
                <c:pt idx="0">
                  <c:v>General Fund</c:v>
                </c:pt>
              </c:strCache>
            </c:strRef>
          </c:tx>
          <c:spPr>
            <a:ln w="28575" cap="rnd">
              <a:solidFill>
                <a:sysClr val="windowText" lastClr="000000"/>
              </a:solidFill>
              <a:round/>
            </a:ln>
            <a:effectLst/>
          </c:spPr>
          <c:marker>
            <c:symbol val="none"/>
          </c:marker>
          <c:cat>
            <c:numRef>
              <c:extLst>
                <c:ext xmlns:c15="http://schemas.microsoft.com/office/drawing/2012/chart" uri="{02D57815-91ED-43cb-92C2-25804820EDAC}">
                  <c15:fullRef>
                    <c15:sqref>'All Depts'!$B$8:$Q$8</c15:sqref>
                  </c15:fullRef>
                </c:ext>
              </c:extLst>
              <c:f>('All Depts'!$B$8:$L$8,'All Depts'!$Q$8)</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xmlns:c15="http://schemas.microsoft.com/office/drawing/2012/chart" uri="{02D57815-91ED-43cb-92C2-25804820EDAC}">
                  <c15:fullRef>
                    <c15:sqref>'All Depts'!$B$10:$Q$10</c15:sqref>
                  </c15:fullRef>
                </c:ext>
              </c:extLst>
              <c:f>('All Depts'!$B$10:$L$10,'All Depts'!$Q$10)</c:f>
              <c:numCache>
                <c:formatCode>_("$"* #,##0_);_("$"* \(#,##0\);_("$"* "-"??_);_(@_)</c:formatCode>
                <c:ptCount val="11"/>
                <c:pt idx="0">
                  <c:v>61783745</c:v>
                </c:pt>
                <c:pt idx="1">
                  <c:v>64732305</c:v>
                </c:pt>
                <c:pt idx="2">
                  <c:v>67250569</c:v>
                </c:pt>
                <c:pt idx="3">
                  <c:v>71029592</c:v>
                </c:pt>
                <c:pt idx="4">
                  <c:v>74922853</c:v>
                </c:pt>
                <c:pt idx="5">
                  <c:v>83725827</c:v>
                </c:pt>
                <c:pt idx="6">
                  <c:v>87541579</c:v>
                </c:pt>
                <c:pt idx="7">
                  <c:v>89876681</c:v>
                </c:pt>
                <c:pt idx="8">
                  <c:v>96294031</c:v>
                </c:pt>
                <c:pt idx="9">
                  <c:v>101189586</c:v>
                </c:pt>
                <c:pt idx="10">
                  <c:v>94140194</c:v>
                </c:pt>
              </c:numCache>
            </c:numRef>
          </c:val>
          <c:smooth val="0"/>
          <c:extLst>
            <c:ext xmlns:c16="http://schemas.microsoft.com/office/drawing/2014/chart" uri="{C3380CC4-5D6E-409C-BE32-E72D297353CC}">
              <c16:uniqueId val="{00000000-EE0F-4421-BD50-A2F6C5CAB8E9}"/>
            </c:ext>
          </c:extLst>
        </c:ser>
        <c:ser>
          <c:idx val="2"/>
          <c:order val="2"/>
          <c:tx>
            <c:strRef>
              <c:f>'All Depts'!$A$11</c:f>
              <c:strCache>
                <c:ptCount val="1"/>
                <c:pt idx="0">
                  <c:v>Internal Service Funds</c:v>
                </c:pt>
              </c:strCache>
            </c:strRef>
          </c:tx>
          <c:spPr>
            <a:ln w="28575" cap="rnd">
              <a:solidFill>
                <a:schemeClr val="accent6"/>
              </a:solidFill>
              <a:round/>
            </a:ln>
            <a:effectLst/>
          </c:spPr>
          <c:marker>
            <c:symbol val="none"/>
          </c:marker>
          <c:cat>
            <c:numRef>
              <c:extLst>
                <c:ext xmlns:c15="http://schemas.microsoft.com/office/drawing/2012/chart" uri="{02D57815-91ED-43cb-92C2-25804820EDAC}">
                  <c15:fullRef>
                    <c15:sqref>'All Depts'!$B$8:$Q$8</c15:sqref>
                  </c15:fullRef>
                </c:ext>
              </c:extLst>
              <c:f>('All Depts'!$B$8:$L$8,'All Depts'!$Q$8)</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xmlns:c15="http://schemas.microsoft.com/office/drawing/2012/chart" uri="{02D57815-91ED-43cb-92C2-25804820EDAC}">
                  <c15:fullRef>
                    <c15:sqref>'All Depts'!$B$11:$Q$11</c15:sqref>
                  </c15:fullRef>
                </c:ext>
              </c:extLst>
              <c:f>('All Depts'!$B$11:$L$11,'All Depts'!$Q$11)</c:f>
              <c:numCache>
                <c:formatCode>_("$"* #,##0_);_("$"* \(#,##0\);_("$"* "-"??_);_(@_)</c:formatCode>
                <c:ptCount val="11"/>
                <c:pt idx="0">
                  <c:v>16561205</c:v>
                </c:pt>
                <c:pt idx="1">
                  <c:v>16750146</c:v>
                </c:pt>
                <c:pt idx="2">
                  <c:v>17090658</c:v>
                </c:pt>
                <c:pt idx="3">
                  <c:v>16359507</c:v>
                </c:pt>
                <c:pt idx="4">
                  <c:v>16713554</c:v>
                </c:pt>
                <c:pt idx="5">
                  <c:v>17372880</c:v>
                </c:pt>
                <c:pt idx="6">
                  <c:v>19507737</c:v>
                </c:pt>
                <c:pt idx="7">
                  <c:v>25468863</c:v>
                </c:pt>
                <c:pt idx="8">
                  <c:v>24333958</c:v>
                </c:pt>
                <c:pt idx="9">
                  <c:v>27486605</c:v>
                </c:pt>
                <c:pt idx="10">
                  <c:v>28552278</c:v>
                </c:pt>
              </c:numCache>
            </c:numRef>
          </c:val>
          <c:smooth val="0"/>
          <c:extLst>
            <c:ext xmlns:c16="http://schemas.microsoft.com/office/drawing/2014/chart" uri="{C3380CC4-5D6E-409C-BE32-E72D297353CC}">
              <c16:uniqueId val="{00000001-EE0F-4421-BD50-A2F6C5CAB8E9}"/>
            </c:ext>
          </c:extLst>
        </c:ser>
        <c:ser>
          <c:idx val="3"/>
          <c:order val="3"/>
          <c:tx>
            <c:strRef>
              <c:f>'All Depts'!$A$12</c:f>
              <c:strCache>
                <c:ptCount val="1"/>
                <c:pt idx="0">
                  <c:v>Enterprise Funds</c:v>
                </c:pt>
              </c:strCache>
            </c:strRef>
          </c:tx>
          <c:spPr>
            <a:ln w="28575" cap="rnd">
              <a:solidFill>
                <a:srgbClr val="6666FF"/>
              </a:solidFill>
              <a:round/>
            </a:ln>
            <a:effectLst/>
          </c:spPr>
          <c:marker>
            <c:symbol val="none"/>
          </c:marker>
          <c:cat>
            <c:numRef>
              <c:extLst>
                <c:ext xmlns:c15="http://schemas.microsoft.com/office/drawing/2012/chart" uri="{02D57815-91ED-43cb-92C2-25804820EDAC}">
                  <c15:fullRef>
                    <c15:sqref>'All Depts'!$B$8:$Q$8</c15:sqref>
                  </c15:fullRef>
                </c:ext>
              </c:extLst>
              <c:f>('All Depts'!$B$8:$L$8,'All Depts'!$Q$8)</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xmlns:c15="http://schemas.microsoft.com/office/drawing/2012/chart" uri="{02D57815-91ED-43cb-92C2-25804820EDAC}">
                  <c15:fullRef>
                    <c15:sqref>'All Depts'!$B$12:$Q$12</c15:sqref>
                  </c15:fullRef>
                </c:ext>
              </c:extLst>
              <c:f>('All Depts'!$B$12:$L$12,'All Depts'!$Q$12)</c:f>
              <c:numCache>
                <c:formatCode>_("$"* #,##0_);_("$"* \(#,##0\);_("$"* "-"??_);_(@_)</c:formatCode>
                <c:ptCount val="11"/>
                <c:pt idx="0">
                  <c:v>76125602</c:v>
                </c:pt>
                <c:pt idx="1">
                  <c:v>78664822</c:v>
                </c:pt>
                <c:pt idx="2">
                  <c:v>90592305</c:v>
                </c:pt>
                <c:pt idx="3">
                  <c:v>89966042</c:v>
                </c:pt>
                <c:pt idx="4">
                  <c:v>100580844</c:v>
                </c:pt>
                <c:pt idx="5">
                  <c:v>111712042</c:v>
                </c:pt>
                <c:pt idx="6">
                  <c:v>131203881</c:v>
                </c:pt>
                <c:pt idx="7">
                  <c:v>132414002</c:v>
                </c:pt>
                <c:pt idx="8">
                  <c:v>144457042</c:v>
                </c:pt>
                <c:pt idx="9">
                  <c:v>159471869</c:v>
                </c:pt>
                <c:pt idx="10">
                  <c:v>176784252</c:v>
                </c:pt>
              </c:numCache>
            </c:numRef>
          </c:val>
          <c:smooth val="0"/>
          <c:extLst>
            <c:ext xmlns:c16="http://schemas.microsoft.com/office/drawing/2014/chart" uri="{C3380CC4-5D6E-409C-BE32-E72D297353CC}">
              <c16:uniqueId val="{00000002-EE0F-4421-BD50-A2F6C5CAB8E9}"/>
            </c:ext>
          </c:extLst>
        </c:ser>
        <c:ser>
          <c:idx val="4"/>
          <c:order val="4"/>
          <c:tx>
            <c:strRef>
              <c:f>'All Depts'!$A$13</c:f>
              <c:strCache>
                <c:ptCount val="1"/>
                <c:pt idx="0">
                  <c:v>Special Revenue Funds</c:v>
                </c:pt>
              </c:strCache>
            </c:strRef>
          </c:tx>
          <c:spPr>
            <a:ln w="28575" cap="rnd">
              <a:solidFill>
                <a:srgbClr val="996633"/>
              </a:solidFill>
              <a:round/>
            </a:ln>
            <a:effectLst/>
          </c:spPr>
          <c:marker>
            <c:symbol val="none"/>
          </c:marker>
          <c:cat>
            <c:numRef>
              <c:extLst>
                <c:ext xmlns:c15="http://schemas.microsoft.com/office/drawing/2012/chart" uri="{02D57815-91ED-43cb-92C2-25804820EDAC}">
                  <c15:fullRef>
                    <c15:sqref>'All Depts'!$B$8:$Q$8</c15:sqref>
                  </c15:fullRef>
                </c:ext>
              </c:extLst>
              <c:f>('All Depts'!$B$8:$L$8,'All Depts'!$Q$8)</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xmlns:c15="http://schemas.microsoft.com/office/drawing/2012/chart" uri="{02D57815-91ED-43cb-92C2-25804820EDAC}">
                  <c15:fullRef>
                    <c15:sqref>'All Depts'!$B$13:$Q$13</c15:sqref>
                  </c15:fullRef>
                </c:ext>
              </c:extLst>
              <c:f>('All Depts'!$B$13:$L$13,'All Depts'!$Q$13)</c:f>
              <c:numCache>
                <c:formatCode>_("$"* #,##0_);_("$"* \(#,##0\);_("$"* "-"??_);_(@_)</c:formatCode>
                <c:ptCount val="11"/>
                <c:pt idx="0">
                  <c:v>20974728</c:v>
                </c:pt>
                <c:pt idx="1">
                  <c:v>29288356</c:v>
                </c:pt>
                <c:pt idx="2">
                  <c:v>37076136</c:v>
                </c:pt>
                <c:pt idx="3">
                  <c:v>25716823</c:v>
                </c:pt>
                <c:pt idx="4">
                  <c:v>32542951</c:v>
                </c:pt>
                <c:pt idx="5">
                  <c:v>38047614</c:v>
                </c:pt>
                <c:pt idx="6">
                  <c:v>36712572</c:v>
                </c:pt>
                <c:pt idx="7">
                  <c:v>40325725</c:v>
                </c:pt>
                <c:pt idx="8">
                  <c:v>60737303</c:v>
                </c:pt>
                <c:pt idx="9">
                  <c:v>112074528</c:v>
                </c:pt>
                <c:pt idx="10">
                  <c:v>51564918</c:v>
                </c:pt>
              </c:numCache>
            </c:numRef>
          </c:val>
          <c:smooth val="0"/>
          <c:extLst>
            <c:ext xmlns:c16="http://schemas.microsoft.com/office/drawing/2014/chart" uri="{C3380CC4-5D6E-409C-BE32-E72D297353CC}">
              <c16:uniqueId val="{00000003-EE0F-4421-BD50-A2F6C5CAB8E9}"/>
            </c:ext>
          </c:extLst>
        </c:ser>
        <c:ser>
          <c:idx val="6"/>
          <c:order val="6"/>
          <c:tx>
            <c:strRef>
              <c:f>'All Depts'!$A$15</c:f>
              <c:strCache>
                <c:ptCount val="1"/>
                <c:pt idx="0">
                  <c:v>Total City Budget Revenues</c:v>
                </c:pt>
              </c:strCache>
            </c:strRef>
          </c:tx>
          <c:spPr>
            <a:ln w="28575" cap="rnd">
              <a:solidFill>
                <a:srgbClr val="00B050"/>
              </a:solidFill>
              <a:round/>
            </a:ln>
            <a:effectLst/>
          </c:spPr>
          <c:marker>
            <c:symbol val="none"/>
          </c:marker>
          <c:cat>
            <c:numRef>
              <c:extLst>
                <c:ext xmlns:c15="http://schemas.microsoft.com/office/drawing/2012/chart" uri="{02D57815-91ED-43cb-92C2-25804820EDAC}">
                  <c15:fullRef>
                    <c15:sqref>'All Depts'!$B$8:$Q$8</c15:sqref>
                  </c15:fullRef>
                </c:ext>
              </c:extLst>
              <c:f>('All Depts'!$B$8:$L$8,'All Depts'!$Q$8)</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xmlns:c15="http://schemas.microsoft.com/office/drawing/2012/chart" uri="{02D57815-91ED-43cb-92C2-25804820EDAC}">
                  <c15:fullRef>
                    <c15:sqref>'All Depts'!$B$15:$Q$15</c15:sqref>
                  </c15:fullRef>
                </c:ext>
              </c:extLst>
              <c:f>('All Depts'!$B$15:$L$15,'All Depts'!$Q$15)</c:f>
              <c:numCache>
                <c:formatCode>_("$"* #,##0_);_("$"* \(#,##0\);_("$"* "-"??_);_(@_)</c:formatCode>
                <c:ptCount val="11"/>
                <c:pt idx="0">
                  <c:v>175445280</c:v>
                </c:pt>
                <c:pt idx="1">
                  <c:v>189435629</c:v>
                </c:pt>
                <c:pt idx="2">
                  <c:v>212009668</c:v>
                </c:pt>
                <c:pt idx="3">
                  <c:v>203071964</c:v>
                </c:pt>
                <c:pt idx="4">
                  <c:v>224760202</c:v>
                </c:pt>
                <c:pt idx="5">
                  <c:v>250858363</c:v>
                </c:pt>
                <c:pt idx="6">
                  <c:v>274965769</c:v>
                </c:pt>
                <c:pt idx="7">
                  <c:v>288085271</c:v>
                </c:pt>
                <c:pt idx="8">
                  <c:v>325822334</c:v>
                </c:pt>
                <c:pt idx="9">
                  <c:v>400222588</c:v>
                </c:pt>
                <c:pt idx="10">
                  <c:v>351041642</c:v>
                </c:pt>
              </c:numCache>
            </c:numRef>
          </c:val>
          <c:smooth val="0"/>
          <c:extLst>
            <c:ext xmlns:c16="http://schemas.microsoft.com/office/drawing/2014/chart" uri="{C3380CC4-5D6E-409C-BE32-E72D297353CC}">
              <c16:uniqueId val="{00000004-EE0F-4421-BD50-A2F6C5CAB8E9}"/>
            </c:ext>
          </c:extLst>
        </c:ser>
        <c:dLbls>
          <c:showLegendKey val="0"/>
          <c:showVal val="0"/>
          <c:showCatName val="0"/>
          <c:showSerName val="0"/>
          <c:showPercent val="0"/>
          <c:showBubbleSize val="0"/>
        </c:dLbls>
        <c:smooth val="0"/>
        <c:axId val="706853488"/>
        <c:axId val="706848568"/>
        <c:extLst>
          <c:ext xmlns:c15="http://schemas.microsoft.com/office/drawing/2012/chart" uri="{02D57815-91ED-43cb-92C2-25804820EDAC}">
            <c15:filteredLineSeries>
              <c15:ser>
                <c:idx val="0"/>
                <c:order val="0"/>
                <c:tx>
                  <c:strRef>
                    <c:extLst>
                      <c:ext uri="{02D57815-91ED-43cb-92C2-25804820EDAC}">
                        <c15:formulaRef>
                          <c15:sqref>'All Depts'!$A$8</c15:sqref>
                        </c15:formulaRef>
                      </c:ext>
                    </c:extLst>
                    <c:strCache>
                      <c:ptCount val="1"/>
                    </c:strCache>
                  </c:strRef>
                </c:tx>
                <c:spPr>
                  <a:ln w="28575" cap="rnd">
                    <a:solidFill>
                      <a:schemeClr val="accent1"/>
                    </a:solidFill>
                    <a:round/>
                  </a:ln>
                  <a:effectLst/>
                </c:spPr>
                <c:marker>
                  <c:symbol val="none"/>
                </c:marker>
                <c:cat>
                  <c:numRef>
                    <c:extLst>
                      <c:ext uri="{02D57815-91ED-43cb-92C2-25804820EDAC}">
                        <c15:fullRef>
                          <c15:sqref>'All Depts'!$B$8:$Q$8</c15:sqref>
                        </c15:fullRef>
                        <c15:formulaRef>
                          <c15:sqref>('All Depts'!$B$8:$L$8,'All Depts'!$Q$8)</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ullRef>
                          <c15:sqref>'All Depts'!$B$8:$Q$8</c15:sqref>
                        </c15:fullRef>
                        <c15:formulaRef>
                          <c15:sqref>('All Depts'!$B$8:$L$8,'All Depts'!$Q$8)</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val>
                <c:smooth val="0"/>
                <c:extLst>
                  <c:ext xmlns:c16="http://schemas.microsoft.com/office/drawing/2014/chart" uri="{C3380CC4-5D6E-409C-BE32-E72D297353CC}">
                    <c16:uniqueId val="{00000005-EE0F-4421-BD50-A2F6C5CAB8E9}"/>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'All Depts'!$A$14</c15:sqref>
                        </c15:formulaRef>
                      </c:ext>
                    </c:extLst>
                    <c:strCache>
                      <c:ptCount val="1"/>
                    </c:strCache>
                  </c:strRef>
                </c:tx>
                <c:spPr>
                  <a:ln w="28575" cap="rnd">
                    <a:solidFill>
                      <a:schemeClr val="accent6"/>
                    </a:solidFill>
                    <a:round/>
                  </a:ln>
                  <a:effectLst/>
                </c:spPr>
                <c:marker>
                  <c:symbol val="none"/>
                </c:marker>
                <c:cat>
                  <c:numRef>
                    <c:extLst>
                      <c:ext xmlns:c15="http://schemas.microsoft.com/office/drawing/2012/chart" uri="{02D57815-91ED-43cb-92C2-25804820EDAC}">
                        <c15:fullRef>
                          <c15:sqref>'All Depts'!$B$8:$Q$8</c15:sqref>
                        </c15:fullRef>
                        <c15:formulaRef>
                          <c15:sqref>('All Depts'!$B$8:$L$8,'All Depts'!$Q$8)</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xmlns:c15="http://schemas.microsoft.com/office/drawing/2012/chart" uri="{02D57815-91ED-43cb-92C2-25804820EDAC}">
                        <c15:fullRef>
                          <c15:sqref>'All Depts'!$B$14:$Q$14</c15:sqref>
                        </c15:fullRef>
                        <c15:formulaRef>
                          <c15:sqref>('All Depts'!$B$14:$L$14,'All Depts'!$Q$14)</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6-EE0F-4421-BD50-A2F6C5CAB8E9}"/>
                  </c:ext>
                </c:extLst>
              </c15:ser>
            </c15:filteredLineSeries>
          </c:ext>
        </c:extLst>
      </c:lineChart>
      <c:catAx>
        <c:axId val="706853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6848568"/>
        <c:crosses val="autoZero"/>
        <c:auto val="1"/>
        <c:lblAlgn val="ctr"/>
        <c:lblOffset val="100"/>
        <c:noMultiLvlLbl val="0"/>
      </c:catAx>
      <c:valAx>
        <c:axId val="70684856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68534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05686495070469"/>
          <c:y val="8.5855279039025206E-2"/>
          <c:w val="0.89431350492953099"/>
          <c:h val="0.77813253635266399"/>
        </c:manualLayout>
      </c:layout>
      <c:lineChart>
        <c:grouping val="standard"/>
        <c:varyColors val="0"/>
        <c:ser>
          <c:idx val="0"/>
          <c:order val="0"/>
          <c:tx>
            <c:strRef>
              <c:f>Police!$A$29</c:f>
              <c:strCache>
                <c:ptCount val="1"/>
                <c:pt idx="0">
                  <c:v>   FTE Total</c:v>
                </c:pt>
              </c:strCache>
            </c:strRef>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Police!$B$29:$L$29</c:f>
              <c:numCache>
                <c:formatCode>_(* #,##0_);_(* \(#,##0\);_(* "-"??_);_(@_)</c:formatCode>
                <c:ptCount val="11"/>
                <c:pt idx="0">
                  <c:v>136</c:v>
                </c:pt>
                <c:pt idx="1">
                  <c:v>134</c:v>
                </c:pt>
                <c:pt idx="2">
                  <c:v>134</c:v>
                </c:pt>
                <c:pt idx="3">
                  <c:v>133.75</c:v>
                </c:pt>
                <c:pt idx="4">
                  <c:v>134.75</c:v>
                </c:pt>
                <c:pt idx="5">
                  <c:v>140</c:v>
                </c:pt>
                <c:pt idx="6">
                  <c:v>146</c:v>
                </c:pt>
                <c:pt idx="7">
                  <c:v>154</c:v>
                </c:pt>
                <c:pt idx="8">
                  <c:v>158.5</c:v>
                </c:pt>
                <c:pt idx="9">
                  <c:v>164.5</c:v>
                </c:pt>
                <c:pt idx="10">
                  <c:v>164.5</c:v>
                </c:pt>
              </c:numCache>
            </c:numRef>
          </c:val>
          <c:smooth val="0"/>
          <c:extLst>
            <c:ext xmlns:c16="http://schemas.microsoft.com/office/drawing/2014/chart" uri="{C3380CC4-5D6E-409C-BE32-E72D297353CC}">
              <c16:uniqueId val="{00000000-C353-4114-B490-8195A5864636}"/>
            </c:ext>
          </c:extLst>
        </c:ser>
        <c:ser>
          <c:idx val="1"/>
          <c:order val="1"/>
          <c:tx>
            <c:v>Ops FTEs</c:v>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Police!$B$54:$L$54</c:f>
              <c:numCache>
                <c:formatCode>_(* #,##0.00_);_(* \(#,##0.00\);_(* "-"??_);_(@_)</c:formatCode>
                <c:ptCount val="11"/>
              </c:numCache>
            </c:numRef>
          </c:val>
          <c:smooth val="0"/>
          <c:extLst>
            <c:ext xmlns:c16="http://schemas.microsoft.com/office/drawing/2014/chart" uri="{C3380CC4-5D6E-409C-BE32-E72D297353CC}">
              <c16:uniqueId val="{00000001-C353-4114-B490-8195A5864636}"/>
            </c:ext>
          </c:extLst>
        </c:ser>
        <c:dLbls>
          <c:showLegendKey val="0"/>
          <c:showVal val="0"/>
          <c:showCatName val="0"/>
          <c:showSerName val="0"/>
          <c:showPercent val="0"/>
          <c:showBubbleSize val="0"/>
        </c:dLbls>
        <c:marker val="1"/>
        <c:smooth val="0"/>
        <c:axId val="-2070515640"/>
        <c:axId val="2036992328"/>
      </c:lineChart>
      <c:catAx>
        <c:axId val="-2070515640"/>
        <c:scaling>
          <c:orientation val="minMax"/>
        </c:scaling>
        <c:delete val="0"/>
        <c:axPos val="b"/>
        <c:numFmt formatCode="General" sourceLinked="1"/>
        <c:majorTickMark val="out"/>
        <c:minorTickMark val="none"/>
        <c:tickLblPos val="nextTo"/>
        <c:crossAx val="2036992328"/>
        <c:crosses val="autoZero"/>
        <c:auto val="1"/>
        <c:lblAlgn val="ctr"/>
        <c:lblOffset val="100"/>
        <c:noMultiLvlLbl val="0"/>
      </c:catAx>
      <c:valAx>
        <c:axId val="2036992328"/>
        <c:scaling>
          <c:orientation val="minMax"/>
        </c:scaling>
        <c:delete val="0"/>
        <c:axPos val="l"/>
        <c:majorGridlines/>
        <c:numFmt formatCode="_(* #,##0_);_(* \(#,##0\);_(* &quot;-&quot;??_);_(@_)" sourceLinked="1"/>
        <c:majorTickMark val="out"/>
        <c:minorTickMark val="none"/>
        <c:tickLblPos val="nextTo"/>
        <c:crossAx val="-2070515640"/>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     Total Expenditures by Year  </a:t>
            </a:r>
          </a:p>
        </c:rich>
      </c:tx>
      <c:overlay val="0"/>
    </c:title>
    <c:autoTitleDeleted val="0"/>
    <c:plotArea>
      <c:layout/>
      <c:lineChart>
        <c:grouping val="standard"/>
        <c:varyColors val="0"/>
        <c:ser>
          <c:idx val="0"/>
          <c:order val="0"/>
          <c:tx>
            <c:strRef>
              <c:f>Police!$A$40</c:f>
              <c:strCache>
                <c:ptCount val="1"/>
                <c:pt idx="0">
                  <c:v>FTE Total </c:v>
                </c:pt>
              </c:strCache>
            </c:strRef>
          </c:tx>
          <c:cat>
            <c:numRef>
              <c:f>Police!$B$5:$I$5</c:f>
              <c:numCache>
                <c:formatCode>General</c:formatCode>
                <c:ptCount val="8"/>
                <c:pt idx="0">
                  <c:v>2009</c:v>
                </c:pt>
                <c:pt idx="1">
                  <c:v>2010</c:v>
                </c:pt>
                <c:pt idx="2">
                  <c:v>2011</c:v>
                </c:pt>
                <c:pt idx="3">
                  <c:v>2012</c:v>
                </c:pt>
                <c:pt idx="4">
                  <c:v>2013</c:v>
                </c:pt>
                <c:pt idx="5">
                  <c:v>2014</c:v>
                </c:pt>
                <c:pt idx="6">
                  <c:v>2015</c:v>
                </c:pt>
                <c:pt idx="7">
                  <c:v>2016</c:v>
                </c:pt>
              </c:numCache>
            </c:numRef>
          </c:cat>
          <c:val>
            <c:numRef>
              <c:f>Police!$B$40:$H$40</c:f>
              <c:numCache>
                <c:formatCode>_(* #,##0.0_);_(* \(#,##0.0\);_(* "-"??_);_(@_)</c:formatCode>
                <c:ptCount val="7"/>
                <c:pt idx="0">
                  <c:v>136</c:v>
                </c:pt>
                <c:pt idx="1">
                  <c:v>134</c:v>
                </c:pt>
                <c:pt idx="2">
                  <c:v>134</c:v>
                </c:pt>
                <c:pt idx="3">
                  <c:v>133.75</c:v>
                </c:pt>
                <c:pt idx="4">
                  <c:v>134.75</c:v>
                </c:pt>
                <c:pt idx="5">
                  <c:v>140</c:v>
                </c:pt>
                <c:pt idx="6">
                  <c:v>146</c:v>
                </c:pt>
              </c:numCache>
            </c:numRef>
          </c:val>
          <c:smooth val="0"/>
          <c:extLst>
            <c:ext xmlns:c16="http://schemas.microsoft.com/office/drawing/2014/chart" uri="{C3380CC4-5D6E-409C-BE32-E72D297353CC}">
              <c16:uniqueId val="{00000000-87F3-471C-A8D7-51F8FB1C4AF4}"/>
            </c:ext>
          </c:extLst>
        </c:ser>
        <c:dLbls>
          <c:showLegendKey val="0"/>
          <c:showVal val="0"/>
          <c:showCatName val="0"/>
          <c:showSerName val="0"/>
          <c:showPercent val="0"/>
          <c:showBubbleSize val="0"/>
        </c:dLbls>
        <c:marker val="1"/>
        <c:smooth val="0"/>
        <c:axId val="-2140137352"/>
        <c:axId val="-2080464040"/>
      </c:lineChart>
      <c:catAx>
        <c:axId val="-2140137352"/>
        <c:scaling>
          <c:orientation val="minMax"/>
        </c:scaling>
        <c:delete val="0"/>
        <c:axPos val="b"/>
        <c:numFmt formatCode="General" sourceLinked="1"/>
        <c:majorTickMark val="out"/>
        <c:minorTickMark val="none"/>
        <c:tickLblPos val="nextTo"/>
        <c:crossAx val="-2080464040"/>
        <c:crosses val="autoZero"/>
        <c:auto val="1"/>
        <c:lblAlgn val="ctr"/>
        <c:lblOffset val="100"/>
        <c:noMultiLvlLbl val="0"/>
      </c:catAx>
      <c:valAx>
        <c:axId val="-2080464040"/>
        <c:scaling>
          <c:orientation val="minMax"/>
        </c:scaling>
        <c:delete val="0"/>
        <c:axPos val="l"/>
        <c:majorGridlines/>
        <c:numFmt formatCode="_(* #,##0.0_);_(* \(#,##0.0\);_(* &quot;-&quot;??_);_(@_)" sourceLinked="1"/>
        <c:majorTickMark val="out"/>
        <c:minorTickMark val="none"/>
        <c:tickLblPos val="nextTo"/>
        <c:crossAx val="-2140137352"/>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05686495070469"/>
          <c:y val="8.5855279039025206E-2"/>
          <c:w val="0.89431350492953099"/>
          <c:h val="0.77813253635266399"/>
        </c:manualLayout>
      </c:layout>
      <c:lineChart>
        <c:grouping val="standard"/>
        <c:varyColors val="0"/>
        <c:ser>
          <c:idx val="0"/>
          <c:order val="0"/>
          <c:tx>
            <c:strRef>
              <c:f>Police!$A$29</c:f>
              <c:strCache>
                <c:ptCount val="1"/>
                <c:pt idx="0">
                  <c:v>   FTE Total</c:v>
                </c:pt>
              </c:strCache>
            </c:strRef>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Police!$B$29:$L$29</c:f>
              <c:numCache>
                <c:formatCode>_(* #,##0_);_(* \(#,##0\);_(* "-"??_);_(@_)</c:formatCode>
                <c:ptCount val="11"/>
                <c:pt idx="0">
                  <c:v>136</c:v>
                </c:pt>
                <c:pt idx="1">
                  <c:v>134</c:v>
                </c:pt>
                <c:pt idx="2">
                  <c:v>134</c:v>
                </c:pt>
                <c:pt idx="3">
                  <c:v>133.75</c:v>
                </c:pt>
                <c:pt idx="4">
                  <c:v>134.75</c:v>
                </c:pt>
                <c:pt idx="5">
                  <c:v>140</c:v>
                </c:pt>
                <c:pt idx="6">
                  <c:v>146</c:v>
                </c:pt>
                <c:pt idx="7">
                  <c:v>154</c:v>
                </c:pt>
                <c:pt idx="8">
                  <c:v>158.5</c:v>
                </c:pt>
                <c:pt idx="9">
                  <c:v>164.5</c:v>
                </c:pt>
                <c:pt idx="10">
                  <c:v>164.5</c:v>
                </c:pt>
              </c:numCache>
            </c:numRef>
          </c:val>
          <c:smooth val="0"/>
          <c:extLst>
            <c:ext xmlns:c16="http://schemas.microsoft.com/office/drawing/2014/chart" uri="{C3380CC4-5D6E-409C-BE32-E72D297353CC}">
              <c16:uniqueId val="{00000000-B0EF-4DA0-B563-4D5BAB01BBBA}"/>
            </c:ext>
          </c:extLst>
        </c:ser>
        <c:ser>
          <c:idx val="1"/>
          <c:order val="1"/>
          <c:tx>
            <c:v>Ops FTEs</c:v>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Police!$B$54:$L$54</c:f>
              <c:numCache>
                <c:formatCode>_(* #,##0.00_);_(* \(#,##0.00\);_(* "-"??_);_(@_)</c:formatCode>
                <c:ptCount val="11"/>
              </c:numCache>
            </c:numRef>
          </c:val>
          <c:smooth val="0"/>
          <c:extLst>
            <c:ext xmlns:c16="http://schemas.microsoft.com/office/drawing/2014/chart" uri="{C3380CC4-5D6E-409C-BE32-E72D297353CC}">
              <c16:uniqueId val="{00000001-B0EF-4DA0-B563-4D5BAB01BBBA}"/>
            </c:ext>
          </c:extLst>
        </c:ser>
        <c:dLbls>
          <c:showLegendKey val="0"/>
          <c:showVal val="0"/>
          <c:showCatName val="0"/>
          <c:showSerName val="0"/>
          <c:showPercent val="0"/>
          <c:showBubbleSize val="0"/>
        </c:dLbls>
        <c:marker val="1"/>
        <c:smooth val="0"/>
        <c:axId val="-2080686376"/>
        <c:axId val="-2080691624"/>
      </c:lineChart>
      <c:catAx>
        <c:axId val="-2080686376"/>
        <c:scaling>
          <c:orientation val="minMax"/>
        </c:scaling>
        <c:delete val="0"/>
        <c:axPos val="b"/>
        <c:numFmt formatCode="General" sourceLinked="1"/>
        <c:majorTickMark val="out"/>
        <c:minorTickMark val="none"/>
        <c:tickLblPos val="nextTo"/>
        <c:crossAx val="-2080691624"/>
        <c:crosses val="autoZero"/>
        <c:auto val="1"/>
        <c:lblAlgn val="ctr"/>
        <c:lblOffset val="100"/>
        <c:noMultiLvlLbl val="0"/>
      </c:catAx>
      <c:valAx>
        <c:axId val="-2080691624"/>
        <c:scaling>
          <c:orientation val="minMax"/>
        </c:scaling>
        <c:delete val="0"/>
        <c:axPos val="l"/>
        <c:majorGridlines/>
        <c:numFmt formatCode="_(* #,##0_);_(* \(#,##0\);_(* &quot;-&quot;??_);_(@_)" sourceLinked="1"/>
        <c:majorTickMark val="out"/>
        <c:minorTickMark val="none"/>
        <c:tickLblPos val="nextTo"/>
        <c:crossAx val="-2080686376"/>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v>Op Exp per FTE</c:v>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Police!$B$72:$L$72</c:f>
              <c:numCache>
                <c:formatCode>_("$"* #,##0_);_("$"* \(#,##0\);_("$"* "-"??_);_(@_)</c:formatCode>
                <c:ptCount val="11"/>
              </c:numCache>
            </c:numRef>
          </c:val>
          <c:smooth val="0"/>
          <c:extLst>
            <c:ext xmlns:c16="http://schemas.microsoft.com/office/drawing/2014/chart" uri="{C3380CC4-5D6E-409C-BE32-E72D297353CC}">
              <c16:uniqueId val="{00000000-7CC6-4FDE-BF81-F31E7B9D9317}"/>
            </c:ext>
          </c:extLst>
        </c:ser>
        <c:ser>
          <c:idx val="1"/>
          <c:order val="1"/>
          <c:tx>
            <c:v>Tot Exp per FTE</c:v>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Police!$B$74:$L$74</c:f>
              <c:numCache>
                <c:formatCode>_("$"* #,##0_);_("$"* \(#,##0\);_("$"* "-"??_);_(@_)</c:formatCode>
                <c:ptCount val="11"/>
              </c:numCache>
            </c:numRef>
          </c:val>
          <c:smooth val="0"/>
          <c:extLst>
            <c:ext xmlns:c16="http://schemas.microsoft.com/office/drawing/2014/chart" uri="{C3380CC4-5D6E-409C-BE32-E72D297353CC}">
              <c16:uniqueId val="{00000001-7CC6-4FDE-BF81-F31E7B9D9317}"/>
            </c:ext>
          </c:extLst>
        </c:ser>
        <c:dLbls>
          <c:showLegendKey val="0"/>
          <c:showVal val="0"/>
          <c:showCatName val="0"/>
          <c:showSerName val="0"/>
          <c:showPercent val="0"/>
          <c:showBubbleSize val="0"/>
        </c:dLbls>
        <c:marker val="1"/>
        <c:smooth val="0"/>
        <c:axId val="-2080782968"/>
        <c:axId val="-2080789112"/>
      </c:lineChart>
      <c:catAx>
        <c:axId val="-2080782968"/>
        <c:scaling>
          <c:orientation val="minMax"/>
        </c:scaling>
        <c:delete val="0"/>
        <c:axPos val="b"/>
        <c:numFmt formatCode="General" sourceLinked="1"/>
        <c:majorTickMark val="out"/>
        <c:minorTickMark val="none"/>
        <c:tickLblPos val="nextTo"/>
        <c:crossAx val="-2080789112"/>
        <c:crosses val="autoZero"/>
        <c:auto val="1"/>
        <c:lblAlgn val="ctr"/>
        <c:lblOffset val="100"/>
        <c:noMultiLvlLbl val="0"/>
      </c:catAx>
      <c:valAx>
        <c:axId val="-2080789112"/>
        <c:scaling>
          <c:orientation val="minMax"/>
        </c:scaling>
        <c:delete val="0"/>
        <c:axPos val="l"/>
        <c:majorGridlines/>
        <c:numFmt formatCode="_(&quot;$&quot;* #,##0_);_(&quot;$&quot;* \(#,##0\);_(&quot;$&quot;* &quot;-&quot;??_);_(@_)" sourceLinked="1"/>
        <c:majorTickMark val="out"/>
        <c:minorTickMark val="none"/>
        <c:tickLblPos val="nextTo"/>
        <c:crossAx val="-2080782968"/>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v>Op Exp per FTE</c:v>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Police!$B$72:$L$72</c:f>
              <c:numCache>
                <c:formatCode>_("$"* #,##0_);_("$"* \(#,##0\);_("$"* "-"??_);_(@_)</c:formatCode>
                <c:ptCount val="11"/>
              </c:numCache>
            </c:numRef>
          </c:val>
          <c:smooth val="0"/>
          <c:extLst>
            <c:ext xmlns:c16="http://schemas.microsoft.com/office/drawing/2014/chart" uri="{C3380CC4-5D6E-409C-BE32-E72D297353CC}">
              <c16:uniqueId val="{00000000-FAB1-44F8-AF3A-1DBF785715F4}"/>
            </c:ext>
          </c:extLst>
        </c:ser>
        <c:ser>
          <c:idx val="1"/>
          <c:order val="1"/>
          <c:tx>
            <c:v>Tot Exp per FTE</c:v>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Police!$B$74:$L$74</c:f>
              <c:numCache>
                <c:formatCode>_("$"* #,##0_);_("$"* \(#,##0\);_("$"* "-"??_);_(@_)</c:formatCode>
                <c:ptCount val="11"/>
              </c:numCache>
            </c:numRef>
          </c:val>
          <c:smooth val="0"/>
          <c:extLst>
            <c:ext xmlns:c16="http://schemas.microsoft.com/office/drawing/2014/chart" uri="{C3380CC4-5D6E-409C-BE32-E72D297353CC}">
              <c16:uniqueId val="{00000001-FAB1-44F8-AF3A-1DBF785715F4}"/>
            </c:ext>
          </c:extLst>
        </c:ser>
        <c:dLbls>
          <c:showLegendKey val="0"/>
          <c:showVal val="0"/>
          <c:showCatName val="0"/>
          <c:showSerName val="0"/>
          <c:showPercent val="0"/>
          <c:showBubbleSize val="0"/>
        </c:dLbls>
        <c:marker val="1"/>
        <c:smooth val="0"/>
        <c:axId val="2036955800"/>
        <c:axId val="-2117248632"/>
      </c:lineChart>
      <c:catAx>
        <c:axId val="2036955800"/>
        <c:scaling>
          <c:orientation val="minMax"/>
        </c:scaling>
        <c:delete val="0"/>
        <c:axPos val="b"/>
        <c:numFmt formatCode="General" sourceLinked="1"/>
        <c:majorTickMark val="out"/>
        <c:minorTickMark val="none"/>
        <c:tickLblPos val="nextTo"/>
        <c:crossAx val="-2117248632"/>
        <c:crosses val="autoZero"/>
        <c:auto val="1"/>
        <c:lblAlgn val="ctr"/>
        <c:lblOffset val="100"/>
        <c:noMultiLvlLbl val="0"/>
      </c:catAx>
      <c:valAx>
        <c:axId val="-2117248632"/>
        <c:scaling>
          <c:orientation val="minMax"/>
        </c:scaling>
        <c:delete val="0"/>
        <c:axPos val="l"/>
        <c:majorGridlines/>
        <c:numFmt formatCode="_(&quot;$&quot;* #,##0_);_(&quot;$&quot;* \(#,##0\);_(&quot;$&quot;* &quot;-&quot;??_);_(@_)" sourceLinked="1"/>
        <c:majorTickMark val="out"/>
        <c:minorTickMark val="none"/>
        <c:tickLblPos val="nextTo"/>
        <c:crossAx val="2036955800"/>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b="1"/>
              <a:t>Legislative - Total Revenues</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360993691351443"/>
          <c:y val="0.14089268755935425"/>
          <c:w val="0.86284806598365105"/>
          <c:h val="0.68408970246240586"/>
        </c:manualLayout>
      </c:layout>
      <c:lineChart>
        <c:grouping val="standard"/>
        <c:varyColors val="0"/>
        <c:ser>
          <c:idx val="1"/>
          <c:order val="0"/>
          <c:tx>
            <c:strRef>
              <c:f>Legis!$A$12</c:f>
              <c:strCache>
                <c:ptCount val="1"/>
                <c:pt idx="0">
                  <c:v>Total City Budget Revenues</c:v>
                </c:pt>
              </c:strCache>
            </c:strRef>
          </c:tx>
          <c:spPr>
            <a:ln w="28575" cap="rnd">
              <a:solidFill>
                <a:srgbClr val="008000"/>
              </a:solidFill>
              <a:round/>
            </a:ln>
            <a:effectLst/>
          </c:spPr>
          <c:marker>
            <c:symbol val="none"/>
          </c:marker>
          <c:cat>
            <c:numRef>
              <c:f>Legis!$B$5:$M$5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extLst xmlns:c15="http://schemas.microsoft.com/office/drawing/2012/chart"/>
            </c:numRef>
          </c:cat>
          <c:val>
            <c:numRef>
              <c:f>Legis!$G$12:$L$12</c:f>
              <c:numCache>
                <c:formatCode>_("$"* #,##0_);_("$"* \(#,##0\);_("$"* "-"??_);_(@_)</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1741-4CAD-8074-19A8C22727F6}"/>
            </c:ext>
          </c:extLst>
        </c:ser>
        <c:dLbls>
          <c:showLegendKey val="0"/>
          <c:showVal val="0"/>
          <c:showCatName val="0"/>
          <c:showSerName val="0"/>
          <c:showPercent val="0"/>
          <c:showBubbleSize val="0"/>
        </c:dLbls>
        <c:smooth val="0"/>
        <c:axId val="508739984"/>
        <c:axId val="508749496"/>
        <c:extLst>
          <c:ext xmlns:c15="http://schemas.microsoft.com/office/drawing/2012/chart" uri="{02D57815-91ED-43cb-92C2-25804820EDAC}">
            <c15:filteredLineSeries>
              <c15:ser>
                <c:idx val="2"/>
                <c:order val="1"/>
                <c:tx>
                  <c:strRef>
                    <c:extLst>
                      <c:ext uri="{02D57815-91ED-43cb-92C2-25804820EDAC}">
                        <c15:formulaRef>
                          <c15:sqref>Legis!$A$8</c15:sqref>
                        </c15:formulaRef>
                      </c:ext>
                    </c:extLst>
                    <c:strCache>
                      <c:ptCount val="1"/>
                      <c:pt idx="0">
                        <c:v>Internal Service Funds</c:v>
                      </c:pt>
                    </c:strCache>
                  </c:strRef>
                </c:tx>
                <c:spPr>
                  <a:ln w="28575" cap="rnd">
                    <a:solidFill>
                      <a:schemeClr val="accent3"/>
                    </a:solidFill>
                    <a:round/>
                  </a:ln>
                  <a:effectLst/>
                </c:spPr>
                <c:marker>
                  <c:symbol val="none"/>
                </c:marker>
                <c:cat>
                  <c:numRef>
                    <c:extLst>
                      <c:ext uri="{02D57815-91ED-43cb-92C2-25804820EDAC}">
                        <c15:formulaRef>
                          <c15:sqref>Legis!$B$5:$M$5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Legis!$B$8:$M$8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2-1741-4CAD-8074-19A8C22727F6}"/>
                  </c:ext>
                </c:extLst>
              </c15:ser>
            </c15:filteredLineSeries>
            <c15:filteredLineSeries>
              <c15:ser>
                <c:idx val="3"/>
                <c:order val="2"/>
                <c:tx>
                  <c:strRef>
                    <c:extLst xmlns:c15="http://schemas.microsoft.com/office/drawing/2012/chart">
                      <c:ext xmlns:c15="http://schemas.microsoft.com/office/drawing/2012/chart" uri="{02D57815-91ED-43cb-92C2-25804820EDAC}">
                        <c15:formulaRef>
                          <c15:sqref>Legis!$A$9</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Legis!$B$5:$M$5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Legis!$B$9:$M$9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3-1741-4CAD-8074-19A8C22727F6}"/>
                  </c:ext>
                </c:extLst>
              </c15:ser>
            </c15:filteredLineSeries>
            <c15:filteredLineSeries>
              <c15:ser>
                <c:idx val="4"/>
                <c:order val="3"/>
                <c:tx>
                  <c:strRef>
                    <c:extLst xmlns:c15="http://schemas.microsoft.com/office/drawing/2012/chart">
                      <c:ext xmlns:c15="http://schemas.microsoft.com/office/drawing/2012/chart" uri="{02D57815-91ED-43cb-92C2-25804820EDAC}">
                        <c15:formulaRef>
                          <c15:sqref>Legis!$A$10</c15:sqref>
                        </c15:formulaRef>
                      </c:ext>
                    </c:extLst>
                    <c:strCache>
                      <c:ptCount val="1"/>
                      <c:pt idx="0">
                        <c:v>Special Revenue Funds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Legis!$B$5:$M$5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Legis!$B$10:$M$10</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4-1741-4CAD-8074-19A8C22727F6}"/>
                  </c:ext>
                </c:extLst>
              </c15:ser>
            </c15:filteredLineSeries>
            <c15:filteredLineSeries>
              <c15:ser>
                <c:idx val="5"/>
                <c:order val="4"/>
                <c:tx>
                  <c:strRef>
                    <c:extLst xmlns:c15="http://schemas.microsoft.com/office/drawing/2012/chart">
                      <c:ext xmlns:c15="http://schemas.microsoft.com/office/drawing/2012/chart" uri="{02D57815-91ED-43cb-92C2-25804820EDAC}">
                        <c15:formulaRef>
                          <c15:sqref>Legis!$A$11</c15:sqref>
                        </c15:formulaRef>
                      </c:ext>
                    </c:extLst>
                    <c:strCache>
                      <c:ptCount val="1"/>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Legis!$B$5:$M$5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Legis!$B$11:$M$11</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5-1741-4CAD-8074-19A8C22727F6}"/>
                  </c:ext>
                </c:extLst>
              </c15:ser>
            </c15:filteredLineSeries>
            <c15:filteredLineSeries>
              <c15:ser>
                <c:idx val="6"/>
                <c:order val="5"/>
                <c:tx>
                  <c:strRef>
                    <c:extLst xmlns:c15="http://schemas.microsoft.com/office/drawing/2012/chart">
                      <c:ext xmlns:c15="http://schemas.microsoft.com/office/drawing/2012/chart" uri="{02D57815-91ED-43cb-92C2-25804820EDAC}">
                        <c15:formulaRef>
                          <c15:sqref>Legis!$A$12</c15:sqref>
                        </c15:formulaRef>
                      </c:ext>
                    </c:extLst>
                    <c:strCache>
                      <c:ptCount val="1"/>
                      <c:pt idx="0">
                        <c:v>Total City Budget Revenues</c:v>
                      </c:pt>
                    </c:strCache>
                  </c:strRef>
                </c:tx>
                <c:spPr>
                  <a:ln w="28575" cap="rnd">
                    <a:solidFill>
                      <a:schemeClr val="accent1">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Legis!$B$5:$M$5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Legis!$B$12:$M$12</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0-1741-4CAD-8074-19A8C22727F6}"/>
                  </c:ext>
                </c:extLst>
              </c15:ser>
            </c15:filteredLineSeries>
          </c:ext>
        </c:extLst>
      </c:lineChart>
      <c:catAx>
        <c:axId val="508739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8749496"/>
        <c:crosses val="autoZero"/>
        <c:auto val="1"/>
        <c:lblAlgn val="ctr"/>
        <c:lblOffset val="100"/>
        <c:noMultiLvlLbl val="0"/>
      </c:catAx>
      <c:valAx>
        <c:axId val="50874949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8739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b="1"/>
              <a:t>Legislative - Total Expenditures</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Legis!$A$16</c:f>
              <c:strCache>
                <c:ptCount val="1"/>
                <c:pt idx="0">
                  <c:v>General Fund</c:v>
                </c:pt>
              </c:strCache>
            </c:strRef>
          </c:tx>
          <c:spPr>
            <a:ln w="28575" cap="rnd">
              <a:solidFill>
                <a:sysClr val="windowText" lastClr="000000"/>
              </a:solidFill>
              <a:round/>
            </a:ln>
            <a:effectLst/>
          </c:spPr>
          <c:marker>
            <c:symbol val="none"/>
          </c:marker>
          <c:cat>
            <c:numRef>
              <c:f>Legis!$B$15:$M$15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Legis!$B$16:$M$16</c:f>
              <c:numCache>
                <c:formatCode>_("$"* #,##0_);_("$"* \(#,##0\);_("$"* "-"??_);_(@_)</c:formatCode>
                <c:ptCount val="11"/>
                <c:pt idx="0">
                  <c:v>92527</c:v>
                </c:pt>
                <c:pt idx="1">
                  <c:v>106423</c:v>
                </c:pt>
                <c:pt idx="2">
                  <c:v>101076</c:v>
                </c:pt>
                <c:pt idx="3">
                  <c:v>97102</c:v>
                </c:pt>
                <c:pt idx="4">
                  <c:v>118263</c:v>
                </c:pt>
                <c:pt idx="5">
                  <c:v>162625</c:v>
                </c:pt>
                <c:pt idx="6">
                  <c:v>157812</c:v>
                </c:pt>
                <c:pt idx="7">
                  <c:v>151146</c:v>
                </c:pt>
                <c:pt idx="8">
                  <c:v>159913</c:v>
                </c:pt>
                <c:pt idx="9">
                  <c:v>168523</c:v>
                </c:pt>
                <c:pt idx="10">
                  <c:v>139383</c:v>
                </c:pt>
              </c:numCache>
            </c:numRef>
          </c:val>
          <c:smooth val="0"/>
          <c:extLst>
            <c:ext xmlns:c16="http://schemas.microsoft.com/office/drawing/2014/chart" uri="{C3380CC4-5D6E-409C-BE32-E72D297353CC}">
              <c16:uniqueId val="{00000000-A32B-48CC-B42A-9DE3C6B42C7C}"/>
            </c:ext>
          </c:extLst>
        </c:ser>
        <c:dLbls>
          <c:showLegendKey val="0"/>
          <c:showVal val="0"/>
          <c:showCatName val="0"/>
          <c:showSerName val="0"/>
          <c:showPercent val="0"/>
          <c:showBubbleSize val="0"/>
        </c:dLbls>
        <c:smooth val="0"/>
        <c:axId val="550948848"/>
        <c:axId val="550946552"/>
      </c:lineChart>
      <c:catAx>
        <c:axId val="550948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0946552"/>
        <c:crosses val="autoZero"/>
        <c:auto val="1"/>
        <c:lblAlgn val="ctr"/>
        <c:lblOffset val="100"/>
        <c:noMultiLvlLbl val="0"/>
      </c:catAx>
      <c:valAx>
        <c:axId val="55094655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0948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b="1"/>
              <a:t>Legislative - Expenditures per Capita</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Legis!$A$25</c:f>
              <c:strCache>
                <c:ptCount val="1"/>
                <c:pt idx="0">
                  <c:v>Expenditures per Capita</c:v>
                </c:pt>
              </c:strCache>
            </c:strRef>
          </c:tx>
          <c:spPr>
            <a:ln w="28575" cap="rnd">
              <a:solidFill>
                <a:srgbClr val="FF0000"/>
              </a:solidFill>
              <a:round/>
            </a:ln>
            <a:effectLst/>
          </c:spPr>
          <c:marker>
            <c:symbol val="none"/>
          </c:marker>
          <c:cat>
            <c:numRef>
              <c:f>Legis!$B$24:$M$24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Legis!$B$25:$M$25</c:f>
              <c:numCache>
                <c:formatCode>_("$"* #,##0.00_);_("$"* \(#,##0.00\);_("$"* "-"??_);_(@_)</c:formatCode>
                <c:ptCount val="11"/>
                <c:pt idx="0">
                  <c:v>1.4649156138184352</c:v>
                </c:pt>
                <c:pt idx="1">
                  <c:v>1.5710046942812435</c:v>
                </c:pt>
                <c:pt idx="2">
                  <c:v>1.4699611698491877</c:v>
                </c:pt>
                <c:pt idx="3">
                  <c:v>1.4003547684631026</c:v>
                </c:pt>
                <c:pt idx="4">
                  <c:v>1.6805883188858888</c:v>
                </c:pt>
                <c:pt idx="5">
                  <c:v>2.2896222563250594</c:v>
                </c:pt>
                <c:pt idx="6">
                  <c:v>2.1494415690547535</c:v>
                </c:pt>
                <c:pt idx="7">
                  <c:v>2.0319419237749545</c:v>
                </c:pt>
                <c:pt idx="8">
                  <c:v>2.1085574894514769</c:v>
                </c:pt>
                <c:pt idx="9">
                  <c:v>2.1811886826641818</c:v>
                </c:pt>
                <c:pt idx="10">
                  <c:v>1.76478855406432</c:v>
                </c:pt>
              </c:numCache>
            </c:numRef>
          </c:val>
          <c:smooth val="0"/>
          <c:extLst>
            <c:ext xmlns:c16="http://schemas.microsoft.com/office/drawing/2014/chart" uri="{C3380CC4-5D6E-409C-BE32-E72D297353CC}">
              <c16:uniqueId val="{00000000-2387-4E8E-B1D5-543E80B452F0}"/>
            </c:ext>
          </c:extLst>
        </c:ser>
        <c:dLbls>
          <c:showLegendKey val="0"/>
          <c:showVal val="0"/>
          <c:showCatName val="0"/>
          <c:showSerName val="0"/>
          <c:showPercent val="0"/>
          <c:showBubbleSize val="0"/>
        </c:dLbls>
        <c:smooth val="0"/>
        <c:axId val="597725272"/>
        <c:axId val="597723632"/>
      </c:lineChart>
      <c:catAx>
        <c:axId val="597725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7723632"/>
        <c:crosses val="autoZero"/>
        <c:auto val="1"/>
        <c:lblAlgn val="ctr"/>
        <c:lblOffset val="100"/>
        <c:noMultiLvlLbl val="0"/>
      </c:catAx>
      <c:valAx>
        <c:axId val="59772363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7725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b="1"/>
              <a:t>Executive &amp; Legal - Total Revenues</a:t>
            </a:r>
          </a:p>
        </c:rich>
      </c:tx>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'Exec-Legal'!$A$7</c:f>
              <c:strCache>
                <c:ptCount val="1"/>
                <c:pt idx="0">
                  <c:v>General Fund</c:v>
                </c:pt>
              </c:strCache>
              <c:extLst xmlns:c15="http://schemas.microsoft.com/office/drawing/2012/chart"/>
            </c:strRef>
          </c:tx>
          <c:spPr>
            <a:ln w="28575" cap="rnd">
              <a:solidFill>
                <a:sysClr val="windowText" lastClr="000000"/>
              </a:solidFill>
              <a:round/>
            </a:ln>
            <a:effectLst/>
          </c:spPr>
          <c:marker>
            <c:symbol val="none"/>
          </c:marker>
          <c:cat>
            <c:numRef>
              <c:f>'Exec-Legal'!$B$5:$M$5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extLst xmlns:c15="http://schemas.microsoft.com/office/drawing/2012/chart"/>
            </c:numRef>
          </c:cat>
          <c:val>
            <c:numRef>
              <c:f>'Exec-Legal'!$B$7:$M$7</c:f>
              <c:numCache>
                <c:formatCode>_("$"* #,##0_);_("$"* \(#,##0\);_("$"* "-"??_);_(@_)</c:formatCode>
                <c:ptCount val="11"/>
                <c:pt idx="0">
                  <c:v>1021383</c:v>
                </c:pt>
                <c:pt idx="1">
                  <c:v>400427</c:v>
                </c:pt>
                <c:pt idx="2">
                  <c:v>261258</c:v>
                </c:pt>
                <c:pt idx="3">
                  <c:v>276899</c:v>
                </c:pt>
                <c:pt idx="4">
                  <c:v>484011</c:v>
                </c:pt>
                <c:pt idx="5">
                  <c:v>961953</c:v>
                </c:pt>
                <c:pt idx="6">
                  <c:v>1003145</c:v>
                </c:pt>
                <c:pt idx="7">
                  <c:v>1806613</c:v>
                </c:pt>
                <c:pt idx="8">
                  <c:v>2433674</c:v>
                </c:pt>
                <c:pt idx="9">
                  <c:v>2696998</c:v>
                </c:pt>
                <c:pt idx="10">
                  <c:v>842497</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6DF7-4C7E-BC2D-F6010B031E00}"/>
            </c:ext>
          </c:extLst>
        </c:ser>
        <c:ser>
          <c:idx val="4"/>
          <c:order val="4"/>
          <c:tx>
            <c:strRef>
              <c:f>'Exec-Legal'!$A$10</c:f>
              <c:strCache>
                <c:ptCount val="1"/>
                <c:pt idx="0">
                  <c:v>Special Revenue Funds</c:v>
                </c:pt>
              </c:strCache>
              <c:extLst xmlns:c15="http://schemas.microsoft.com/office/drawing/2012/chart"/>
            </c:strRef>
          </c:tx>
          <c:spPr>
            <a:ln w="28575" cap="rnd">
              <a:solidFill>
                <a:srgbClr val="996633"/>
              </a:solidFill>
              <a:round/>
            </a:ln>
            <a:effectLst/>
          </c:spPr>
          <c:marker>
            <c:symbol val="none"/>
          </c:marker>
          <c:cat>
            <c:numRef>
              <c:f>'Exec-Legal'!$B$5:$M$5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extLst xmlns:c15="http://schemas.microsoft.com/office/drawing/2012/chart"/>
            </c:numRef>
          </c:cat>
          <c:val>
            <c:numRef>
              <c:f>'Exec-Legal'!$B$10:$M$10</c:f>
              <c:numCache>
                <c:formatCode>_("$"* #,##0_);_("$"* \(#,##0\);_("$"* "-"??_);_(@_)</c:formatCode>
                <c:ptCount val="11"/>
                <c:pt idx="0">
                  <c:v>458374</c:v>
                </c:pt>
                <c:pt idx="1">
                  <c:v>224222</c:v>
                </c:pt>
                <c:pt idx="2">
                  <c:v>391874</c:v>
                </c:pt>
                <c:pt idx="3">
                  <c:v>240077</c:v>
                </c:pt>
                <c:pt idx="4">
                  <c:v>293278</c:v>
                </c:pt>
                <c:pt idx="5">
                  <c:v>458233</c:v>
                </c:pt>
                <c:pt idx="6">
                  <c:v>288081</c:v>
                </c:pt>
                <c:pt idx="7">
                  <c:v>372615</c:v>
                </c:pt>
                <c:pt idx="8">
                  <c:v>758318</c:v>
                </c:pt>
                <c:pt idx="9">
                  <c:v>1379318</c:v>
                </c:pt>
                <c:pt idx="10">
                  <c:v>901785</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5-6DF7-4C7E-BC2D-F6010B031E00}"/>
            </c:ext>
          </c:extLst>
        </c:ser>
        <c:ser>
          <c:idx val="6"/>
          <c:order val="5"/>
          <c:tx>
            <c:strRef>
              <c:f>'Exec-Legal'!$A$12</c:f>
              <c:strCache>
                <c:ptCount val="1"/>
                <c:pt idx="0">
                  <c:v>Total City Budget Revenues</c:v>
                </c:pt>
              </c:strCache>
            </c:strRef>
          </c:tx>
          <c:spPr>
            <a:ln w="28575" cap="rnd">
              <a:solidFill>
                <a:schemeClr val="accent3">
                  <a:lumMod val="75000"/>
                </a:schemeClr>
              </a:solidFill>
              <a:round/>
            </a:ln>
            <a:effectLst/>
          </c:spPr>
          <c:marker>
            <c:symbol val="none"/>
          </c:marker>
          <c:cat>
            <c:numRef>
              <c:f>'Exec-Legal'!$B$5:$M$5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'Exec-Legal'!$B$12:$M$12</c:f>
              <c:numCache>
                <c:formatCode>_("$"* #,##0_);_("$"* \(#,##0\);_("$"* "-"??_);_(@_)</c:formatCode>
                <c:ptCount val="11"/>
                <c:pt idx="0">
                  <c:v>1479757</c:v>
                </c:pt>
                <c:pt idx="1">
                  <c:v>624649</c:v>
                </c:pt>
                <c:pt idx="2">
                  <c:v>653132</c:v>
                </c:pt>
                <c:pt idx="3">
                  <c:v>516976</c:v>
                </c:pt>
                <c:pt idx="4">
                  <c:v>777289</c:v>
                </c:pt>
                <c:pt idx="5">
                  <c:v>1420186</c:v>
                </c:pt>
                <c:pt idx="6">
                  <c:v>1291226</c:v>
                </c:pt>
                <c:pt idx="7">
                  <c:v>2179228</c:v>
                </c:pt>
                <c:pt idx="8">
                  <c:v>3191992</c:v>
                </c:pt>
                <c:pt idx="9">
                  <c:v>4076316</c:v>
                </c:pt>
                <c:pt idx="10">
                  <c:v>1744282</c:v>
                </c:pt>
              </c:numCache>
            </c:numRef>
          </c:val>
          <c:smooth val="0"/>
          <c:extLst>
            <c:ext xmlns:c16="http://schemas.microsoft.com/office/drawing/2014/chart" uri="{C3380CC4-5D6E-409C-BE32-E72D297353CC}">
              <c16:uniqueId val="{00000000-6DF7-4C7E-BC2D-F6010B031E00}"/>
            </c:ext>
          </c:extLst>
        </c:ser>
        <c:dLbls>
          <c:showLegendKey val="0"/>
          <c:showVal val="0"/>
          <c:showCatName val="0"/>
          <c:showSerName val="0"/>
          <c:showPercent val="0"/>
          <c:showBubbleSize val="0"/>
        </c:dLbls>
        <c:smooth val="0"/>
        <c:axId val="607682672"/>
        <c:axId val="607680704"/>
        <c:extLst>
          <c:ext xmlns:c15="http://schemas.microsoft.com/office/drawing/2012/chart" uri="{02D57815-91ED-43cb-92C2-25804820EDAC}">
            <c15:filteredLineSeries>
              <c15:ser>
                <c:idx val="0"/>
                <c:order val="0"/>
                <c:tx>
                  <c:strRef>
                    <c:extLst>
                      <c:ext uri="{02D57815-91ED-43cb-92C2-25804820EDAC}">
                        <c15:formulaRef>
                          <c15:sqref>'Exec-Legal'!$A$5</c15:sqref>
                        </c15:formulaRef>
                      </c:ext>
                    </c:extLst>
                    <c:strCache>
                      <c:ptCount val="1"/>
                    </c:strCache>
                  </c:strRef>
                </c:tx>
                <c:spPr>
                  <a:ln w="28575" cap="rnd">
                    <a:solidFill>
                      <a:schemeClr val="accent1"/>
                    </a:solidFill>
                    <a:round/>
                  </a:ln>
                  <a:effectLst/>
                </c:spPr>
                <c:marker>
                  <c:symbol val="none"/>
                </c:marker>
                <c:cat>
                  <c:numRef>
                    <c:extLst>
                      <c:ext uri="{02D57815-91ED-43cb-92C2-25804820EDAC}">
                        <c15:formulaRef>
                          <c15:sqref>'Exec-Legal'!$B$5:$M$5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'Exec-Legal'!$B$5:$M$5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val>
                <c:smooth val="0"/>
                <c:extLst>
                  <c:ext xmlns:c16="http://schemas.microsoft.com/office/drawing/2014/chart" uri="{C3380CC4-5D6E-409C-BE32-E72D297353CC}">
                    <c16:uniqueId val="{00000001-6DF7-4C7E-BC2D-F6010B031E00}"/>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'Exec-Legal'!$A$8</c15:sqref>
                        </c15:formulaRef>
                      </c:ext>
                    </c:extLst>
                    <c:strCache>
                      <c:ptCount val="1"/>
                      <c:pt idx="0">
                        <c:v>Internal Service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'Exec-Legal'!$B$5:$M$5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'Exec-Legal'!$B$8:$M$8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3-6DF7-4C7E-BC2D-F6010B031E00}"/>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'Exec-Legal'!$A$9</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'Exec-Legal'!$B$5:$M$5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'Exec-Legal'!$B$9:$M$9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4-6DF7-4C7E-BC2D-F6010B031E00}"/>
                  </c:ext>
                </c:extLst>
              </c15:ser>
            </c15:filteredLineSeries>
          </c:ext>
        </c:extLst>
      </c:lineChart>
      <c:catAx>
        <c:axId val="607682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80704"/>
        <c:crosses val="autoZero"/>
        <c:auto val="1"/>
        <c:lblAlgn val="ctr"/>
        <c:lblOffset val="100"/>
        <c:noMultiLvlLbl val="0"/>
      </c:catAx>
      <c:valAx>
        <c:axId val="60768070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8267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b="1"/>
              <a:t>Executive</a:t>
            </a:r>
            <a:r>
              <a:rPr lang="en-US" sz="1600" b="1" baseline="0"/>
              <a:t> &amp; Legal - Total Expenditures</a:t>
            </a:r>
            <a:endParaRPr lang="en-US" sz="1600" b="1"/>
          </a:p>
        </c:rich>
      </c:tx>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'Exec-Legal'!$A$17</c:f>
              <c:strCache>
                <c:ptCount val="1"/>
                <c:pt idx="0">
                  <c:v>General Fund</c:v>
                </c:pt>
              </c:strCache>
            </c:strRef>
          </c:tx>
          <c:spPr>
            <a:ln w="28575" cap="rnd">
              <a:solidFill>
                <a:sysClr val="windowText" lastClr="000000"/>
              </a:solidFill>
              <a:round/>
            </a:ln>
            <a:effectLst/>
          </c:spPr>
          <c:marker>
            <c:symbol val="none"/>
          </c:marker>
          <c:cat>
            <c:numRef>
              <c:f>'Exec-Legal'!$B$16:$M$16</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'Exec-Legal'!$B$17:$M$17</c:f>
              <c:numCache>
                <c:formatCode>_("$"* #,##0_);_("$"* \(#,##0\);_("$"* "-"??_);_(@_)</c:formatCode>
                <c:ptCount val="11"/>
                <c:pt idx="0">
                  <c:v>2657798</c:v>
                </c:pt>
                <c:pt idx="1">
                  <c:v>2441267</c:v>
                </c:pt>
                <c:pt idx="2">
                  <c:v>2410390</c:v>
                </c:pt>
                <c:pt idx="3">
                  <c:v>2301591</c:v>
                </c:pt>
                <c:pt idx="4">
                  <c:v>2506070</c:v>
                </c:pt>
                <c:pt idx="5">
                  <c:v>2910948</c:v>
                </c:pt>
                <c:pt idx="6">
                  <c:v>2049717</c:v>
                </c:pt>
                <c:pt idx="7">
                  <c:v>3293352</c:v>
                </c:pt>
                <c:pt idx="8">
                  <c:v>4572991</c:v>
                </c:pt>
                <c:pt idx="9">
                  <c:v>5185874</c:v>
                </c:pt>
                <c:pt idx="10">
                  <c:v>3975103</c:v>
                </c:pt>
              </c:numCache>
            </c:numRef>
          </c:val>
          <c:smooth val="0"/>
          <c:extLst>
            <c:ext xmlns:c16="http://schemas.microsoft.com/office/drawing/2014/chart" uri="{C3380CC4-5D6E-409C-BE32-E72D297353CC}">
              <c16:uniqueId val="{00000000-DEE6-4F0B-A284-3F55087C153F}"/>
            </c:ext>
          </c:extLst>
        </c:ser>
        <c:ser>
          <c:idx val="3"/>
          <c:order val="3"/>
          <c:tx>
            <c:strRef>
              <c:f>'Exec-Legal'!$A$20</c:f>
              <c:strCache>
                <c:ptCount val="1"/>
                <c:pt idx="0">
                  <c:v>Special Revenue Funds</c:v>
                </c:pt>
              </c:strCache>
              <c:extLst xmlns:c15="http://schemas.microsoft.com/office/drawing/2012/chart"/>
            </c:strRef>
          </c:tx>
          <c:spPr>
            <a:ln w="28575" cap="rnd">
              <a:solidFill>
                <a:srgbClr val="996633"/>
              </a:solidFill>
              <a:round/>
            </a:ln>
            <a:effectLst/>
          </c:spPr>
          <c:marker>
            <c:symbol val="none"/>
          </c:marker>
          <c:cat>
            <c:numRef>
              <c:f>'Exec-Legal'!$B$16:$M$16</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extLst xmlns:c15="http://schemas.microsoft.com/office/drawing/2012/chart"/>
            </c:numRef>
          </c:cat>
          <c:val>
            <c:numRef>
              <c:f>'Exec-Legal'!$B$20:$M$20</c:f>
              <c:numCache>
                <c:formatCode>_("$"* #,##0_);_("$"* \(#,##0\);_("$"* "-"??_);_(@_)</c:formatCode>
                <c:ptCount val="11"/>
                <c:pt idx="0">
                  <c:v>458374</c:v>
                </c:pt>
                <c:pt idx="1">
                  <c:v>224222</c:v>
                </c:pt>
                <c:pt idx="2">
                  <c:v>391874</c:v>
                </c:pt>
                <c:pt idx="3">
                  <c:v>240077</c:v>
                </c:pt>
                <c:pt idx="4">
                  <c:v>293278</c:v>
                </c:pt>
                <c:pt idx="5">
                  <c:v>458233</c:v>
                </c:pt>
                <c:pt idx="6">
                  <c:v>288080</c:v>
                </c:pt>
                <c:pt idx="7">
                  <c:v>356494</c:v>
                </c:pt>
                <c:pt idx="8">
                  <c:v>393939</c:v>
                </c:pt>
                <c:pt idx="9">
                  <c:v>1762003</c:v>
                </c:pt>
                <c:pt idx="10">
                  <c:v>883133</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3-DEE6-4F0B-A284-3F55087C153F}"/>
            </c:ext>
          </c:extLst>
        </c:ser>
        <c:ser>
          <c:idx val="5"/>
          <c:order val="5"/>
          <c:tx>
            <c:strRef>
              <c:f>'Exec-Legal'!$A$22</c:f>
              <c:strCache>
                <c:ptCount val="1"/>
                <c:pt idx="0">
                  <c:v>Total City Budget Expenditures</c:v>
                </c:pt>
              </c:strCache>
            </c:strRef>
          </c:tx>
          <c:spPr>
            <a:ln w="28575" cap="rnd">
              <a:solidFill>
                <a:srgbClr val="FF0000"/>
              </a:solidFill>
              <a:round/>
            </a:ln>
            <a:effectLst/>
          </c:spPr>
          <c:marker>
            <c:symbol val="none"/>
          </c:marker>
          <c:cat>
            <c:numRef>
              <c:f>'Exec-Legal'!$B$16:$M$16</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'Exec-Legal'!$B$22:$M$22</c:f>
              <c:numCache>
                <c:formatCode>_("$"* #,##0_);_("$"* \(#,##0\);_("$"* "-"??_);_(@_)</c:formatCode>
                <c:ptCount val="11"/>
                <c:pt idx="0">
                  <c:v>3116172</c:v>
                </c:pt>
                <c:pt idx="1">
                  <c:v>2665489</c:v>
                </c:pt>
                <c:pt idx="2">
                  <c:v>2802264</c:v>
                </c:pt>
                <c:pt idx="3">
                  <c:v>2541668</c:v>
                </c:pt>
                <c:pt idx="4">
                  <c:v>2799348</c:v>
                </c:pt>
                <c:pt idx="5">
                  <c:v>3369181</c:v>
                </c:pt>
                <c:pt idx="6">
                  <c:v>2337797</c:v>
                </c:pt>
                <c:pt idx="7">
                  <c:v>3649846</c:v>
                </c:pt>
                <c:pt idx="8">
                  <c:v>4966930</c:v>
                </c:pt>
                <c:pt idx="9">
                  <c:v>6947877</c:v>
                </c:pt>
                <c:pt idx="10">
                  <c:v>4858236</c:v>
                </c:pt>
              </c:numCache>
            </c:numRef>
          </c:val>
          <c:smooth val="0"/>
          <c:extLst>
            <c:ext xmlns:c16="http://schemas.microsoft.com/office/drawing/2014/chart" uri="{C3380CC4-5D6E-409C-BE32-E72D297353CC}">
              <c16:uniqueId val="{00000005-DEE6-4F0B-A284-3F55087C153F}"/>
            </c:ext>
          </c:extLst>
        </c:ser>
        <c:dLbls>
          <c:showLegendKey val="0"/>
          <c:showVal val="0"/>
          <c:showCatName val="0"/>
          <c:showSerName val="0"/>
          <c:showPercent val="0"/>
          <c:showBubbleSize val="0"/>
        </c:dLbls>
        <c:smooth val="0"/>
        <c:axId val="607211000"/>
        <c:axId val="607204440"/>
        <c:extLst>
          <c:ext xmlns:c15="http://schemas.microsoft.com/office/drawing/2012/chart" uri="{02D57815-91ED-43cb-92C2-25804820EDAC}">
            <c15:filteredLineSeries>
              <c15:ser>
                <c:idx val="1"/>
                <c:order val="1"/>
                <c:tx>
                  <c:strRef>
                    <c:extLst>
                      <c:ext uri="{02D57815-91ED-43cb-92C2-25804820EDAC}">
                        <c15:formulaRef>
                          <c15:sqref>'Exec-Legal'!$A$18</c15:sqref>
                        </c15:formulaRef>
                      </c:ext>
                    </c:extLst>
                    <c:strCache>
                      <c:ptCount val="1"/>
                      <c:pt idx="0">
                        <c:v>Internal Service Funds</c:v>
                      </c:pt>
                    </c:strCache>
                  </c:strRef>
                </c:tx>
                <c:spPr>
                  <a:ln w="28575" cap="rnd">
                    <a:solidFill>
                      <a:schemeClr val="accent2"/>
                    </a:solidFill>
                    <a:round/>
                  </a:ln>
                  <a:effectLst/>
                </c:spPr>
                <c:marker>
                  <c:symbol val="none"/>
                </c:marker>
                <c:cat>
                  <c:numRef>
                    <c:extLst>
                      <c:ext uri="{02D57815-91ED-43cb-92C2-25804820EDAC}">
                        <c15:formulaRef>
                          <c15:sqref>'Exec-Legal'!$B$16:$M$16</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'Exec-Legal'!$B$18:$M$18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1-DEE6-4F0B-A284-3F55087C153F}"/>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'Exec-Legal'!$A$19</c15:sqref>
                        </c15:formulaRef>
                      </c:ext>
                    </c:extLst>
                    <c:strCache>
                      <c:ptCount val="1"/>
                      <c:pt idx="0">
                        <c:v>Enterprise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'Exec-Legal'!$B$16:$M$16</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'Exec-Legal'!$B$19:$M$19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2-DEE6-4F0B-A284-3F55087C153F}"/>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'Exec-Legal'!$A$21</c15:sqref>
                        </c15:formulaRef>
                      </c:ext>
                    </c:extLst>
                    <c:strCache>
                      <c:ptCount val="1"/>
                    </c:strCache>
                  </c:strRef>
                </c:tx>
                <c:spPr>
                  <a:ln w="28575" cap="rnd">
                    <a:solidFill>
                      <a:sysClr val="windowText" lastClr="000000"/>
                    </a:solidFill>
                    <a:round/>
                  </a:ln>
                  <a:effectLst/>
                </c:spPr>
                <c:marker>
                  <c:symbol val="none"/>
                </c:marker>
                <c:cat>
                  <c:numRef>
                    <c:extLst xmlns:c15="http://schemas.microsoft.com/office/drawing/2012/chart">
                      <c:ext xmlns:c15="http://schemas.microsoft.com/office/drawing/2012/chart" uri="{02D57815-91ED-43cb-92C2-25804820EDAC}">
                        <c15:formulaRef>
                          <c15:sqref>'Exec-Legal'!$B$16:$M$16</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'Exec-Legal'!$B$21:$M$21</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4-DEE6-4F0B-A284-3F55087C153F}"/>
                  </c:ext>
                </c:extLst>
              </c15:ser>
            </c15:filteredLineSeries>
          </c:ext>
        </c:extLst>
      </c:lineChart>
      <c:catAx>
        <c:axId val="607211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204440"/>
        <c:crosses val="autoZero"/>
        <c:auto val="1"/>
        <c:lblAlgn val="ctr"/>
        <c:lblOffset val="100"/>
        <c:noMultiLvlLbl val="0"/>
      </c:catAx>
      <c:valAx>
        <c:axId val="60720444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2110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ysClr val="window" lastClr="FFFFFF"/>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b="1"/>
              <a:t>Executive &amp; Legal - Expenditures per Capita</a:t>
            </a:r>
          </a:p>
        </c:rich>
      </c:tx>
      <c:overlay val="0"/>
      <c:spPr>
        <a:noFill/>
        <a:ln>
          <a:noFill/>
        </a:ln>
        <a:effectLst/>
      </c:spPr>
    </c:title>
    <c:autoTitleDeleted val="0"/>
    <c:plotArea>
      <c:layout/>
      <c:lineChart>
        <c:grouping val="standard"/>
        <c:varyColors val="0"/>
        <c:ser>
          <c:idx val="1"/>
          <c:order val="0"/>
          <c:tx>
            <c:strRef>
              <c:f>'Exec-Legal'!$A$26</c:f>
              <c:strCache>
                <c:ptCount val="1"/>
                <c:pt idx="0">
                  <c:v>Expenditures per Capita</c:v>
                </c:pt>
              </c:strCache>
            </c:strRef>
          </c:tx>
          <c:spPr>
            <a:ln>
              <a:solidFill>
                <a:srgbClr val="FF0000"/>
              </a:solidFill>
            </a:ln>
          </c:spPr>
          <c:marker>
            <c:symbol val="none"/>
          </c:marker>
          <c:cat>
            <c:numRef>
              <c:f>'Exec-Legal'!$B$25:$M$25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'Exec-Legal'!$B$26:$M$26</c:f>
              <c:numCache>
                <c:formatCode>_("$"* #,##0.00_);_("$"* \(#,##0.00\);_("$"* "-"??_);_(@_)</c:formatCode>
                <c:ptCount val="11"/>
                <c:pt idx="0">
                  <c:v>49.336183148095373</c:v>
                </c:pt>
                <c:pt idx="1">
                  <c:v>39.347657287945438</c:v>
                </c:pt>
                <c:pt idx="2">
                  <c:v>40.753683047076102</c:v>
                </c:pt>
                <c:pt idx="3">
                  <c:v>36.654619921835568</c:v>
                </c:pt>
                <c:pt idx="4">
                  <c:v>39.780417791672591</c:v>
                </c:pt>
                <c:pt idx="5">
                  <c:v>47.43521477747899</c:v>
                </c:pt>
                <c:pt idx="6">
                  <c:v>31.841419231816943</c:v>
                </c:pt>
                <c:pt idx="7">
                  <c:v>49.06696242522014</c:v>
                </c:pt>
                <c:pt idx="8">
                  <c:v>65.492220464135016</c:v>
                </c:pt>
                <c:pt idx="9">
                  <c:v>89.926186223499258</c:v>
                </c:pt>
                <c:pt idx="10">
                  <c:v>61.512230944542921</c:v>
                </c:pt>
              </c:numCache>
            </c:numRef>
          </c:val>
          <c:smooth val="0"/>
          <c:extLst>
            <c:ext xmlns:c16="http://schemas.microsoft.com/office/drawing/2014/chart" uri="{C3380CC4-5D6E-409C-BE32-E72D297353CC}">
              <c16:uniqueId val="{00000002-6FB2-4C39-B0A1-2D2064BEA76D}"/>
            </c:ext>
          </c:extLst>
        </c:ser>
        <c:dLbls>
          <c:showLegendKey val="0"/>
          <c:showVal val="0"/>
          <c:showCatName val="0"/>
          <c:showSerName val="0"/>
          <c:showPercent val="0"/>
          <c:showBubbleSize val="0"/>
        </c:dLbls>
        <c:smooth val="0"/>
        <c:axId val="412368672"/>
        <c:axId val="412371296"/>
      </c:lineChart>
      <c:catAx>
        <c:axId val="412368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2371296"/>
        <c:crosses val="autoZero"/>
        <c:auto val="1"/>
        <c:lblAlgn val="ctr"/>
        <c:lblOffset val="100"/>
        <c:noMultiLvlLbl val="0"/>
      </c:catAx>
      <c:valAx>
        <c:axId val="41237129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2368672"/>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b="1"/>
              <a:t>Executive &amp; Legal - Expenditures per FTE</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'Exec-Legal'!$A$29</c:f>
              <c:strCache>
                <c:ptCount val="1"/>
                <c:pt idx="0">
                  <c:v>Expenditures per FTE</c:v>
                </c:pt>
              </c:strCache>
            </c:strRef>
          </c:tx>
          <c:spPr>
            <a:ln w="28575" cap="rnd">
              <a:solidFill>
                <a:srgbClr val="FF0000"/>
              </a:solidFill>
              <a:round/>
            </a:ln>
            <a:effectLst/>
          </c:spPr>
          <c:marker>
            <c:symbol val="none"/>
          </c:marker>
          <c:cat>
            <c:numRef>
              <c:f>'Exec-Legal'!$B$25:$M$25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'Exec-Legal'!$B$29:$M$29</c:f>
              <c:numCache>
                <c:formatCode>_("$"* #,##0_);_("$"* \(#,##0\);_("$"* "-"??_);_(@_)</c:formatCode>
                <c:ptCount val="11"/>
                <c:pt idx="0">
                  <c:v>160592.0241691843</c:v>
                </c:pt>
                <c:pt idx="1">
                  <c:v>160083.0819672131</c:v>
                </c:pt>
                <c:pt idx="2">
                  <c:v>148331.69230769231</c:v>
                </c:pt>
                <c:pt idx="3">
                  <c:v>143849.4375</c:v>
                </c:pt>
                <c:pt idx="4">
                  <c:v>151424.16918429002</c:v>
                </c:pt>
                <c:pt idx="5">
                  <c:v>159504</c:v>
                </c:pt>
                <c:pt idx="6">
                  <c:v>107258.86970172684</c:v>
                </c:pt>
                <c:pt idx="7">
                  <c:v>157803.16243411598</c:v>
                </c:pt>
                <c:pt idx="8">
                  <c:v>220650.95295536789</c:v>
                </c:pt>
                <c:pt idx="9">
                  <c:v>207642.60260260259</c:v>
                </c:pt>
                <c:pt idx="10">
                  <c:v>159163.28328328326</c:v>
                </c:pt>
              </c:numCache>
            </c:numRef>
          </c:val>
          <c:smooth val="0"/>
          <c:extLst>
            <c:ext xmlns:c16="http://schemas.microsoft.com/office/drawing/2014/chart" uri="{C3380CC4-5D6E-409C-BE32-E72D297353CC}">
              <c16:uniqueId val="{00000000-A1D3-4C3A-8219-476CCECAD737}"/>
            </c:ext>
          </c:extLst>
        </c:ser>
        <c:dLbls>
          <c:showLegendKey val="0"/>
          <c:showVal val="0"/>
          <c:showCatName val="0"/>
          <c:showSerName val="0"/>
          <c:showPercent val="0"/>
          <c:showBubbleSize val="0"/>
        </c:dLbls>
        <c:smooth val="0"/>
        <c:axId val="412368672"/>
        <c:axId val="412371296"/>
      </c:lineChart>
      <c:catAx>
        <c:axId val="412368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2371296"/>
        <c:crosses val="autoZero"/>
        <c:auto val="1"/>
        <c:lblAlgn val="ctr"/>
        <c:lblOffset val="100"/>
        <c:noMultiLvlLbl val="0"/>
      </c:catAx>
      <c:valAx>
        <c:axId val="41237129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2368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City</a:t>
            </a:r>
            <a:r>
              <a:rPr lang="en-US" sz="1800" b="1" baseline="0"/>
              <a:t> Manager - Total Expenditures</a:t>
            </a:r>
            <a:endParaRPr lang="en-US" sz="1800" b="1"/>
          </a:p>
        </c:rich>
      </c:tx>
      <c:overlay val="0"/>
      <c:spPr>
        <a:noFill/>
        <a:ln>
          <a:noFill/>
        </a:ln>
        <a:effectLst/>
      </c:spPr>
    </c:title>
    <c:autoTitleDeleted val="0"/>
    <c:plotArea>
      <c:layout/>
      <c:lineChart>
        <c:grouping val="standard"/>
        <c:varyColors val="0"/>
        <c:ser>
          <c:idx val="8"/>
          <c:order val="0"/>
          <c:tx>
            <c:strRef>
              <c:f>'City Manager only'!$A$20</c:f>
              <c:strCache>
                <c:ptCount val="1"/>
                <c:pt idx="0">
                  <c:v>Total City Budget Expenditures</c:v>
                </c:pt>
              </c:strCache>
            </c:strRef>
          </c:tx>
          <c:spPr>
            <a:ln>
              <a:solidFill>
                <a:srgbClr val="FF0000"/>
              </a:solidFill>
            </a:ln>
          </c:spPr>
          <c:marker>
            <c:symbol val="none"/>
          </c:marker>
          <c:cat>
            <c:numRef>
              <c:f>'City Manager only'!$B$48:$L$48</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'City Manager only'!$B$50:$L$50</c:f>
              <c:numCache>
                <c:formatCode>_("$"* #,##0_);_("$"* \(#,##0\);_("$"* "-"??_);_(@_)</c:formatCode>
                <c:ptCount val="11"/>
                <c:pt idx="0">
                  <c:v>645757</c:v>
                </c:pt>
                <c:pt idx="1">
                  <c:v>477688</c:v>
                </c:pt>
                <c:pt idx="2">
                  <c:v>442282</c:v>
                </c:pt>
                <c:pt idx="3">
                  <c:v>417665</c:v>
                </c:pt>
                <c:pt idx="4">
                  <c:v>468560</c:v>
                </c:pt>
                <c:pt idx="5">
                  <c:v>528795</c:v>
                </c:pt>
                <c:pt idx="6">
                  <c:v>579320</c:v>
                </c:pt>
                <c:pt idx="7">
                  <c:v>674449</c:v>
                </c:pt>
                <c:pt idx="8">
                  <c:v>994807</c:v>
                </c:pt>
                <c:pt idx="9">
                  <c:v>1122189</c:v>
                </c:pt>
                <c:pt idx="10">
                  <c:v>924368</c:v>
                </c:pt>
              </c:numCache>
            </c:numRef>
          </c:val>
          <c:smooth val="0"/>
          <c:extLst>
            <c:ext xmlns:c16="http://schemas.microsoft.com/office/drawing/2014/chart" uri="{C3380CC4-5D6E-409C-BE32-E72D297353CC}">
              <c16:uniqueId val="{00000059-8310-4DF9-9D1D-2FBDF20B6250}"/>
            </c:ext>
          </c:extLst>
        </c:ser>
        <c:dLbls>
          <c:showLegendKey val="0"/>
          <c:showVal val="0"/>
          <c:showCatName val="0"/>
          <c:showSerName val="0"/>
          <c:showPercent val="0"/>
          <c:showBubbleSize val="0"/>
        </c:dLbls>
        <c:smooth val="0"/>
        <c:axId val="607682672"/>
        <c:axId val="607680704"/>
        <c:extLst/>
      </c:lineChart>
      <c:catAx>
        <c:axId val="607682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80704"/>
        <c:crosses val="autoZero"/>
        <c:auto val="1"/>
        <c:lblAlgn val="ctr"/>
        <c:lblOffset val="100"/>
        <c:noMultiLvlLbl val="0"/>
      </c:catAx>
      <c:valAx>
        <c:axId val="60768070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82672"/>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b="1"/>
              <a:t>Total City -  Revenues per Capita</a:t>
            </a:r>
          </a:p>
        </c:rich>
      </c:tx>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'All Depts'!$A$20</c:f>
              <c:strCache>
                <c:ptCount val="1"/>
                <c:pt idx="0">
                  <c:v>General Fund</c:v>
                </c:pt>
              </c:strCache>
            </c:strRef>
          </c:tx>
          <c:spPr>
            <a:ln w="28575" cap="rnd">
              <a:solidFill>
                <a:schemeClr val="tx1"/>
              </a:solidFill>
              <a:round/>
            </a:ln>
            <a:effectLst/>
          </c:spPr>
          <c:marker>
            <c:symbol val="none"/>
          </c:marker>
          <c:cat>
            <c:numRef>
              <c:f>'All Depts'!$B$19:$L$19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Depts'!$B$20:$L$20</c:f>
              <c:numCache>
                <c:formatCode>_("$"* #,##0_);_("$"* \(#,##0\);_("$"* "-"??_);_(@_)</c:formatCode>
                <c:ptCount val="11"/>
                <c:pt idx="0">
                  <c:v>978.17904752857726</c:v>
                </c:pt>
                <c:pt idx="1">
                  <c:v>955.57121136075114</c:v>
                </c:pt>
                <c:pt idx="2">
                  <c:v>978.03360916798772</c:v>
                </c:pt>
                <c:pt idx="3">
                  <c:v>1024.3519995385125</c:v>
                </c:pt>
                <c:pt idx="4">
                  <c:v>1064.6987778883047</c:v>
                </c:pt>
                <c:pt idx="5">
                  <c:v>1178.7887282301097</c:v>
                </c:pt>
                <c:pt idx="6">
                  <c:v>1192.3396758376464</c:v>
                </c:pt>
                <c:pt idx="7">
                  <c:v>1208.2635074275727</c:v>
                </c:pt>
                <c:pt idx="8">
                  <c:v>1269.6997758438818</c:v>
                </c:pt>
                <c:pt idx="9">
                  <c:v>1309.6941057699776</c:v>
                </c:pt>
                <c:pt idx="10">
                  <c:v>1191.9497847556343</c:v>
                </c:pt>
              </c:numCache>
            </c:numRef>
          </c:val>
          <c:smooth val="0"/>
          <c:extLst>
            <c:ext xmlns:c16="http://schemas.microsoft.com/office/drawing/2014/chart" uri="{C3380CC4-5D6E-409C-BE32-E72D297353CC}">
              <c16:uniqueId val="{00000000-7CCE-43EC-A4E9-270B083F4224}"/>
            </c:ext>
          </c:extLst>
        </c:ser>
        <c:ser>
          <c:idx val="1"/>
          <c:order val="1"/>
          <c:tx>
            <c:strRef>
              <c:f>'All Depts'!$A$21</c:f>
              <c:strCache>
                <c:ptCount val="1"/>
                <c:pt idx="0">
                  <c:v>Internal Service Funds</c:v>
                </c:pt>
              </c:strCache>
            </c:strRef>
          </c:tx>
          <c:spPr>
            <a:ln w="28575" cap="rnd">
              <a:solidFill>
                <a:schemeClr val="accent6"/>
              </a:solidFill>
              <a:round/>
            </a:ln>
            <a:effectLst/>
          </c:spPr>
          <c:marker>
            <c:symbol val="none"/>
          </c:marker>
          <c:cat>
            <c:numRef>
              <c:f>'All Depts'!$B$19:$L$19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Depts'!$B$21:$L$21</c:f>
              <c:numCache>
                <c:formatCode>_("$"* #,##0_);_("$"* \(#,##0\);_("$"* "-"??_);_(@_)</c:formatCode>
                <c:ptCount val="11"/>
                <c:pt idx="0">
                  <c:v>262.20203603432441</c:v>
                </c:pt>
                <c:pt idx="1">
                  <c:v>247.26382451064333</c:v>
                </c:pt>
                <c:pt idx="2">
                  <c:v>248.55162083157603</c:v>
                </c:pt>
                <c:pt idx="3">
                  <c:v>235.92833965474972</c:v>
                </c:pt>
                <c:pt idx="4">
                  <c:v>237.50964899815261</c:v>
                </c:pt>
                <c:pt idx="5">
                  <c:v>244.595435538598</c:v>
                </c:pt>
                <c:pt idx="6">
                  <c:v>265.70058567147919</c:v>
                </c:pt>
                <c:pt idx="7">
                  <c:v>342.39245815688645</c:v>
                </c:pt>
                <c:pt idx="8">
                  <c:v>320.85915084388188</c:v>
                </c:pt>
                <c:pt idx="9">
                  <c:v>355.75839351815898</c:v>
                </c:pt>
                <c:pt idx="10">
                  <c:v>361.51276272474047</c:v>
                </c:pt>
              </c:numCache>
            </c:numRef>
          </c:val>
          <c:smooth val="0"/>
          <c:extLst>
            <c:ext xmlns:c16="http://schemas.microsoft.com/office/drawing/2014/chart" uri="{C3380CC4-5D6E-409C-BE32-E72D297353CC}">
              <c16:uniqueId val="{00000001-7CCE-43EC-A4E9-270B083F4224}"/>
            </c:ext>
          </c:extLst>
        </c:ser>
        <c:ser>
          <c:idx val="2"/>
          <c:order val="2"/>
          <c:tx>
            <c:strRef>
              <c:f>'All Depts'!$A$22</c:f>
              <c:strCache>
                <c:ptCount val="1"/>
                <c:pt idx="0">
                  <c:v>Enterprise Funds</c:v>
                </c:pt>
              </c:strCache>
            </c:strRef>
          </c:tx>
          <c:spPr>
            <a:ln w="28575" cap="rnd">
              <a:solidFill>
                <a:srgbClr val="6666FF"/>
              </a:solidFill>
              <a:round/>
            </a:ln>
            <a:effectLst/>
          </c:spPr>
          <c:marker>
            <c:symbol val="none"/>
          </c:marker>
          <c:cat>
            <c:numRef>
              <c:f>'All Depts'!$B$19:$L$19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Depts'!$B$22:$L$22</c:f>
              <c:numCache>
                <c:formatCode>_("$"* #,##0_);_("$"* \(#,##0\);_("$"* "-"??_);_(@_)</c:formatCode>
                <c:ptCount val="11"/>
                <c:pt idx="0">
                  <c:v>1205.243690826763</c:v>
                </c:pt>
                <c:pt idx="1">
                  <c:v>1161.2415045319005</c:v>
                </c:pt>
                <c:pt idx="2">
                  <c:v>1317.495455272611</c:v>
                </c:pt>
                <c:pt idx="3">
                  <c:v>1297.443676901112</c:v>
                </c:pt>
                <c:pt idx="4">
                  <c:v>1429.3142532329118</c:v>
                </c:pt>
                <c:pt idx="5">
                  <c:v>1572.8109310543878</c:v>
                </c:pt>
                <c:pt idx="6">
                  <c:v>1787.0318850449469</c:v>
                </c:pt>
                <c:pt idx="7">
                  <c:v>1780.1169859514687</c:v>
                </c:pt>
                <c:pt idx="8">
                  <c:v>1904.7605748945148</c:v>
                </c:pt>
                <c:pt idx="9">
                  <c:v>2064.0401361600789</c:v>
                </c:pt>
                <c:pt idx="10">
                  <c:v>2238.3420106356039</c:v>
                </c:pt>
              </c:numCache>
            </c:numRef>
          </c:val>
          <c:smooth val="0"/>
          <c:extLst>
            <c:ext xmlns:c16="http://schemas.microsoft.com/office/drawing/2014/chart" uri="{C3380CC4-5D6E-409C-BE32-E72D297353CC}">
              <c16:uniqueId val="{00000002-7CCE-43EC-A4E9-270B083F4224}"/>
            </c:ext>
          </c:extLst>
        </c:ser>
        <c:ser>
          <c:idx val="3"/>
          <c:order val="3"/>
          <c:tx>
            <c:strRef>
              <c:f>'All Depts'!$A$23</c:f>
              <c:strCache>
                <c:ptCount val="1"/>
                <c:pt idx="0">
                  <c:v>Special Revenue Funds</c:v>
                </c:pt>
              </c:strCache>
            </c:strRef>
          </c:tx>
          <c:spPr>
            <a:ln w="28575" cap="rnd">
              <a:solidFill>
                <a:srgbClr val="996633"/>
              </a:solidFill>
              <a:round/>
            </a:ln>
            <a:effectLst/>
          </c:spPr>
          <c:marker>
            <c:symbol val="none"/>
          </c:marker>
          <c:cat>
            <c:numRef>
              <c:f>'All Depts'!$B$19:$L$19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Depts'!$B$23:$L$23</c:f>
              <c:numCache>
                <c:formatCode>_("$"* #,##0_);_("$"* \(#,##0\);_("$"* "-"??_);_(@_)</c:formatCode>
                <c:ptCount val="11"/>
                <c:pt idx="0">
                  <c:v>332.07827491213072</c:v>
                </c:pt>
                <c:pt idx="1">
                  <c:v>432.35151014141888</c:v>
                </c:pt>
                <c:pt idx="2">
                  <c:v>539.20297843254173</c:v>
                </c:pt>
                <c:pt idx="3">
                  <c:v>370.87470616229933</c:v>
                </c:pt>
                <c:pt idx="4">
                  <c:v>462.45489555208184</c:v>
                </c:pt>
                <c:pt idx="5">
                  <c:v>535.67817872076819</c:v>
                </c:pt>
                <c:pt idx="6">
                  <c:v>500.03503132661399</c:v>
                </c:pt>
                <c:pt idx="7">
                  <c:v>542.12173153189485</c:v>
                </c:pt>
                <c:pt idx="8">
                  <c:v>800.86106276371311</c:v>
                </c:pt>
                <c:pt idx="9">
                  <c:v>1450.5776190106392</c:v>
                </c:pt>
                <c:pt idx="10">
                  <c:v>652.88576854899975</c:v>
                </c:pt>
              </c:numCache>
            </c:numRef>
          </c:val>
          <c:smooth val="0"/>
          <c:extLst>
            <c:ext xmlns:c16="http://schemas.microsoft.com/office/drawing/2014/chart" uri="{C3380CC4-5D6E-409C-BE32-E72D297353CC}">
              <c16:uniqueId val="{00000003-7CCE-43EC-A4E9-270B083F4224}"/>
            </c:ext>
          </c:extLst>
        </c:ser>
        <c:dLbls>
          <c:showLegendKey val="0"/>
          <c:showVal val="0"/>
          <c:showCatName val="0"/>
          <c:showSerName val="0"/>
          <c:showPercent val="0"/>
          <c:showBubbleSize val="0"/>
        </c:dLbls>
        <c:smooth val="0"/>
        <c:axId val="610502640"/>
        <c:axId val="610502968"/>
      </c:lineChart>
      <c:catAx>
        <c:axId val="610502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0502968"/>
        <c:crosses val="autoZero"/>
        <c:auto val="1"/>
        <c:lblAlgn val="ctr"/>
        <c:lblOffset val="100"/>
        <c:noMultiLvlLbl val="0"/>
      </c:catAx>
      <c:valAx>
        <c:axId val="61050296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05026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City</a:t>
            </a:r>
            <a:r>
              <a:rPr lang="en-US" sz="1800" b="1" baseline="0"/>
              <a:t> Manager - Total Revenues</a:t>
            </a:r>
            <a:endParaRPr lang="en-US"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096862000666465"/>
          <c:y val="0.10916850625459898"/>
          <c:w val="0.87810888831478096"/>
          <c:h val="0.75522182243775815"/>
        </c:manualLayout>
      </c:layout>
      <c:lineChart>
        <c:grouping val="standard"/>
        <c:varyColors val="0"/>
        <c:ser>
          <c:idx val="6"/>
          <c:order val="5"/>
          <c:tx>
            <c:strRef>
              <c:f>'City Manager only'!$A$12</c:f>
              <c:strCache>
                <c:ptCount val="1"/>
                <c:pt idx="0">
                  <c:v>Total City Budget Revenues</c:v>
                </c:pt>
              </c:strCache>
            </c:strRef>
          </c:tx>
          <c:spPr>
            <a:ln w="28575" cap="rnd">
              <a:solidFill>
                <a:srgbClr val="009900"/>
              </a:solidFill>
              <a:round/>
            </a:ln>
            <a:effectLst/>
          </c:spPr>
          <c:marker>
            <c:symbol val="none"/>
          </c:marker>
          <c:cat>
            <c:numRef>
              <c:f>'City Manager only'!$B$5:$L$5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'City Manager only'!$B$12:$L$12</c:f>
              <c:numCache>
                <c:formatCode>_("$"* #,##0_);_("$"* \(#,##0\);_("$"* "-"??_);_(@_)</c:formatCode>
                <c:ptCount val="11"/>
                <c:pt idx="0">
                  <c:v>0</c:v>
                </c:pt>
                <c:pt idx="1">
                  <c:v>0</c:v>
                </c:pt>
                <c:pt idx="2">
                  <c:v>0</c:v>
                </c:pt>
                <c:pt idx="3">
                  <c:v>0</c:v>
                </c:pt>
                <c:pt idx="4">
                  <c:v>247241</c:v>
                </c:pt>
                <c:pt idx="5">
                  <c:v>327890</c:v>
                </c:pt>
                <c:pt idx="6">
                  <c:v>368608</c:v>
                </c:pt>
                <c:pt idx="7">
                  <c:v>416531</c:v>
                </c:pt>
                <c:pt idx="8">
                  <c:v>557768</c:v>
                </c:pt>
                <c:pt idx="9">
                  <c:v>699857</c:v>
                </c:pt>
                <c:pt idx="10">
                  <c:v>0</c:v>
                </c:pt>
              </c:numCache>
            </c:numRef>
          </c:val>
          <c:smooth val="0"/>
          <c:extLst>
            <c:ext xmlns:c16="http://schemas.microsoft.com/office/drawing/2014/chart" uri="{C3380CC4-5D6E-409C-BE32-E72D297353CC}">
              <c16:uniqueId val="{00000000-F7F5-49DC-B9EE-82FA70759ECF}"/>
            </c:ext>
          </c:extLst>
        </c:ser>
        <c:dLbls>
          <c:showLegendKey val="0"/>
          <c:showVal val="0"/>
          <c:showCatName val="0"/>
          <c:showSerName val="0"/>
          <c:showPercent val="0"/>
          <c:showBubbleSize val="0"/>
        </c:dLbls>
        <c:smooth val="0"/>
        <c:axId val="607682672"/>
        <c:axId val="607680704"/>
        <c:extLst>
          <c:ext xmlns:c15="http://schemas.microsoft.com/office/drawing/2012/chart" uri="{02D57815-91ED-43cb-92C2-25804820EDAC}">
            <c15:filteredLineSeries>
              <c15:ser>
                <c:idx val="0"/>
                <c:order val="0"/>
                <c:tx>
                  <c:strRef>
                    <c:extLst>
                      <c:ext uri="{02D57815-91ED-43cb-92C2-25804820EDAC}">
                        <c15:formulaRef>
                          <c15:sqref>'City Manager only'!$A$5</c15:sqref>
                        </c15:formulaRef>
                      </c:ext>
                    </c:extLst>
                    <c:strCache>
                      <c:ptCount val="1"/>
                    </c:strCache>
                  </c:strRef>
                </c:tx>
                <c:spPr>
                  <a:ln w="28575" cap="rnd">
                    <a:solidFill>
                      <a:schemeClr val="accent1"/>
                    </a:solidFill>
                    <a:round/>
                  </a:ln>
                  <a:effectLst/>
                </c:spPr>
                <c:marker>
                  <c:symbol val="none"/>
                </c:marker>
                <c:cat>
                  <c:numRef>
                    <c:extLst>
                      <c:ext uri="{02D57815-91ED-43cb-92C2-25804820EDAC}">
                        <c15:formulaRef>
                          <c15:sqref>'City Manager only'!$B$5:$L$5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'City Manager only'!$B$5:$L$5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val>
                <c:smooth val="0"/>
                <c:extLst>
                  <c:ext xmlns:c16="http://schemas.microsoft.com/office/drawing/2014/chart" uri="{C3380CC4-5D6E-409C-BE32-E72D297353CC}">
                    <c16:uniqueId val="{00000001-F7F5-49DC-B9EE-82FA70759ECF}"/>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'City Manager only'!$A$7</c15:sqref>
                        </c15:formulaRef>
                      </c:ext>
                    </c:extLst>
                    <c:strCache>
                      <c:ptCount val="1"/>
                      <c:pt idx="0">
                        <c:v>General Fund</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'City Manager only'!$B$5:$L$5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'City Manager only'!$B$7:$L$7</c15:sqref>
                        </c15:formulaRef>
                      </c:ext>
                    </c:extLst>
                    <c:numCache>
                      <c:formatCode>_("$"* #,##0_);_("$"* \(#,##0\);_("$"* "-"??_);_(@_)</c:formatCode>
                      <c:ptCount val="11"/>
                      <c:pt idx="0">
                        <c:v>0</c:v>
                      </c:pt>
                      <c:pt idx="1">
                        <c:v>0</c:v>
                      </c:pt>
                      <c:pt idx="2">
                        <c:v>0</c:v>
                      </c:pt>
                      <c:pt idx="3">
                        <c:v>0</c:v>
                      </c:pt>
                      <c:pt idx="4">
                        <c:v>247241</c:v>
                      </c:pt>
                      <c:pt idx="5">
                        <c:v>327890</c:v>
                      </c:pt>
                      <c:pt idx="6">
                        <c:v>368608</c:v>
                      </c:pt>
                      <c:pt idx="7">
                        <c:v>416531</c:v>
                      </c:pt>
                      <c:pt idx="8">
                        <c:v>557768</c:v>
                      </c:pt>
                      <c:pt idx="9">
                        <c:v>699857</c:v>
                      </c:pt>
                      <c:pt idx="10">
                        <c:v>0</c:v>
                      </c:pt>
                    </c:numCache>
                  </c:numRef>
                </c:val>
                <c:smooth val="0"/>
                <c:extLst xmlns:c15="http://schemas.microsoft.com/office/drawing/2012/chart">
                  <c:ext xmlns:c16="http://schemas.microsoft.com/office/drawing/2014/chart" uri="{C3380CC4-5D6E-409C-BE32-E72D297353CC}">
                    <c16:uniqueId val="{00000002-F7F5-49DC-B9EE-82FA70759ECF}"/>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'City Manager only'!$A$8</c15:sqref>
                        </c15:formulaRef>
                      </c:ext>
                    </c:extLst>
                    <c:strCache>
                      <c:ptCount val="1"/>
                      <c:pt idx="0">
                        <c:v>Internal Service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'City Manager only'!$B$5:$L$5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'City Manager only'!$B$8:$L$8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3-F7F5-49DC-B9EE-82FA70759ECF}"/>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'City Manager only'!$A$9</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'City Manager only'!$B$5:$L$5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'City Manager only'!$B$9:$L$9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4-F7F5-49DC-B9EE-82FA70759ECF}"/>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'City Manager only'!$A$10</c15:sqref>
                        </c15:formulaRef>
                      </c:ext>
                    </c:extLst>
                    <c:strCache>
                      <c:ptCount val="1"/>
                      <c:pt idx="0">
                        <c:v>Special Revenue Funds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'City Manager only'!$B$5:$L$5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'City Manager only'!$B$10:$L$10</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5-F7F5-49DC-B9EE-82FA70759ECF}"/>
                  </c:ext>
                </c:extLst>
              </c15:ser>
            </c15:filteredLineSeries>
          </c:ext>
        </c:extLst>
      </c:lineChart>
      <c:catAx>
        <c:axId val="607682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80704"/>
        <c:crosses val="autoZero"/>
        <c:auto val="1"/>
        <c:lblAlgn val="ctr"/>
        <c:lblOffset val="100"/>
        <c:noMultiLvlLbl val="0"/>
      </c:catAx>
      <c:valAx>
        <c:axId val="60768070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82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City Manager - Expenditures</a:t>
            </a:r>
            <a:r>
              <a:rPr lang="en-US" sz="1800" b="1" baseline="0"/>
              <a:t> per Capita</a:t>
            </a:r>
          </a:p>
        </c:rich>
      </c:tx>
      <c:overlay val="0"/>
      <c:spPr>
        <a:noFill/>
        <a:ln>
          <a:noFill/>
        </a:ln>
        <a:effectLst/>
      </c:spPr>
    </c:title>
    <c:autoTitleDeleted val="0"/>
    <c:plotArea>
      <c:layout/>
      <c:lineChart>
        <c:grouping val="standard"/>
        <c:varyColors val="0"/>
        <c:ser>
          <c:idx val="0"/>
          <c:order val="0"/>
          <c:tx>
            <c:strRef>
              <c:f>'City Manager only'!$A$24</c:f>
              <c:strCache>
                <c:ptCount val="1"/>
                <c:pt idx="0">
                  <c:v>Expenditures per Capita</c:v>
                </c:pt>
              </c:strCache>
            </c:strRef>
          </c:tx>
          <c:spPr>
            <a:ln>
              <a:solidFill>
                <a:srgbClr val="FF0000"/>
              </a:solidFill>
            </a:ln>
          </c:spPr>
          <c:marker>
            <c:symbol val="none"/>
          </c:marker>
          <c:cat>
            <c:numRef>
              <c:f>'City Manager only'!$B$23:$L$23</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'City Manager only'!$B$24:$L$24</c:f>
              <c:numCache>
                <c:formatCode>_("$"* #,##0.00_);_("$"* \(#,##0.00\);_("$"* "-"??_);_(@_)</c:formatCode>
                <c:ptCount val="11"/>
                <c:pt idx="0">
                  <c:v>10.223821284949812</c:v>
                </c:pt>
                <c:pt idx="1">
                  <c:v>7.0515780461161466</c:v>
                </c:pt>
                <c:pt idx="2">
                  <c:v>6.4321635810997515</c:v>
                </c:pt>
                <c:pt idx="3">
                  <c:v>6.0233483797464702</c:v>
                </c:pt>
                <c:pt idx="4">
                  <c:v>6.6585192553645021</c:v>
                </c:pt>
                <c:pt idx="5">
                  <c:v>7.444985709659707</c:v>
                </c:pt>
                <c:pt idx="6">
                  <c:v>7.8904930536638522</c:v>
                </c:pt>
                <c:pt idx="7">
                  <c:v>9.0670027559319752</c:v>
                </c:pt>
                <c:pt idx="8">
                  <c:v>13.117180907172996</c:v>
                </c:pt>
                <c:pt idx="9">
                  <c:v>14.524462219461055</c:v>
                </c:pt>
                <c:pt idx="10">
                  <c:v>11.703823752848823</c:v>
                </c:pt>
              </c:numCache>
            </c:numRef>
          </c:val>
          <c:smooth val="0"/>
          <c:extLst>
            <c:ext xmlns:c16="http://schemas.microsoft.com/office/drawing/2014/chart" uri="{C3380CC4-5D6E-409C-BE32-E72D297353CC}">
              <c16:uniqueId val="{00000008-7F1E-4B73-85DE-B6442DCBC952}"/>
            </c:ext>
          </c:extLst>
        </c:ser>
        <c:dLbls>
          <c:showLegendKey val="0"/>
          <c:showVal val="0"/>
          <c:showCatName val="0"/>
          <c:showSerName val="0"/>
          <c:showPercent val="0"/>
          <c:showBubbleSize val="0"/>
        </c:dLbls>
        <c:smooth val="0"/>
        <c:axId val="607682672"/>
        <c:axId val="607680704"/>
        <c:extLst/>
      </c:lineChart>
      <c:catAx>
        <c:axId val="607682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80704"/>
        <c:crosses val="autoZero"/>
        <c:auto val="1"/>
        <c:lblAlgn val="ctr"/>
        <c:lblOffset val="100"/>
        <c:noMultiLvlLbl val="0"/>
      </c:catAx>
      <c:valAx>
        <c:axId val="60768070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82672"/>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City Manager - Expenditures</a:t>
            </a:r>
            <a:r>
              <a:rPr lang="en-US" sz="1800" b="1" baseline="0"/>
              <a:t> per FTE</a:t>
            </a:r>
          </a:p>
        </c:rich>
      </c:tx>
      <c:overlay val="0"/>
      <c:spPr>
        <a:noFill/>
        <a:ln>
          <a:noFill/>
        </a:ln>
        <a:effectLst/>
      </c:spPr>
    </c:title>
    <c:autoTitleDeleted val="0"/>
    <c:plotArea>
      <c:layout/>
      <c:lineChart>
        <c:grouping val="standard"/>
        <c:varyColors val="0"/>
        <c:ser>
          <c:idx val="1"/>
          <c:order val="0"/>
          <c:tx>
            <c:strRef>
              <c:f>'City Manager only'!$A$27</c:f>
              <c:strCache>
                <c:ptCount val="1"/>
                <c:pt idx="0">
                  <c:v>Expenditures per FTE</c:v>
                </c:pt>
              </c:strCache>
            </c:strRef>
          </c:tx>
          <c:spPr>
            <a:ln>
              <a:solidFill>
                <a:srgbClr val="FF0000"/>
              </a:solidFill>
            </a:ln>
          </c:spPr>
          <c:marker>
            <c:symbol val="none"/>
          </c:marker>
          <c:cat>
            <c:numRef>
              <c:f>'City Manager only'!$B$26:$L$26</c:f>
              <c:numCache>
                <c:formatCode>General</c:formatCode>
                <c:ptCount val="11"/>
                <c:pt idx="0">
                  <c:v>2009</c:v>
                </c:pt>
                <c:pt idx="1">
                  <c:v>2010</c:v>
                </c:pt>
                <c:pt idx="2">
                  <c:v>2011</c:v>
                </c:pt>
                <c:pt idx="3">
                  <c:v>2012</c:v>
                </c:pt>
                <c:pt idx="4">
                  <c:v>2013</c:v>
                </c:pt>
                <c:pt idx="5">
                  <c:v>2014</c:v>
                </c:pt>
                <c:pt idx="6">
                  <c:v>2015</c:v>
                </c:pt>
                <c:pt idx="7">
                  <c:v>2016</c:v>
                </c:pt>
                <c:pt idx="8">
                  <c:v>2017</c:v>
                </c:pt>
                <c:pt idx="9">
                  <c:v>2019</c:v>
                </c:pt>
                <c:pt idx="10">
                  <c:v>2019</c:v>
                </c:pt>
              </c:numCache>
            </c:numRef>
          </c:cat>
          <c:val>
            <c:numRef>
              <c:f>'City Manager only'!$B$27:$L$27</c:f>
              <c:numCache>
                <c:formatCode>_(* #,##0_);_(* \(#,##0\);_(* "-"??_);_(@_)</c:formatCode>
                <c:ptCount val="11"/>
                <c:pt idx="0">
                  <c:v>198694.46153846153</c:v>
                </c:pt>
                <c:pt idx="1">
                  <c:v>173704.72727272726</c:v>
                </c:pt>
                <c:pt idx="2">
                  <c:v>160829.81818181818</c:v>
                </c:pt>
                <c:pt idx="3">
                  <c:v>167066</c:v>
                </c:pt>
                <c:pt idx="4">
                  <c:v>187424</c:v>
                </c:pt>
                <c:pt idx="5">
                  <c:v>211518</c:v>
                </c:pt>
                <c:pt idx="6">
                  <c:v>231728</c:v>
                </c:pt>
                <c:pt idx="7">
                  <c:v>168612.25</c:v>
                </c:pt>
                <c:pt idx="8">
                  <c:v>248701.75</c:v>
                </c:pt>
                <c:pt idx="9">
                  <c:v>224437.8</c:v>
                </c:pt>
                <c:pt idx="10">
                  <c:v>184873.60000000001</c:v>
                </c:pt>
              </c:numCache>
            </c:numRef>
          </c:val>
          <c:smooth val="0"/>
          <c:extLst>
            <c:ext xmlns:c16="http://schemas.microsoft.com/office/drawing/2014/chart" uri="{C3380CC4-5D6E-409C-BE32-E72D297353CC}">
              <c16:uniqueId val="{00000008-635C-45C7-A551-D58E8FED9842}"/>
            </c:ext>
          </c:extLst>
        </c:ser>
        <c:dLbls>
          <c:showLegendKey val="0"/>
          <c:showVal val="0"/>
          <c:showCatName val="0"/>
          <c:showSerName val="0"/>
          <c:showPercent val="0"/>
          <c:showBubbleSize val="0"/>
        </c:dLbls>
        <c:smooth val="0"/>
        <c:axId val="607682672"/>
        <c:axId val="607680704"/>
        <c:extLst/>
      </c:lineChart>
      <c:catAx>
        <c:axId val="607682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80704"/>
        <c:crosses val="autoZero"/>
        <c:auto val="1"/>
        <c:lblAlgn val="ctr"/>
        <c:lblOffset val="100"/>
        <c:noMultiLvlLbl val="0"/>
      </c:catAx>
      <c:valAx>
        <c:axId val="60768070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82672"/>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 City Attorney - Total Revenues</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98051753597914"/>
          <c:y val="0.13179342723004694"/>
          <c:w val="0.84141098134545267"/>
          <c:h val="0.68764925511071684"/>
        </c:manualLayout>
      </c:layout>
      <c:lineChart>
        <c:grouping val="standard"/>
        <c:varyColors val="0"/>
        <c:ser>
          <c:idx val="6"/>
          <c:order val="5"/>
          <c:tx>
            <c:strRef>
              <c:f>'City Attorney only'!$A$12</c:f>
              <c:strCache>
                <c:ptCount val="1"/>
                <c:pt idx="0">
                  <c:v>Total City Budget Revenues</c:v>
                </c:pt>
              </c:strCache>
            </c:strRef>
          </c:tx>
          <c:spPr>
            <a:ln w="28575" cap="rnd">
              <a:solidFill>
                <a:srgbClr val="009900"/>
              </a:solidFill>
              <a:round/>
            </a:ln>
            <a:effectLst/>
          </c:spPr>
          <c:marker>
            <c:symbol val="none"/>
          </c:marker>
          <c:cat>
            <c:numRef>
              <c:f>'City Attorney only'!$B$5:$L$5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'City Attorney only'!$B$12:$L$12</c:f>
              <c:numCache>
                <c:formatCode>_("$"* #,##0_);_("$"* \(#,##0\);_("$"* "-"??_);_(@_)</c:formatCode>
                <c:ptCount val="11"/>
                <c:pt idx="0">
                  <c:v>10000</c:v>
                </c:pt>
                <c:pt idx="1">
                  <c:v>0</c:v>
                </c:pt>
                <c:pt idx="2">
                  <c:v>0</c:v>
                </c:pt>
                <c:pt idx="3">
                  <c:v>0</c:v>
                </c:pt>
                <c:pt idx="4">
                  <c:v>0</c:v>
                </c:pt>
                <c:pt idx="5">
                  <c:v>419244</c:v>
                </c:pt>
                <c:pt idx="6">
                  <c:v>365414</c:v>
                </c:pt>
                <c:pt idx="7">
                  <c:v>448415</c:v>
                </c:pt>
                <c:pt idx="8">
                  <c:v>924177</c:v>
                </c:pt>
                <c:pt idx="9">
                  <c:v>1209541</c:v>
                </c:pt>
                <c:pt idx="10">
                  <c:v>34000</c:v>
                </c:pt>
              </c:numCache>
            </c:numRef>
          </c:val>
          <c:smooth val="0"/>
          <c:extLst>
            <c:ext xmlns:c16="http://schemas.microsoft.com/office/drawing/2014/chart" uri="{C3380CC4-5D6E-409C-BE32-E72D297353CC}">
              <c16:uniqueId val="{00000000-4C6B-4172-AE0E-188A4F09D4A4}"/>
            </c:ext>
          </c:extLst>
        </c:ser>
        <c:dLbls>
          <c:showLegendKey val="0"/>
          <c:showVal val="0"/>
          <c:showCatName val="0"/>
          <c:showSerName val="0"/>
          <c:showPercent val="0"/>
          <c:showBubbleSize val="0"/>
        </c:dLbls>
        <c:smooth val="0"/>
        <c:axId val="607682672"/>
        <c:axId val="607680704"/>
        <c:extLst>
          <c:ext xmlns:c15="http://schemas.microsoft.com/office/drawing/2012/chart" uri="{02D57815-91ED-43cb-92C2-25804820EDAC}">
            <c15:filteredLineSeries>
              <c15:ser>
                <c:idx val="0"/>
                <c:order val="0"/>
                <c:tx>
                  <c:strRef>
                    <c:extLst>
                      <c:ext uri="{02D57815-91ED-43cb-92C2-25804820EDAC}">
                        <c15:formulaRef>
                          <c15:sqref>'City Attorney only'!$A$5</c15:sqref>
                        </c15:formulaRef>
                      </c:ext>
                    </c:extLst>
                    <c:strCache>
                      <c:ptCount val="1"/>
                    </c:strCache>
                  </c:strRef>
                </c:tx>
                <c:spPr>
                  <a:ln w="28575" cap="rnd">
                    <a:solidFill>
                      <a:schemeClr val="accent1"/>
                    </a:solidFill>
                    <a:round/>
                  </a:ln>
                  <a:effectLst/>
                </c:spPr>
                <c:marker>
                  <c:symbol val="none"/>
                </c:marker>
                <c:cat>
                  <c:numRef>
                    <c:extLst>
                      <c:ext uri="{02D57815-91ED-43cb-92C2-25804820EDAC}">
                        <c15:formulaRef>
                          <c15:sqref>'City Attorney only'!$B$5:$L$5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'City Attorney only'!$B$5:$L$5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val>
                <c:smooth val="0"/>
                <c:extLst>
                  <c:ext xmlns:c16="http://schemas.microsoft.com/office/drawing/2014/chart" uri="{C3380CC4-5D6E-409C-BE32-E72D297353CC}">
                    <c16:uniqueId val="{00000001-4C6B-4172-AE0E-188A4F09D4A4}"/>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'City Attorney only'!$A$7</c15:sqref>
                        </c15:formulaRef>
                      </c:ext>
                    </c:extLst>
                    <c:strCache>
                      <c:ptCount val="1"/>
                      <c:pt idx="0">
                        <c:v>General Fund</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'City Attorney only'!$B$5:$L$5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'City Attorney only'!$B$7:$L$7</c15:sqref>
                        </c15:formulaRef>
                      </c:ext>
                    </c:extLst>
                    <c:numCache>
                      <c:formatCode>_("$"* #,##0_);_("$"* \(#,##0\);_("$"* "-"??_);_(@_)</c:formatCode>
                      <c:ptCount val="11"/>
                      <c:pt idx="0">
                        <c:v>10000</c:v>
                      </c:pt>
                      <c:pt idx="1">
                        <c:v>0</c:v>
                      </c:pt>
                      <c:pt idx="2">
                        <c:v>0</c:v>
                      </c:pt>
                      <c:pt idx="3">
                        <c:v>0</c:v>
                      </c:pt>
                      <c:pt idx="4">
                        <c:v>0</c:v>
                      </c:pt>
                      <c:pt idx="5">
                        <c:v>419244</c:v>
                      </c:pt>
                      <c:pt idx="6">
                        <c:v>365414</c:v>
                      </c:pt>
                      <c:pt idx="7">
                        <c:v>448415</c:v>
                      </c:pt>
                      <c:pt idx="8">
                        <c:v>924177</c:v>
                      </c:pt>
                      <c:pt idx="9">
                        <c:v>1209541</c:v>
                      </c:pt>
                      <c:pt idx="10">
                        <c:v>34000</c:v>
                      </c:pt>
                    </c:numCache>
                  </c:numRef>
                </c:val>
                <c:smooth val="0"/>
                <c:extLst xmlns:c15="http://schemas.microsoft.com/office/drawing/2012/chart">
                  <c:ext xmlns:c16="http://schemas.microsoft.com/office/drawing/2014/chart" uri="{C3380CC4-5D6E-409C-BE32-E72D297353CC}">
                    <c16:uniqueId val="{00000002-4C6B-4172-AE0E-188A4F09D4A4}"/>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'City Attorney only'!$A$8</c15:sqref>
                        </c15:formulaRef>
                      </c:ext>
                    </c:extLst>
                    <c:strCache>
                      <c:ptCount val="1"/>
                      <c:pt idx="0">
                        <c:v>Internal Service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'City Attorney only'!$B$5:$L$5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'City Attorney only'!$B$8:$L$8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3-4C6B-4172-AE0E-188A4F09D4A4}"/>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'City Attorney only'!$A$9</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'City Attorney only'!$B$5:$L$5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'City Attorney only'!$B$9:$L$9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4-4C6B-4172-AE0E-188A4F09D4A4}"/>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'City Attorney only'!$A$10</c15:sqref>
                        </c15:formulaRef>
                      </c:ext>
                    </c:extLst>
                    <c:strCache>
                      <c:ptCount val="1"/>
                      <c:pt idx="0">
                        <c:v>Special Revenue Funds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'City Attorney only'!$B$5:$L$5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'City Attorney only'!$B$10:$L$10</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5-4C6B-4172-AE0E-188A4F09D4A4}"/>
                  </c:ext>
                </c:extLst>
              </c15:ser>
            </c15:filteredLineSeries>
          </c:ext>
        </c:extLst>
      </c:lineChart>
      <c:catAx>
        <c:axId val="607682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80704"/>
        <c:crosses val="autoZero"/>
        <c:auto val="1"/>
        <c:lblAlgn val="ctr"/>
        <c:lblOffset val="100"/>
        <c:noMultiLvlLbl val="0"/>
      </c:catAx>
      <c:valAx>
        <c:axId val="60768070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82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ysClr val="window" lastClr="FFFFFF"/>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City Attorney - Expenditures per</a:t>
            </a:r>
            <a:r>
              <a:rPr lang="en-US" sz="1800" b="1" baseline="0"/>
              <a:t> Capita</a:t>
            </a:r>
            <a:endParaRPr lang="en-US" sz="1800" b="1"/>
          </a:p>
        </c:rich>
      </c:tx>
      <c:overlay val="0"/>
      <c:spPr>
        <a:noFill/>
        <a:ln>
          <a:noFill/>
        </a:ln>
        <a:effectLst/>
      </c:spPr>
    </c:title>
    <c:autoTitleDeleted val="0"/>
    <c:plotArea>
      <c:layout/>
      <c:lineChart>
        <c:grouping val="standard"/>
        <c:varyColors val="0"/>
        <c:ser>
          <c:idx val="1"/>
          <c:order val="0"/>
          <c:tx>
            <c:strRef>
              <c:f>'City Attorney only'!$A$25</c:f>
              <c:strCache>
                <c:ptCount val="1"/>
                <c:pt idx="0">
                  <c:v>Expenditures per Capita</c:v>
                </c:pt>
              </c:strCache>
            </c:strRef>
          </c:tx>
          <c:spPr>
            <a:ln>
              <a:solidFill>
                <a:srgbClr val="FF0000"/>
              </a:solidFill>
            </a:ln>
          </c:spPr>
          <c:marker>
            <c:symbol val="none"/>
          </c:marker>
          <c:cat>
            <c:numRef>
              <c:f>'City Attorney only'!$B$24:$L$24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'City Attorney only'!$B$25:$L$25</c:f>
              <c:numCache>
                <c:formatCode>_("$"* #,##0.00_);_("$"* \(#,##0.00\);_("$"* "-"??_);_(@_)</c:formatCode>
                <c:ptCount val="11"/>
                <c:pt idx="0">
                  <c:v>13.900984769323328</c:v>
                </c:pt>
                <c:pt idx="1">
                  <c:v>12.446340527294735</c:v>
                </c:pt>
                <c:pt idx="2">
                  <c:v>12.935966608978926</c:v>
                </c:pt>
                <c:pt idx="3">
                  <c:v>12.893468510693529</c:v>
                </c:pt>
                <c:pt idx="4">
                  <c:v>13.24696603666335</c:v>
                </c:pt>
                <c:pt idx="5">
                  <c:v>13.08679797823363</c:v>
                </c:pt>
                <c:pt idx="6">
                  <c:v>13.628711522745846</c:v>
                </c:pt>
                <c:pt idx="7">
                  <c:v>14.696229078443235</c:v>
                </c:pt>
                <c:pt idx="8">
                  <c:v>16.409849683544305</c:v>
                </c:pt>
                <c:pt idx="9">
                  <c:v>21.234643162227226</c:v>
                </c:pt>
                <c:pt idx="10">
                  <c:v>17.656989111167384</c:v>
                </c:pt>
              </c:numCache>
            </c:numRef>
          </c:val>
          <c:smooth val="0"/>
          <c:extLst>
            <c:ext xmlns:c16="http://schemas.microsoft.com/office/drawing/2014/chart" uri="{C3380CC4-5D6E-409C-BE32-E72D297353CC}">
              <c16:uniqueId val="{00000002-5477-4516-847D-D101767B3DB1}"/>
            </c:ext>
          </c:extLst>
        </c:ser>
        <c:dLbls>
          <c:showLegendKey val="0"/>
          <c:showVal val="0"/>
          <c:showCatName val="0"/>
          <c:showSerName val="0"/>
          <c:showPercent val="0"/>
          <c:showBubbleSize val="0"/>
        </c:dLbls>
        <c:smooth val="0"/>
        <c:axId val="816082080"/>
        <c:axId val="816080112"/>
      </c:lineChart>
      <c:catAx>
        <c:axId val="816082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6080112"/>
        <c:crosses val="autoZero"/>
        <c:auto val="1"/>
        <c:lblAlgn val="ctr"/>
        <c:lblOffset val="100"/>
        <c:noMultiLvlLbl val="0"/>
      </c:catAx>
      <c:valAx>
        <c:axId val="81608011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6082080"/>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City Attorney - Expenditures per FTE</a:t>
            </a:r>
          </a:p>
        </c:rich>
      </c:tx>
      <c:overlay val="0"/>
      <c:spPr>
        <a:noFill/>
        <a:ln>
          <a:noFill/>
        </a:ln>
        <a:effectLst/>
      </c:spPr>
    </c:title>
    <c:autoTitleDeleted val="0"/>
    <c:plotArea>
      <c:layout/>
      <c:lineChart>
        <c:grouping val="standard"/>
        <c:varyColors val="0"/>
        <c:ser>
          <c:idx val="0"/>
          <c:order val="0"/>
          <c:tx>
            <c:strRef>
              <c:f>'City Attorney only'!$A$28</c:f>
              <c:strCache>
                <c:ptCount val="1"/>
                <c:pt idx="0">
                  <c:v>Expenditures per FTE</c:v>
                </c:pt>
              </c:strCache>
            </c:strRef>
          </c:tx>
          <c:spPr>
            <a:ln>
              <a:solidFill>
                <a:srgbClr val="FF0000"/>
              </a:solidFill>
            </a:ln>
          </c:spPr>
          <c:marker>
            <c:symbol val="none"/>
          </c:marker>
          <c:cat>
            <c:numRef>
              <c:f>'City Attorney only'!$B$27:$L$27</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'City Attorney only'!$B$28:$L$28</c:f>
              <c:numCache>
                <c:formatCode>_("$"* #,##0.00_);_("$"* \(#,##0.00\);_("$"* "-"??_);_(@_)</c:formatCode>
                <c:ptCount val="11"/>
                <c:pt idx="0">
                  <c:v>125430.57142857143</c:v>
                </c:pt>
                <c:pt idx="1">
                  <c:v>124909.62962962964</c:v>
                </c:pt>
                <c:pt idx="2">
                  <c:v>131776.29629629629</c:v>
                </c:pt>
                <c:pt idx="3">
                  <c:v>132451.25925925927</c:v>
                </c:pt>
                <c:pt idx="4">
                  <c:v>138102.07407407407</c:v>
                </c:pt>
                <c:pt idx="5">
                  <c:v>116189.5</c:v>
                </c:pt>
                <c:pt idx="6">
                  <c:v>111180</c:v>
                </c:pt>
                <c:pt idx="7">
                  <c:v>123244.53213077791</c:v>
                </c:pt>
                <c:pt idx="8">
                  <c:v>156053.04075235111</c:v>
                </c:pt>
                <c:pt idx="9">
                  <c:v>182800.11142061281</c:v>
                </c:pt>
                <c:pt idx="10">
                  <c:v>155381.504178273</c:v>
                </c:pt>
              </c:numCache>
            </c:numRef>
          </c:val>
          <c:smooth val="0"/>
          <c:extLst>
            <c:ext xmlns:c16="http://schemas.microsoft.com/office/drawing/2014/chart" uri="{C3380CC4-5D6E-409C-BE32-E72D297353CC}">
              <c16:uniqueId val="{00000002-E17B-4F38-90AC-00BA774C825E}"/>
            </c:ext>
          </c:extLst>
        </c:ser>
        <c:dLbls>
          <c:showLegendKey val="0"/>
          <c:showVal val="0"/>
          <c:showCatName val="0"/>
          <c:showSerName val="0"/>
          <c:showPercent val="0"/>
          <c:showBubbleSize val="0"/>
        </c:dLbls>
        <c:smooth val="0"/>
        <c:axId val="816082080"/>
        <c:axId val="816080112"/>
      </c:lineChart>
      <c:catAx>
        <c:axId val="816082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6080112"/>
        <c:crosses val="autoZero"/>
        <c:auto val="1"/>
        <c:lblAlgn val="ctr"/>
        <c:lblOffset val="100"/>
        <c:noMultiLvlLbl val="0"/>
      </c:catAx>
      <c:valAx>
        <c:axId val="81608011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6082080"/>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City Attorney - Total Expenditures</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'City Attorney only'!$A$21</c:f>
              <c:strCache>
                <c:ptCount val="1"/>
                <c:pt idx="0">
                  <c:v>Total City Budget Expenditures</c:v>
                </c:pt>
              </c:strCache>
            </c:strRef>
          </c:tx>
          <c:spPr>
            <a:ln w="28575" cap="rnd">
              <a:solidFill>
                <a:srgbClr val="FF0000"/>
              </a:solidFill>
              <a:round/>
            </a:ln>
            <a:effectLst/>
          </c:spPr>
          <c:marker>
            <c:symbol val="none"/>
          </c:marker>
          <c:cat>
            <c:numRef>
              <c:f>'City Attorney only'!$B$15:$L$15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'City Attorney only'!$B$16:$L$16</c:f>
              <c:numCache>
                <c:formatCode>_("$"* #,##0_);_("$"* \(#,##0\);_("$"* "-"??_);_(@_)</c:formatCode>
                <c:ptCount val="11"/>
                <c:pt idx="0">
                  <c:v>878014</c:v>
                </c:pt>
                <c:pt idx="1">
                  <c:v>843140</c:v>
                </c:pt>
                <c:pt idx="2">
                  <c:v>889490</c:v>
                </c:pt>
                <c:pt idx="3">
                  <c:v>894046</c:v>
                </c:pt>
                <c:pt idx="4">
                  <c:v>932189</c:v>
                </c:pt>
                <c:pt idx="5">
                  <c:v>929516</c:v>
                </c:pt>
                <c:pt idx="6">
                  <c:v>1000620</c:v>
                </c:pt>
                <c:pt idx="7">
                  <c:v>1093179</c:v>
                </c:pt>
                <c:pt idx="8">
                  <c:v>1244523</c:v>
                </c:pt>
                <c:pt idx="9">
                  <c:v>1640631</c:v>
                </c:pt>
                <c:pt idx="10">
                  <c:v>1394549</c:v>
                </c:pt>
              </c:numCache>
            </c:numRef>
          </c:val>
          <c:smooth val="0"/>
          <c:extLst>
            <c:ext xmlns:c16="http://schemas.microsoft.com/office/drawing/2014/chart" uri="{C3380CC4-5D6E-409C-BE32-E72D297353CC}">
              <c16:uniqueId val="{00000000-E3EE-4304-ABF8-80701E1571F0}"/>
            </c:ext>
          </c:extLst>
        </c:ser>
        <c:dLbls>
          <c:showLegendKey val="0"/>
          <c:showVal val="0"/>
          <c:showCatName val="0"/>
          <c:showSerName val="0"/>
          <c:showPercent val="0"/>
          <c:showBubbleSize val="0"/>
        </c:dLbls>
        <c:smooth val="0"/>
        <c:axId val="816082080"/>
        <c:axId val="816080112"/>
      </c:lineChart>
      <c:catAx>
        <c:axId val="816082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6080112"/>
        <c:crosses val="autoZero"/>
        <c:auto val="1"/>
        <c:lblAlgn val="ctr"/>
        <c:lblOffset val="100"/>
        <c:noMultiLvlLbl val="0"/>
      </c:catAx>
      <c:valAx>
        <c:axId val="81608011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6082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Municipal Court - Total Revenues</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6"/>
          <c:order val="5"/>
          <c:tx>
            <c:strRef>
              <c:f>'Municipal Court only'!$A$12</c:f>
              <c:strCache>
                <c:ptCount val="1"/>
                <c:pt idx="0">
                  <c:v>Total City Budget Revenues</c:v>
                </c:pt>
              </c:strCache>
            </c:strRef>
          </c:tx>
          <c:spPr>
            <a:ln w="28575" cap="rnd">
              <a:solidFill>
                <a:srgbClr val="009900"/>
              </a:solidFill>
              <a:round/>
            </a:ln>
            <a:effectLst/>
          </c:spPr>
          <c:marker>
            <c:symbol val="none"/>
          </c:marker>
          <c:cat>
            <c:numRef>
              <c:f>'Municipal Court only'!$B$5:$M$5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'Municipal Court only'!$B$12:$M$12</c:f>
              <c:numCache>
                <c:formatCode>_("$"* #,##0_);_("$"* \(#,##0\);_("$"* "-"??_);_(@_)</c:formatCode>
                <c:ptCount val="11"/>
                <c:pt idx="0">
                  <c:v>1011383</c:v>
                </c:pt>
                <c:pt idx="1">
                  <c:v>289071</c:v>
                </c:pt>
                <c:pt idx="2">
                  <c:v>261258</c:v>
                </c:pt>
                <c:pt idx="3">
                  <c:v>276899</c:v>
                </c:pt>
                <c:pt idx="4">
                  <c:v>236770</c:v>
                </c:pt>
                <c:pt idx="5">
                  <c:v>200970</c:v>
                </c:pt>
                <c:pt idx="6">
                  <c:v>248919</c:v>
                </c:pt>
                <c:pt idx="7">
                  <c:v>942006</c:v>
                </c:pt>
                <c:pt idx="8">
                  <c:v>951729</c:v>
                </c:pt>
                <c:pt idx="9">
                  <c:v>787600</c:v>
                </c:pt>
                <c:pt idx="10">
                  <c:v>808497</c:v>
                </c:pt>
              </c:numCache>
            </c:numRef>
          </c:val>
          <c:smooth val="0"/>
          <c:extLst>
            <c:ext xmlns:c16="http://schemas.microsoft.com/office/drawing/2014/chart" uri="{C3380CC4-5D6E-409C-BE32-E72D297353CC}">
              <c16:uniqueId val="{00000000-6B48-4BEB-87E9-9428901356A1}"/>
            </c:ext>
          </c:extLst>
        </c:ser>
        <c:dLbls>
          <c:showLegendKey val="0"/>
          <c:showVal val="0"/>
          <c:showCatName val="0"/>
          <c:showSerName val="0"/>
          <c:showPercent val="0"/>
          <c:showBubbleSize val="0"/>
        </c:dLbls>
        <c:smooth val="0"/>
        <c:axId val="607682672"/>
        <c:axId val="607680704"/>
        <c:extLst>
          <c:ext xmlns:c15="http://schemas.microsoft.com/office/drawing/2012/chart" uri="{02D57815-91ED-43cb-92C2-25804820EDAC}">
            <c15:filteredLineSeries>
              <c15:ser>
                <c:idx val="0"/>
                <c:order val="0"/>
                <c:tx>
                  <c:strRef>
                    <c:extLst>
                      <c:ext uri="{02D57815-91ED-43cb-92C2-25804820EDAC}">
                        <c15:formulaRef>
                          <c15:sqref>'Municipal Court only'!$A$6</c15:sqref>
                        </c15:formulaRef>
                      </c:ext>
                    </c:extLst>
                    <c:strCache>
                      <c:ptCount val="1"/>
                      <c:pt idx="0">
                        <c:v>REVENUES</c:v>
                      </c:pt>
                    </c:strCache>
                  </c:strRef>
                </c:tx>
                <c:spPr>
                  <a:ln w="28575" cap="rnd">
                    <a:solidFill>
                      <a:schemeClr val="accent1"/>
                    </a:solidFill>
                    <a:round/>
                  </a:ln>
                  <a:effectLst/>
                </c:spPr>
                <c:marker>
                  <c:symbol val="none"/>
                </c:marker>
                <c:cat>
                  <c:numRef>
                    <c:extLst>
                      <c:ext uri="{02D57815-91ED-43cb-92C2-25804820EDAC}">
                        <c15:formulaRef>
                          <c15:sqref>'Municipal Court only'!$B$5:$M$5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'Municipal Court only'!$B$5:$M$5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val>
                <c:smooth val="0"/>
                <c:extLst>
                  <c:ext xmlns:c16="http://schemas.microsoft.com/office/drawing/2014/chart" uri="{C3380CC4-5D6E-409C-BE32-E72D297353CC}">
                    <c16:uniqueId val="{00000001-6B48-4BEB-87E9-9428901356A1}"/>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'Municipal Court only'!$A$7</c15:sqref>
                        </c15:formulaRef>
                      </c:ext>
                    </c:extLst>
                    <c:strCache>
                      <c:ptCount val="1"/>
                      <c:pt idx="0">
                        <c:v>General Fund</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'Municipal Court only'!$B$5:$M$5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'Municipal Court only'!$B$7:$M$7</c15:sqref>
                        </c15:formulaRef>
                      </c:ext>
                    </c:extLst>
                    <c:numCache>
                      <c:formatCode>_("$"* #,##0_);_("$"* \(#,##0\);_("$"* "-"??_);_(@_)</c:formatCode>
                      <c:ptCount val="11"/>
                      <c:pt idx="0">
                        <c:v>1011383</c:v>
                      </c:pt>
                      <c:pt idx="1">
                        <c:v>289071</c:v>
                      </c:pt>
                      <c:pt idx="2">
                        <c:v>261258</c:v>
                      </c:pt>
                      <c:pt idx="3">
                        <c:v>276899</c:v>
                      </c:pt>
                      <c:pt idx="4">
                        <c:v>236770</c:v>
                      </c:pt>
                      <c:pt idx="5">
                        <c:v>200970</c:v>
                      </c:pt>
                      <c:pt idx="6">
                        <c:v>248919</c:v>
                      </c:pt>
                      <c:pt idx="7">
                        <c:v>942006</c:v>
                      </c:pt>
                      <c:pt idx="8">
                        <c:v>951729</c:v>
                      </c:pt>
                      <c:pt idx="9">
                        <c:v>787600</c:v>
                      </c:pt>
                      <c:pt idx="10">
                        <c:v>808497</c:v>
                      </c:pt>
                    </c:numCache>
                  </c:numRef>
                </c:val>
                <c:smooth val="0"/>
                <c:extLst xmlns:c15="http://schemas.microsoft.com/office/drawing/2012/chart">
                  <c:ext xmlns:c16="http://schemas.microsoft.com/office/drawing/2014/chart" uri="{C3380CC4-5D6E-409C-BE32-E72D297353CC}">
                    <c16:uniqueId val="{00000002-6B48-4BEB-87E9-9428901356A1}"/>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'Municipal Court only'!$A$8</c15:sqref>
                        </c15:formulaRef>
                      </c:ext>
                    </c:extLst>
                    <c:strCache>
                      <c:ptCount val="1"/>
                      <c:pt idx="0">
                        <c:v>Internal Service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'Municipal Court only'!$B$5:$M$5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'Municipal Court only'!$B$8:$M$8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3-6B48-4BEB-87E9-9428901356A1}"/>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'Municipal Court only'!$A$9</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'Municipal Court only'!$B$5:$M$5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'Municipal Court only'!$B$9:$M$9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4-6B48-4BEB-87E9-9428901356A1}"/>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'Municipal Court only'!$A$10</c15:sqref>
                        </c15:formulaRef>
                      </c:ext>
                    </c:extLst>
                    <c:strCache>
                      <c:ptCount val="1"/>
                      <c:pt idx="0">
                        <c:v>Special Revenue Funds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'Municipal Court only'!$B$5:$M$5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'Municipal Court only'!$B$10:$M$10</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5-6B48-4BEB-87E9-9428901356A1}"/>
                  </c:ext>
                </c:extLst>
              </c15:ser>
            </c15:filteredLineSeries>
          </c:ext>
        </c:extLst>
      </c:lineChart>
      <c:catAx>
        <c:axId val="607682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80704"/>
        <c:crosses val="autoZero"/>
        <c:auto val="1"/>
        <c:lblAlgn val="ctr"/>
        <c:lblOffset val="100"/>
        <c:noMultiLvlLbl val="0"/>
      </c:catAx>
      <c:valAx>
        <c:axId val="60768070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82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ysClr val="window" lastClr="FFFFFF"/>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Municipal Court - Total Expenditures</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9688736091087207E-2"/>
          <c:y val="0.15782407407407409"/>
          <c:w val="0.87965398691360763"/>
          <c:h val="0.72088764946048411"/>
        </c:manualLayout>
      </c:layout>
      <c:lineChart>
        <c:grouping val="standard"/>
        <c:varyColors val="0"/>
        <c:ser>
          <c:idx val="0"/>
          <c:order val="0"/>
          <c:tx>
            <c:strRef>
              <c:f>'Municipal Court only'!$A$21</c:f>
              <c:strCache>
                <c:ptCount val="1"/>
                <c:pt idx="0">
                  <c:v>Total City Budget Expenditures</c:v>
                </c:pt>
              </c:strCache>
            </c:strRef>
          </c:tx>
          <c:spPr>
            <a:ln w="28575" cap="rnd">
              <a:solidFill>
                <a:srgbClr val="FF0000"/>
              </a:solidFill>
              <a:round/>
            </a:ln>
            <a:effectLst/>
          </c:spPr>
          <c:marker>
            <c:symbol val="none"/>
          </c:marker>
          <c:cat>
            <c:numRef>
              <c:f>'Municipal Court only'!$B$15:$M$15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'Municipal Court only'!$B$16:$M$16</c:f>
              <c:numCache>
                <c:formatCode>_("$"* #,##0_);_("$"* \(#,##0\);_("$"* "-"??_);_(@_)</c:formatCode>
                <c:ptCount val="11"/>
                <c:pt idx="0">
                  <c:v>357276</c:v>
                </c:pt>
                <c:pt idx="1">
                  <c:v>339144</c:v>
                </c:pt>
                <c:pt idx="2">
                  <c:v>356728</c:v>
                </c:pt>
                <c:pt idx="3">
                  <c:v>355556</c:v>
                </c:pt>
                <c:pt idx="4">
                  <c:v>398437</c:v>
                </c:pt>
                <c:pt idx="5">
                  <c:v>573027</c:v>
                </c:pt>
                <c:pt idx="6">
                  <c:v>619609</c:v>
                </c:pt>
                <c:pt idx="7">
                  <c:v>638249</c:v>
                </c:pt>
                <c:pt idx="8">
                  <c:v>743843</c:v>
                </c:pt>
                <c:pt idx="9">
                  <c:v>881710</c:v>
                </c:pt>
                <c:pt idx="10">
                  <c:v>660575</c:v>
                </c:pt>
              </c:numCache>
            </c:numRef>
          </c:val>
          <c:smooth val="0"/>
          <c:extLst>
            <c:ext xmlns:c16="http://schemas.microsoft.com/office/drawing/2014/chart" uri="{C3380CC4-5D6E-409C-BE32-E72D297353CC}">
              <c16:uniqueId val="{00000000-CF25-46EA-BC49-61D8DCC64AD1}"/>
            </c:ext>
          </c:extLst>
        </c:ser>
        <c:dLbls>
          <c:showLegendKey val="0"/>
          <c:showVal val="0"/>
          <c:showCatName val="0"/>
          <c:showSerName val="0"/>
          <c:showPercent val="0"/>
          <c:showBubbleSize val="0"/>
        </c:dLbls>
        <c:smooth val="0"/>
        <c:axId val="848043336"/>
        <c:axId val="848047272"/>
      </c:lineChart>
      <c:catAx>
        <c:axId val="848043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8047272"/>
        <c:crosses val="autoZero"/>
        <c:auto val="1"/>
        <c:lblAlgn val="ctr"/>
        <c:lblOffset val="100"/>
        <c:noMultiLvlLbl val="0"/>
      </c:catAx>
      <c:valAx>
        <c:axId val="84804727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8043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Municipal Court</a:t>
            </a:r>
            <a:r>
              <a:rPr lang="en-US" sz="1800" b="1" baseline="0"/>
              <a:t> - Expenditures per Capita</a:t>
            </a:r>
          </a:p>
        </c:rich>
      </c:tx>
      <c:overlay val="0"/>
      <c:spPr>
        <a:noFill/>
        <a:ln>
          <a:noFill/>
        </a:ln>
        <a:effectLst/>
      </c:spPr>
    </c:title>
    <c:autoTitleDeleted val="0"/>
    <c:plotArea>
      <c:layout>
        <c:manualLayout>
          <c:layoutTarget val="inner"/>
          <c:xMode val="edge"/>
          <c:yMode val="edge"/>
          <c:x val="9.9688736091087207E-2"/>
          <c:y val="0.15782407407407409"/>
          <c:w val="0.87965398691360763"/>
          <c:h val="0.72088764946048411"/>
        </c:manualLayout>
      </c:layout>
      <c:lineChart>
        <c:grouping val="standard"/>
        <c:varyColors val="0"/>
        <c:ser>
          <c:idx val="1"/>
          <c:order val="0"/>
          <c:tx>
            <c:strRef>
              <c:f>'Municipal Court only'!$A$26</c:f>
              <c:strCache>
                <c:ptCount val="1"/>
                <c:pt idx="0">
                  <c:v>Expenditures per Capita</c:v>
                </c:pt>
              </c:strCache>
            </c:strRef>
          </c:tx>
          <c:spPr>
            <a:ln>
              <a:solidFill>
                <a:srgbClr val="FF0000"/>
              </a:solidFill>
            </a:ln>
          </c:spPr>
          <c:marker>
            <c:symbol val="none"/>
          </c:marker>
          <c:cat>
            <c:numRef>
              <c:f>'Municipal Court only'!$B$25:$M$25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'Municipal Court only'!$B$26:$M$26</c:f>
              <c:numCache>
                <c:formatCode>_("$"* #,##0.00_);_("$"* \(#,##0.00\);_("$"* "-"??_);_(@_)</c:formatCode>
                <c:ptCount val="11"/>
                <c:pt idx="0">
                  <c:v>5.656502327348722</c:v>
                </c:pt>
                <c:pt idx="1">
                  <c:v>5.0064066605650854</c:v>
                </c:pt>
                <c:pt idx="2">
                  <c:v>5.1879408385567398</c:v>
                </c:pt>
                <c:pt idx="3">
                  <c:v>5.1276445393057495</c:v>
                </c:pt>
                <c:pt idx="4">
                  <c:v>5.6620292738382831</c:v>
                </c:pt>
                <c:pt idx="5">
                  <c:v>8.0677348050741262</c:v>
                </c:pt>
                <c:pt idx="6">
                  <c:v>8.4392399891037861</c:v>
                </c:pt>
                <c:pt idx="7">
                  <c:v>8.5803454997647375</c:v>
                </c:pt>
                <c:pt idx="8">
                  <c:v>9.8080564345991554</c:v>
                </c:pt>
                <c:pt idx="9">
                  <c:v>11.411948952913463</c:v>
                </c:pt>
                <c:pt idx="10">
                  <c:v>8.3638262851354774</c:v>
                </c:pt>
              </c:numCache>
            </c:numRef>
          </c:val>
          <c:smooth val="0"/>
          <c:extLst>
            <c:ext xmlns:c16="http://schemas.microsoft.com/office/drawing/2014/chart" uri="{C3380CC4-5D6E-409C-BE32-E72D297353CC}">
              <c16:uniqueId val="{00000005-647F-4771-B3C3-D6C1797FE79C}"/>
            </c:ext>
          </c:extLst>
        </c:ser>
        <c:dLbls>
          <c:showLegendKey val="0"/>
          <c:showVal val="0"/>
          <c:showCatName val="0"/>
          <c:showSerName val="0"/>
          <c:showPercent val="0"/>
          <c:showBubbleSize val="0"/>
        </c:dLbls>
        <c:smooth val="0"/>
        <c:axId val="848043336"/>
        <c:axId val="848047272"/>
      </c:lineChart>
      <c:catAx>
        <c:axId val="848043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8047272"/>
        <c:crosses val="autoZero"/>
        <c:auto val="1"/>
        <c:lblAlgn val="ctr"/>
        <c:lblOffset val="100"/>
        <c:noMultiLvlLbl val="0"/>
      </c:catAx>
      <c:valAx>
        <c:axId val="84804727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8043336"/>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b="1"/>
              <a:t>Total City -  Revenues Per FTE</a:t>
            </a:r>
          </a:p>
        </c:rich>
      </c:tx>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892687315051445"/>
          <c:y val="0.11971457288347123"/>
          <c:w val="0.85591593615895545"/>
          <c:h val="0.66398631989183166"/>
        </c:manualLayout>
      </c:layout>
      <c:lineChart>
        <c:grouping val="standard"/>
        <c:varyColors val="0"/>
        <c:ser>
          <c:idx val="0"/>
          <c:order val="0"/>
          <c:tx>
            <c:strRef>
              <c:f>'All Depts'!$A$32</c:f>
              <c:strCache>
                <c:ptCount val="1"/>
                <c:pt idx="0">
                  <c:v>General Fund</c:v>
                </c:pt>
              </c:strCache>
            </c:strRef>
          </c:tx>
          <c:spPr>
            <a:ln w="28575" cap="rnd">
              <a:solidFill>
                <a:schemeClr val="tx1"/>
              </a:solidFill>
              <a:round/>
            </a:ln>
            <a:effectLst/>
          </c:spPr>
          <c:marker>
            <c:symbol val="none"/>
          </c:marker>
          <c:cat>
            <c:numRef>
              <c:f>'All Depts'!$B$31:$L$31</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Depts'!$B$32:$L$32</c:f>
              <c:numCache>
                <c:formatCode>_("$"* #,##0_);_("$"* \(#,##0\);_("$"* "-"??_);_(@_)</c:formatCode>
                <c:ptCount val="11"/>
                <c:pt idx="0">
                  <c:v>114414.3425925926</c:v>
                </c:pt>
                <c:pt idx="1">
                  <c:v>125693.79611650485</c:v>
                </c:pt>
                <c:pt idx="2">
                  <c:v>130078.47001934236</c:v>
                </c:pt>
                <c:pt idx="3">
                  <c:v>136595.36923076923</c:v>
                </c:pt>
                <c:pt idx="4">
                  <c:v>162522.45770065076</c:v>
                </c:pt>
                <c:pt idx="5">
                  <c:v>175525.8427672956</c:v>
                </c:pt>
                <c:pt idx="6">
                  <c:v>178656.28367346938</c:v>
                </c:pt>
                <c:pt idx="7">
                  <c:v>179037.21314741037</c:v>
                </c:pt>
                <c:pt idx="8">
                  <c:v>226042.32629107981</c:v>
                </c:pt>
                <c:pt idx="9">
                  <c:v>229454.84353741497</c:v>
                </c:pt>
                <c:pt idx="10">
                  <c:v>213469.82766439908</c:v>
                </c:pt>
              </c:numCache>
            </c:numRef>
          </c:val>
          <c:smooth val="0"/>
          <c:extLst>
            <c:ext xmlns:c16="http://schemas.microsoft.com/office/drawing/2014/chart" uri="{C3380CC4-5D6E-409C-BE32-E72D297353CC}">
              <c16:uniqueId val="{00000000-0C62-4AAE-9F0C-DA7919DAF63A}"/>
            </c:ext>
          </c:extLst>
        </c:ser>
        <c:ser>
          <c:idx val="1"/>
          <c:order val="1"/>
          <c:tx>
            <c:strRef>
              <c:f>'All Depts'!$A$33</c:f>
              <c:strCache>
                <c:ptCount val="1"/>
                <c:pt idx="0">
                  <c:v>Internal Service Funds</c:v>
                </c:pt>
              </c:strCache>
            </c:strRef>
          </c:tx>
          <c:spPr>
            <a:ln w="28575" cap="rnd">
              <a:solidFill>
                <a:schemeClr val="accent6"/>
              </a:solidFill>
              <a:round/>
            </a:ln>
            <a:effectLst/>
          </c:spPr>
          <c:marker>
            <c:symbol val="none"/>
          </c:marker>
          <c:cat>
            <c:numRef>
              <c:f>'All Depts'!$B$31:$L$31</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Depts'!$B$33:$L$33</c:f>
              <c:numCache>
                <c:formatCode>_("$"* #,##0_);_("$"* \(#,##0\);_("$"* "-"??_);_(@_)</c:formatCode>
                <c:ptCount val="11"/>
                <c:pt idx="0">
                  <c:v>1035075.3125</c:v>
                </c:pt>
                <c:pt idx="1">
                  <c:v>1046884.125</c:v>
                </c:pt>
                <c:pt idx="2">
                  <c:v>1005332.8235294118</c:v>
                </c:pt>
                <c:pt idx="3">
                  <c:v>908861.5</c:v>
                </c:pt>
                <c:pt idx="4">
                  <c:v>879660.73684210528</c:v>
                </c:pt>
                <c:pt idx="5">
                  <c:v>914362.10526315786</c:v>
                </c:pt>
                <c:pt idx="6">
                  <c:v>975386.85</c:v>
                </c:pt>
                <c:pt idx="7">
                  <c:v>1340466.4736842106</c:v>
                </c:pt>
                <c:pt idx="8">
                  <c:v>1079111.2195121951</c:v>
                </c:pt>
                <c:pt idx="9">
                  <c:v>1167159.4479830149</c:v>
                </c:pt>
                <c:pt idx="10">
                  <c:v>1212410.9554140128</c:v>
                </c:pt>
              </c:numCache>
            </c:numRef>
          </c:val>
          <c:smooth val="0"/>
          <c:extLst>
            <c:ext xmlns:c16="http://schemas.microsoft.com/office/drawing/2014/chart" uri="{C3380CC4-5D6E-409C-BE32-E72D297353CC}">
              <c16:uniqueId val="{00000001-0C62-4AAE-9F0C-DA7919DAF63A}"/>
            </c:ext>
          </c:extLst>
        </c:ser>
        <c:ser>
          <c:idx val="2"/>
          <c:order val="2"/>
          <c:tx>
            <c:strRef>
              <c:f>'All Depts'!$A$34</c:f>
              <c:strCache>
                <c:ptCount val="1"/>
                <c:pt idx="0">
                  <c:v>Enterprise Funds</c:v>
                </c:pt>
              </c:strCache>
            </c:strRef>
          </c:tx>
          <c:spPr>
            <a:ln w="28575" cap="rnd">
              <a:solidFill>
                <a:srgbClr val="6666FF"/>
              </a:solidFill>
              <a:round/>
            </a:ln>
            <a:effectLst/>
          </c:spPr>
          <c:marker>
            <c:symbol val="none"/>
          </c:marker>
          <c:cat>
            <c:numRef>
              <c:f>'All Depts'!$B$31:$L$31</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Depts'!$B$34:$L$34</c:f>
              <c:numCache>
                <c:formatCode>_("$"* #,##0_);_("$"* \(#,##0\);_("$"* "-"??_);_(@_)</c:formatCode>
                <c:ptCount val="11"/>
                <c:pt idx="0">
                  <c:v>409277.43010752689</c:v>
                </c:pt>
                <c:pt idx="1">
                  <c:v>444434.02259887004</c:v>
                </c:pt>
                <c:pt idx="2">
                  <c:v>529779.56140350876</c:v>
                </c:pt>
                <c:pt idx="3">
                  <c:v>523058.38372093026</c:v>
                </c:pt>
                <c:pt idx="4">
                  <c:v>595152.92307692312</c:v>
                </c:pt>
                <c:pt idx="5">
                  <c:v>638354.52571428567</c:v>
                </c:pt>
                <c:pt idx="6">
                  <c:v>713064.57065217395</c:v>
                </c:pt>
                <c:pt idx="7">
                  <c:v>704329.79787234042</c:v>
                </c:pt>
                <c:pt idx="8">
                  <c:v>740046.32172131154</c:v>
                </c:pt>
                <c:pt idx="9">
                  <c:v>774793.48475646786</c:v>
                </c:pt>
                <c:pt idx="10">
                  <c:v>858905.63342645462</c:v>
                </c:pt>
              </c:numCache>
            </c:numRef>
          </c:val>
          <c:smooth val="0"/>
          <c:extLst>
            <c:ext xmlns:c16="http://schemas.microsoft.com/office/drawing/2014/chart" uri="{C3380CC4-5D6E-409C-BE32-E72D297353CC}">
              <c16:uniqueId val="{00000002-0C62-4AAE-9F0C-DA7919DAF63A}"/>
            </c:ext>
          </c:extLst>
        </c:ser>
        <c:ser>
          <c:idx val="3"/>
          <c:order val="3"/>
          <c:tx>
            <c:strRef>
              <c:f>'All Depts'!$A$35</c:f>
              <c:strCache>
                <c:ptCount val="1"/>
                <c:pt idx="0">
                  <c:v>Special Revenue Funds</c:v>
                </c:pt>
              </c:strCache>
            </c:strRef>
          </c:tx>
          <c:spPr>
            <a:ln w="28575" cap="rnd">
              <a:solidFill>
                <a:srgbClr val="996633"/>
              </a:solidFill>
              <a:round/>
            </a:ln>
            <a:effectLst/>
          </c:spPr>
          <c:marker>
            <c:symbol val="none"/>
          </c:marker>
          <c:cat>
            <c:numRef>
              <c:f>'All Depts'!$B$31:$L$31</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Depts'!$B$35:$L$35</c:f>
              <c:numCache>
                <c:formatCode>_("$"* #,##0_);_("$"* \(#,##0\);_("$"* "-"??_);_(@_)</c:formatCode>
                <c:ptCount val="11"/>
                <c:pt idx="0">
                  <c:v>367977.68421052629</c:v>
                </c:pt>
                <c:pt idx="1">
                  <c:v>513830.80701754388</c:v>
                </c:pt>
                <c:pt idx="2">
                  <c:v>650458.52631578944</c:v>
                </c:pt>
                <c:pt idx="3">
                  <c:v>451172.33333333331</c:v>
                </c:pt>
                <c:pt idx="4">
                  <c:v>570928.96491228067</c:v>
                </c:pt>
                <c:pt idx="5">
                  <c:v>655993.3448275862</c:v>
                </c:pt>
                <c:pt idx="6">
                  <c:v>622246.98305084743</c:v>
                </c:pt>
                <c:pt idx="7">
                  <c:v>661077.4590163934</c:v>
                </c:pt>
                <c:pt idx="8">
                  <c:v>372621.49079754599</c:v>
                </c:pt>
                <c:pt idx="9">
                  <c:v>680270.27617602423</c:v>
                </c:pt>
                <c:pt idx="10">
                  <c:v>312988.88012139604</c:v>
                </c:pt>
              </c:numCache>
            </c:numRef>
          </c:val>
          <c:smooth val="0"/>
          <c:extLst>
            <c:ext xmlns:c16="http://schemas.microsoft.com/office/drawing/2014/chart" uri="{C3380CC4-5D6E-409C-BE32-E72D297353CC}">
              <c16:uniqueId val="{00000003-0C62-4AAE-9F0C-DA7919DAF63A}"/>
            </c:ext>
          </c:extLst>
        </c:ser>
        <c:dLbls>
          <c:showLegendKey val="0"/>
          <c:showVal val="0"/>
          <c:showCatName val="0"/>
          <c:showSerName val="0"/>
          <c:showPercent val="0"/>
          <c:showBubbleSize val="0"/>
        </c:dLbls>
        <c:smooth val="0"/>
        <c:axId val="589804024"/>
        <c:axId val="589802712"/>
      </c:lineChart>
      <c:catAx>
        <c:axId val="589804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9802712"/>
        <c:crosses val="autoZero"/>
        <c:auto val="1"/>
        <c:lblAlgn val="ctr"/>
        <c:lblOffset val="100"/>
        <c:noMultiLvlLbl val="0"/>
      </c:catAx>
      <c:valAx>
        <c:axId val="58980271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9804024"/>
        <c:crosses val="autoZero"/>
        <c:crossBetween val="between"/>
      </c:valAx>
      <c:spPr>
        <a:noFill/>
        <a:ln>
          <a:noFill/>
        </a:ln>
        <a:effectLst/>
      </c:spPr>
    </c:plotArea>
    <c:legend>
      <c:legendPos val="b"/>
      <c:layout>
        <c:manualLayout>
          <c:xMode val="edge"/>
          <c:yMode val="edge"/>
          <c:x val="0.1266656594970984"/>
          <c:y val="0.8647910027580491"/>
          <c:w val="0.7466685489468563"/>
          <c:h val="4.083513154322134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Municipal Court - Expenditures per</a:t>
            </a:r>
            <a:r>
              <a:rPr lang="en-US" sz="1800" b="1" baseline="0"/>
              <a:t> FTE</a:t>
            </a:r>
          </a:p>
        </c:rich>
      </c:tx>
      <c:overlay val="0"/>
      <c:spPr>
        <a:noFill/>
        <a:ln>
          <a:noFill/>
        </a:ln>
        <a:effectLst/>
      </c:spPr>
    </c:title>
    <c:autoTitleDeleted val="0"/>
    <c:plotArea>
      <c:layout>
        <c:manualLayout>
          <c:layoutTarget val="inner"/>
          <c:xMode val="edge"/>
          <c:yMode val="edge"/>
          <c:x val="9.9688736091087207E-2"/>
          <c:y val="0.15782407407407409"/>
          <c:w val="0.87965398691360763"/>
          <c:h val="0.72088764946048411"/>
        </c:manualLayout>
      </c:layout>
      <c:lineChart>
        <c:grouping val="standard"/>
        <c:varyColors val="0"/>
        <c:ser>
          <c:idx val="0"/>
          <c:order val="0"/>
          <c:tx>
            <c:strRef>
              <c:f>'Municipal Court only'!$A$29</c:f>
              <c:strCache>
                <c:ptCount val="1"/>
                <c:pt idx="0">
                  <c:v>Expenditures per FTE</c:v>
                </c:pt>
              </c:strCache>
            </c:strRef>
          </c:tx>
          <c:spPr>
            <a:ln>
              <a:solidFill>
                <a:srgbClr val="FF0000"/>
              </a:solidFill>
            </a:ln>
          </c:spPr>
          <c:marker>
            <c:symbol val="none"/>
          </c:marker>
          <c:cat>
            <c:numRef>
              <c:f>'Municipal Court only'!$B$28:$M$28</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'Municipal Court only'!$B$29:$M$29</c:f>
              <c:numCache>
                <c:formatCode>_("$"* #,##0.00_);_("$"* \(#,##0.00\);_("$"* "-"??_);_(@_)</c:formatCode>
                <c:ptCount val="11"/>
                <c:pt idx="0">
                  <c:v>89319</c:v>
                </c:pt>
                <c:pt idx="1">
                  <c:v>90438.399999999994</c:v>
                </c:pt>
                <c:pt idx="2">
                  <c:v>89182</c:v>
                </c:pt>
                <c:pt idx="3">
                  <c:v>88889</c:v>
                </c:pt>
                <c:pt idx="4">
                  <c:v>99609.25</c:v>
                </c:pt>
                <c:pt idx="5">
                  <c:v>143256.75</c:v>
                </c:pt>
                <c:pt idx="6">
                  <c:v>134697.60869565219</c:v>
                </c:pt>
                <c:pt idx="7">
                  <c:v>127649.8</c:v>
                </c:pt>
                <c:pt idx="8">
                  <c:v>148768.6</c:v>
                </c:pt>
                <c:pt idx="9">
                  <c:v>146951.66666666666</c:v>
                </c:pt>
                <c:pt idx="10">
                  <c:v>110095.83333333333</c:v>
                </c:pt>
              </c:numCache>
            </c:numRef>
          </c:val>
          <c:smooth val="0"/>
          <c:extLst>
            <c:ext xmlns:c16="http://schemas.microsoft.com/office/drawing/2014/chart" uri="{C3380CC4-5D6E-409C-BE32-E72D297353CC}">
              <c16:uniqueId val="{00000008-198F-486F-9D0A-5E88876817A9}"/>
            </c:ext>
          </c:extLst>
        </c:ser>
        <c:dLbls>
          <c:showLegendKey val="0"/>
          <c:showVal val="0"/>
          <c:showCatName val="0"/>
          <c:showSerName val="0"/>
          <c:showPercent val="0"/>
          <c:showBubbleSize val="0"/>
        </c:dLbls>
        <c:smooth val="0"/>
        <c:axId val="848043336"/>
        <c:axId val="848047272"/>
      </c:lineChart>
      <c:catAx>
        <c:axId val="848043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8047272"/>
        <c:crosses val="autoZero"/>
        <c:auto val="1"/>
        <c:lblAlgn val="ctr"/>
        <c:lblOffset val="100"/>
        <c:noMultiLvlLbl val="0"/>
      </c:catAx>
      <c:valAx>
        <c:axId val="84804727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8043336"/>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City Clerk - Total Revenues</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30988798813945"/>
          <c:y val="0.17373333333333335"/>
          <c:w val="0.84479629701459735"/>
          <c:h val="0.63038495188101484"/>
        </c:manualLayout>
      </c:layout>
      <c:lineChart>
        <c:grouping val="standard"/>
        <c:varyColors val="0"/>
        <c:ser>
          <c:idx val="1"/>
          <c:order val="1"/>
          <c:tx>
            <c:strRef>
              <c:f>'City Clerk'!$A$12</c:f>
              <c:strCache>
                <c:ptCount val="1"/>
                <c:pt idx="0">
                  <c:v>Total City Budget Revenues</c:v>
                </c:pt>
              </c:strCache>
            </c:strRef>
          </c:tx>
          <c:spPr>
            <a:ln w="28575" cap="rnd">
              <a:solidFill>
                <a:srgbClr val="008000"/>
              </a:solidFill>
              <a:round/>
            </a:ln>
            <a:effectLst/>
          </c:spPr>
          <c:marker>
            <c:symbol val="none"/>
          </c:marker>
          <c:cat>
            <c:numRef>
              <c:f>'City Clerk'!$D$5:$L$5</c:f>
              <c:numCache>
                <c:formatCode>General</c:formatCode>
                <c:ptCount val="9"/>
                <c:pt idx="0">
                  <c:v>2011</c:v>
                </c:pt>
                <c:pt idx="1">
                  <c:v>2012</c:v>
                </c:pt>
                <c:pt idx="2">
                  <c:v>2013</c:v>
                </c:pt>
                <c:pt idx="3">
                  <c:v>2014</c:v>
                </c:pt>
                <c:pt idx="4">
                  <c:v>2015</c:v>
                </c:pt>
                <c:pt idx="5">
                  <c:v>2016</c:v>
                </c:pt>
                <c:pt idx="6">
                  <c:v>2017</c:v>
                </c:pt>
                <c:pt idx="7">
                  <c:v>2018</c:v>
                </c:pt>
                <c:pt idx="8">
                  <c:v>2019</c:v>
                </c:pt>
              </c:numCache>
              <c:extLst xmlns:c15="http://schemas.microsoft.com/office/drawing/2012/chart"/>
            </c:numRef>
          </c:cat>
          <c:val>
            <c:numRef>
              <c:f>'City Clerk'!$D$7:$L$7</c:f>
              <c:numCache>
                <c:formatCode>_("$"* #,##0_);_("$"* \(#,##0\);_("$"* "-"??_);_(@_)</c:formatCode>
                <c:ptCount val="9"/>
                <c:pt idx="0">
                  <c:v>31395</c:v>
                </c:pt>
                <c:pt idx="1">
                  <c:v>45784</c:v>
                </c:pt>
                <c:pt idx="2">
                  <c:v>332237</c:v>
                </c:pt>
                <c:pt idx="3">
                  <c:v>180257</c:v>
                </c:pt>
                <c:pt idx="4">
                  <c:v>193526</c:v>
                </c:pt>
                <c:pt idx="5">
                  <c:v>181897</c:v>
                </c:pt>
                <c:pt idx="6">
                  <c:v>272128</c:v>
                </c:pt>
                <c:pt idx="7">
                  <c:v>520348</c:v>
                </c:pt>
                <c:pt idx="8">
                  <c:v>151000</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5775-43F4-A85A-6F4A6C61F623}"/>
            </c:ext>
          </c:extLst>
        </c:ser>
        <c:dLbls>
          <c:showLegendKey val="0"/>
          <c:showVal val="0"/>
          <c:showCatName val="0"/>
          <c:showSerName val="0"/>
          <c:showPercent val="0"/>
          <c:showBubbleSize val="0"/>
        </c:dLbls>
        <c:smooth val="0"/>
        <c:axId val="607690872"/>
        <c:axId val="607692184"/>
        <c:extLst>
          <c:ext xmlns:c15="http://schemas.microsoft.com/office/drawing/2012/chart" uri="{02D57815-91ED-43cb-92C2-25804820EDAC}">
            <c15:filteredLineSeries>
              <c15:ser>
                <c:idx val="0"/>
                <c:order val="0"/>
                <c:tx>
                  <c:strRef>
                    <c:extLst>
                      <c:ext uri="{02D57815-91ED-43cb-92C2-25804820EDAC}">
                        <c15:formulaRef>
                          <c15:sqref>'City Clerk'!$A$5</c15:sqref>
                        </c15:formulaRef>
                      </c:ext>
                    </c:extLst>
                    <c:strCache>
                      <c:ptCount val="1"/>
                    </c:strCache>
                  </c:strRef>
                </c:tx>
                <c:spPr>
                  <a:ln w="28575" cap="rnd">
                    <a:solidFill>
                      <a:schemeClr val="accent1"/>
                    </a:solidFill>
                    <a:round/>
                  </a:ln>
                  <a:effectLst/>
                </c:spPr>
                <c:marker>
                  <c:symbol val="none"/>
                </c:marker>
                <c:cat>
                  <c:numRef>
                    <c:extLst>
                      <c:ext uri="{02D57815-91ED-43cb-92C2-25804820EDAC}">
                        <c15:formulaRef>
                          <c15:sqref>'City Clerk'!$D$5:$L$5</c15:sqref>
                        </c15:formulaRef>
                      </c:ext>
                    </c:extLst>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extLst>
                      <c:ext uri="{02D57815-91ED-43cb-92C2-25804820EDAC}">
                        <c15:formulaRef>
                          <c15:sqref>CClerk!#REF!</c15:sqref>
                        </c15:formulaRef>
                      </c:ext>
                    </c:extLst>
                  </c:numRef>
                </c:val>
                <c:smooth val="0"/>
                <c:extLst>
                  <c:ext xmlns:c16="http://schemas.microsoft.com/office/drawing/2014/chart" uri="{C3380CC4-5D6E-409C-BE32-E72D297353CC}">
                    <c16:uniqueId val="{00000001-5775-43F4-A85A-6F4A6C61F623}"/>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'City Clerk'!$A$8</c15:sqref>
                        </c15:formulaRef>
                      </c:ext>
                    </c:extLst>
                    <c:strCache>
                      <c:ptCount val="1"/>
                      <c:pt idx="0">
                        <c:v>Internal Service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'City Clerk'!$D$5:$L$5</c15:sqref>
                        </c15:formulaRef>
                      </c:ext>
                    </c:extLst>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extLst xmlns:c15="http://schemas.microsoft.com/office/drawing/2012/chart">
                      <c:ext xmlns:c15="http://schemas.microsoft.com/office/drawing/2012/chart" uri="{02D57815-91ED-43cb-92C2-25804820EDAC}">
                        <c15:formulaRef>
                          <c15:sqref>'City Clerk'!$D$8:$L$8</c15:sqref>
                        </c15:formulaRef>
                      </c:ext>
                    </c:extLst>
                    <c:numCache>
                      <c:formatCode>_("$"* #,##0_);_("$"* \(#,##0\);_("$"* "-"??_);_(@_)</c:formatCode>
                      <c:ptCount val="9"/>
                      <c:pt idx="0">
                        <c:v>0</c:v>
                      </c:pt>
                      <c:pt idx="1">
                        <c:v>0</c:v>
                      </c:pt>
                      <c:pt idx="2">
                        <c:v>0</c:v>
                      </c:pt>
                      <c:pt idx="3">
                        <c:v>0</c:v>
                      </c:pt>
                      <c:pt idx="4">
                        <c:v>0</c:v>
                      </c:pt>
                      <c:pt idx="5">
                        <c:v>0</c:v>
                      </c:pt>
                      <c:pt idx="6">
                        <c:v>0</c:v>
                      </c:pt>
                      <c:pt idx="7">
                        <c:v>0</c:v>
                      </c:pt>
                      <c:pt idx="8">
                        <c:v>0</c:v>
                      </c:pt>
                    </c:numCache>
                  </c:numRef>
                </c:val>
                <c:smooth val="0"/>
                <c:extLst xmlns:c15="http://schemas.microsoft.com/office/drawing/2012/chart">
                  <c:ext xmlns:c16="http://schemas.microsoft.com/office/drawing/2014/chart" uri="{C3380CC4-5D6E-409C-BE32-E72D297353CC}">
                    <c16:uniqueId val="{00000003-5775-43F4-A85A-6F4A6C61F623}"/>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'City Clerk'!$A$9</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'City Clerk'!$D$5:$L$5</c15:sqref>
                        </c15:formulaRef>
                      </c:ext>
                    </c:extLst>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extLst xmlns:c15="http://schemas.microsoft.com/office/drawing/2012/chart">
                      <c:ext xmlns:c15="http://schemas.microsoft.com/office/drawing/2012/chart" uri="{02D57815-91ED-43cb-92C2-25804820EDAC}">
                        <c15:formulaRef>
                          <c15:sqref>'City Clerk'!$D$9:$L$9</c15:sqref>
                        </c15:formulaRef>
                      </c:ext>
                    </c:extLst>
                    <c:numCache>
                      <c:formatCode>_("$"* #,##0_);_("$"* \(#,##0\);_("$"* "-"??_);_(@_)</c:formatCode>
                      <c:ptCount val="9"/>
                      <c:pt idx="0">
                        <c:v>0</c:v>
                      </c:pt>
                      <c:pt idx="1">
                        <c:v>0</c:v>
                      </c:pt>
                      <c:pt idx="2">
                        <c:v>0</c:v>
                      </c:pt>
                      <c:pt idx="3">
                        <c:v>0</c:v>
                      </c:pt>
                      <c:pt idx="4">
                        <c:v>0</c:v>
                      </c:pt>
                      <c:pt idx="5">
                        <c:v>0</c:v>
                      </c:pt>
                      <c:pt idx="6">
                        <c:v>0</c:v>
                      </c:pt>
                      <c:pt idx="7">
                        <c:v>0</c:v>
                      </c:pt>
                      <c:pt idx="8">
                        <c:v>0</c:v>
                      </c:pt>
                    </c:numCache>
                  </c:numRef>
                </c:val>
                <c:smooth val="0"/>
                <c:extLst xmlns:c15="http://schemas.microsoft.com/office/drawing/2012/chart">
                  <c:ext xmlns:c16="http://schemas.microsoft.com/office/drawing/2014/chart" uri="{C3380CC4-5D6E-409C-BE32-E72D297353CC}">
                    <c16:uniqueId val="{00000004-5775-43F4-A85A-6F4A6C61F623}"/>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'City Clerk'!$A$10</c15:sqref>
                        </c15:formulaRef>
                      </c:ext>
                    </c:extLst>
                    <c:strCache>
                      <c:ptCount val="1"/>
                      <c:pt idx="0">
                        <c:v>Special Revenue Funds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'City Clerk'!$D$5:$L$5</c15:sqref>
                        </c15:formulaRef>
                      </c:ext>
                    </c:extLst>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extLst xmlns:c15="http://schemas.microsoft.com/office/drawing/2012/chart">
                      <c:ext xmlns:c15="http://schemas.microsoft.com/office/drawing/2012/chart" uri="{02D57815-91ED-43cb-92C2-25804820EDAC}">
                        <c15:formulaRef>
                          <c15:sqref>'City Clerk'!$D$10:$L$10</c15:sqref>
                        </c15:formulaRef>
                      </c:ext>
                    </c:extLst>
                    <c:numCache>
                      <c:formatCode>_("$"* #,##0_);_("$"* \(#,##0\);_("$"* "-"??_);_(@_)</c:formatCode>
                      <c:ptCount val="9"/>
                      <c:pt idx="0">
                        <c:v>0</c:v>
                      </c:pt>
                      <c:pt idx="1">
                        <c:v>0</c:v>
                      </c:pt>
                      <c:pt idx="2">
                        <c:v>0</c:v>
                      </c:pt>
                      <c:pt idx="3">
                        <c:v>0</c:v>
                      </c:pt>
                      <c:pt idx="4">
                        <c:v>0</c:v>
                      </c:pt>
                      <c:pt idx="5">
                        <c:v>0</c:v>
                      </c:pt>
                      <c:pt idx="6">
                        <c:v>0</c:v>
                      </c:pt>
                      <c:pt idx="7">
                        <c:v>0</c:v>
                      </c:pt>
                      <c:pt idx="8">
                        <c:v>0</c:v>
                      </c:pt>
                    </c:numCache>
                  </c:numRef>
                </c:val>
                <c:smooth val="0"/>
                <c:extLst xmlns:c15="http://schemas.microsoft.com/office/drawing/2012/chart">
                  <c:ext xmlns:c16="http://schemas.microsoft.com/office/drawing/2014/chart" uri="{C3380CC4-5D6E-409C-BE32-E72D297353CC}">
                    <c16:uniqueId val="{00000005-5775-43F4-A85A-6F4A6C61F623}"/>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'City Clerk'!$A$11</c15:sqref>
                        </c15:formulaRef>
                      </c:ext>
                    </c:extLst>
                    <c:strCache>
                      <c:ptCount val="1"/>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'City Clerk'!$D$5:$L$5</c15:sqref>
                        </c15:formulaRef>
                      </c:ext>
                    </c:extLst>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extLst xmlns:c15="http://schemas.microsoft.com/office/drawing/2012/chart">
                      <c:ext xmlns:c15="http://schemas.microsoft.com/office/drawing/2012/chart" uri="{02D57815-91ED-43cb-92C2-25804820EDAC}">
                        <c15:formulaRef>
                          <c15:sqref>'City Clerk'!$D$11:$L$11</c15:sqref>
                        </c15:formulaRef>
                      </c:ext>
                    </c:extLst>
                    <c:numCache>
                      <c:formatCode>_("$"* #,##0_);_("$"* \(#,##0\);_("$"* "-"??_);_(@_)</c:formatCode>
                      <c:ptCount val="9"/>
                    </c:numCache>
                  </c:numRef>
                </c:val>
                <c:smooth val="0"/>
                <c:extLst xmlns:c15="http://schemas.microsoft.com/office/drawing/2012/chart">
                  <c:ext xmlns:c16="http://schemas.microsoft.com/office/drawing/2014/chart" uri="{C3380CC4-5D6E-409C-BE32-E72D297353CC}">
                    <c16:uniqueId val="{00000006-5775-43F4-A85A-6F4A6C61F623}"/>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'City Clerk'!$A$12</c15:sqref>
                        </c15:formulaRef>
                      </c:ext>
                    </c:extLst>
                    <c:strCache>
                      <c:ptCount val="1"/>
                      <c:pt idx="0">
                        <c:v>Total City Budget Revenues</c:v>
                      </c:pt>
                    </c:strCache>
                  </c:strRef>
                </c:tx>
                <c:spPr>
                  <a:ln w="28575" cap="rnd">
                    <a:solidFill>
                      <a:sysClr val="windowText" lastClr="000000"/>
                    </a:solidFill>
                    <a:round/>
                  </a:ln>
                  <a:effectLst/>
                </c:spPr>
                <c:marker>
                  <c:symbol val="none"/>
                </c:marker>
                <c:cat>
                  <c:numRef>
                    <c:extLst xmlns:c15="http://schemas.microsoft.com/office/drawing/2012/chart">
                      <c:ext xmlns:c15="http://schemas.microsoft.com/office/drawing/2012/chart" uri="{02D57815-91ED-43cb-92C2-25804820EDAC}">
                        <c15:formulaRef>
                          <c15:sqref>'City Clerk'!$D$5:$L$5</c15:sqref>
                        </c15:formulaRef>
                      </c:ext>
                    </c:extLst>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extLst xmlns:c15="http://schemas.microsoft.com/office/drawing/2012/chart">
                      <c:ext xmlns:c15="http://schemas.microsoft.com/office/drawing/2012/chart" uri="{02D57815-91ED-43cb-92C2-25804820EDAC}">
                        <c15:formulaRef>
                          <c15:sqref>'City Clerk'!$D$12:$L$12</c15:sqref>
                        </c15:formulaRef>
                      </c:ext>
                    </c:extLst>
                    <c:numCache>
                      <c:formatCode>_("$"* #,##0_);_("$"* \(#,##0\);_("$"* "-"??_);_(@_)</c:formatCode>
                      <c:ptCount val="9"/>
                      <c:pt idx="0">
                        <c:v>31395</c:v>
                      </c:pt>
                      <c:pt idx="1">
                        <c:v>45784</c:v>
                      </c:pt>
                      <c:pt idx="2">
                        <c:v>332237</c:v>
                      </c:pt>
                      <c:pt idx="3">
                        <c:v>180257</c:v>
                      </c:pt>
                      <c:pt idx="4">
                        <c:v>193526</c:v>
                      </c:pt>
                      <c:pt idx="5">
                        <c:v>181897</c:v>
                      </c:pt>
                      <c:pt idx="6">
                        <c:v>272128</c:v>
                      </c:pt>
                      <c:pt idx="7">
                        <c:v>520348</c:v>
                      </c:pt>
                      <c:pt idx="8">
                        <c:v>151000</c:v>
                      </c:pt>
                    </c:numCache>
                  </c:numRef>
                </c:val>
                <c:smooth val="0"/>
                <c:extLst xmlns:c15="http://schemas.microsoft.com/office/drawing/2012/chart">
                  <c:ext xmlns:c16="http://schemas.microsoft.com/office/drawing/2014/chart" uri="{C3380CC4-5D6E-409C-BE32-E72D297353CC}">
                    <c16:uniqueId val="{00000000-5775-43F4-A85A-6F4A6C61F623}"/>
                  </c:ext>
                </c:extLst>
              </c15:ser>
            </c15:filteredLineSeries>
          </c:ext>
        </c:extLst>
      </c:lineChart>
      <c:catAx>
        <c:axId val="607690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92184"/>
        <c:crosses val="autoZero"/>
        <c:auto val="1"/>
        <c:lblAlgn val="ctr"/>
        <c:lblOffset val="100"/>
        <c:noMultiLvlLbl val="0"/>
      </c:catAx>
      <c:valAx>
        <c:axId val="60769218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90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City Clerk - Total Expenditures</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'City Clerk'!$A$21</c:f>
              <c:strCache>
                <c:ptCount val="1"/>
                <c:pt idx="0">
                  <c:v>Total City Budget Expenditures</c:v>
                </c:pt>
              </c:strCache>
            </c:strRef>
          </c:tx>
          <c:spPr>
            <a:ln w="28575" cap="rnd">
              <a:solidFill>
                <a:srgbClr val="FF0000"/>
              </a:solidFill>
              <a:round/>
            </a:ln>
            <a:effectLst/>
          </c:spPr>
          <c:marker>
            <c:symbol val="none"/>
          </c:marker>
          <c:cat>
            <c:numRef>
              <c:f>'City Clerk'!$B$15:$L$15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'City Clerk'!$B$16:$L$16</c:f>
              <c:numCache>
                <c:formatCode>_("$"* #,##0_);_("$"* \(#,##0\);_("$"* "-"??_);_(@_)</c:formatCode>
                <c:ptCount val="11"/>
                <c:pt idx="0">
                  <c:v>359189</c:v>
                </c:pt>
                <c:pt idx="1">
                  <c:v>492843</c:v>
                </c:pt>
                <c:pt idx="2">
                  <c:v>438062</c:v>
                </c:pt>
                <c:pt idx="3">
                  <c:v>441233</c:v>
                </c:pt>
                <c:pt idx="4">
                  <c:v>454431</c:v>
                </c:pt>
                <c:pt idx="5">
                  <c:v>599214</c:v>
                </c:pt>
                <c:pt idx="6">
                  <c:v>947688</c:v>
                </c:pt>
                <c:pt idx="7">
                  <c:v>586611</c:v>
                </c:pt>
                <c:pt idx="8">
                  <c:v>745450</c:v>
                </c:pt>
                <c:pt idx="9">
                  <c:v>949562</c:v>
                </c:pt>
                <c:pt idx="10">
                  <c:v>719859</c:v>
                </c:pt>
              </c:numCache>
            </c:numRef>
          </c:val>
          <c:smooth val="0"/>
          <c:extLst>
            <c:ext xmlns:c16="http://schemas.microsoft.com/office/drawing/2014/chart" uri="{C3380CC4-5D6E-409C-BE32-E72D297353CC}">
              <c16:uniqueId val="{00000001-8BCC-4A9D-8452-CE9679EFA997}"/>
            </c:ext>
          </c:extLst>
        </c:ser>
        <c:dLbls>
          <c:showLegendKey val="0"/>
          <c:showVal val="0"/>
          <c:showCatName val="0"/>
          <c:showSerName val="0"/>
          <c:showPercent val="0"/>
          <c:showBubbleSize val="0"/>
        </c:dLbls>
        <c:smooth val="0"/>
        <c:axId val="680275936"/>
        <c:axId val="680276920"/>
        <c:extLst>
          <c:ext xmlns:c15="http://schemas.microsoft.com/office/drawing/2012/chart" uri="{02D57815-91ED-43cb-92C2-25804820EDAC}">
            <c15:filteredLineSeries>
              <c15:ser>
                <c:idx val="0"/>
                <c:order val="0"/>
                <c:tx>
                  <c:strRef>
                    <c:extLst>
                      <c:ext uri="{02D57815-91ED-43cb-92C2-25804820EDAC}">
                        <c15:formulaRef>
                          <c15:sqref>'City Clerk'!$A$15</c15:sqref>
                        </c15:formulaRef>
                      </c:ext>
                    </c:extLst>
                    <c:strCache>
                      <c:ptCount val="1"/>
                      <c:pt idx="0">
                        <c:v>EXPENDITURES</c:v>
                      </c:pt>
                    </c:strCache>
                  </c:strRef>
                </c:tx>
                <c:spPr>
                  <a:ln w="28575" cap="rnd">
                    <a:solidFill>
                      <a:schemeClr val="accent1"/>
                    </a:solidFill>
                    <a:round/>
                  </a:ln>
                  <a:effectLst/>
                </c:spPr>
                <c:marker>
                  <c:symbol val="none"/>
                </c:marker>
                <c:cat>
                  <c:numRef>
                    <c:extLst>
                      <c:ext uri="{02D57815-91ED-43cb-92C2-25804820EDAC}">
                        <c15:formulaRef>
                          <c15:sqref>'City Clerk'!$B$15:$L$15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'City Clerk'!$B$15:$L$15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val>
                <c:smooth val="0"/>
                <c:extLst>
                  <c:ext xmlns:c16="http://schemas.microsoft.com/office/drawing/2014/chart" uri="{C3380CC4-5D6E-409C-BE32-E72D297353CC}">
                    <c16:uniqueId val="{00000000-8BCC-4A9D-8452-CE9679EFA997}"/>
                  </c:ext>
                </c:extLst>
              </c15:ser>
            </c15:filteredLineSeries>
          </c:ext>
        </c:extLst>
      </c:lineChart>
      <c:catAx>
        <c:axId val="680275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0276920"/>
        <c:crosses val="autoZero"/>
        <c:auto val="1"/>
        <c:lblAlgn val="ctr"/>
        <c:lblOffset val="100"/>
        <c:noMultiLvlLbl val="0"/>
      </c:catAx>
      <c:valAx>
        <c:axId val="68027692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0275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ysClr val="window" lastClr="FFFFFF"/>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City Clerk - Expenditures per Capita</a:t>
            </a:r>
          </a:p>
        </c:rich>
      </c:tx>
      <c:overlay val="0"/>
      <c:spPr>
        <a:noFill/>
        <a:ln>
          <a:noFill/>
        </a:ln>
        <a:effectLst/>
      </c:spPr>
    </c:title>
    <c:autoTitleDeleted val="0"/>
    <c:plotArea>
      <c:layout/>
      <c:lineChart>
        <c:grouping val="standard"/>
        <c:varyColors val="0"/>
        <c:ser>
          <c:idx val="2"/>
          <c:order val="0"/>
          <c:tx>
            <c:strRef>
              <c:f>'City Clerk'!$A$25</c:f>
              <c:strCache>
                <c:ptCount val="1"/>
                <c:pt idx="0">
                  <c:v>Expenditures per Capita</c:v>
                </c:pt>
              </c:strCache>
            </c:strRef>
          </c:tx>
          <c:spPr>
            <a:ln>
              <a:solidFill>
                <a:srgbClr val="FF0000"/>
              </a:solidFill>
            </a:ln>
          </c:spPr>
          <c:marker>
            <c:symbol val="none"/>
          </c:marker>
          <c:cat>
            <c:numRef>
              <c:f>'City Clerk'!$B$24:$L$24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'City Clerk'!$B$25:$L$25</c:f>
              <c:numCache>
                <c:formatCode>_("$"* #,##0.00_);_("$"* \(#,##0.00\);_("$"* "-"??_);_(@_)</c:formatCode>
                <c:ptCount val="11"/>
                <c:pt idx="0">
                  <c:v>5.6867895253475194</c:v>
                </c:pt>
                <c:pt idx="1">
                  <c:v>7.2752944997195241</c:v>
                </c:pt>
                <c:pt idx="2">
                  <c:v>6.370791582437719</c:v>
                </c:pt>
                <c:pt idx="3">
                  <c:v>6.3632338731774851</c:v>
                </c:pt>
                <c:pt idx="4">
                  <c:v>6.457737672303538</c:v>
                </c:pt>
                <c:pt idx="5">
                  <c:v>8.4364255846368277</c:v>
                </c:pt>
                <c:pt idx="6">
                  <c:v>12.907763552165623</c:v>
                </c:pt>
                <c:pt idx="7">
                  <c:v>7.8861464004839688</c:v>
                </c:pt>
                <c:pt idx="8">
                  <c:v>9.8292457805907176</c:v>
                </c:pt>
                <c:pt idx="9">
                  <c:v>12.290155574538582</c:v>
                </c:pt>
                <c:pt idx="10">
                  <c:v>9.1144466953659151</c:v>
                </c:pt>
              </c:numCache>
            </c:numRef>
          </c:val>
          <c:smooth val="0"/>
          <c:extLst>
            <c:ext xmlns:c16="http://schemas.microsoft.com/office/drawing/2014/chart" uri="{C3380CC4-5D6E-409C-BE32-E72D297353CC}">
              <c16:uniqueId val="{00000004-4E25-480B-B377-4DCAC5B08046}"/>
            </c:ext>
          </c:extLst>
        </c:ser>
        <c:dLbls>
          <c:showLegendKey val="0"/>
          <c:showVal val="0"/>
          <c:showCatName val="0"/>
          <c:showSerName val="0"/>
          <c:showPercent val="0"/>
          <c:showBubbleSize val="0"/>
        </c:dLbls>
        <c:smooth val="0"/>
        <c:axId val="680275936"/>
        <c:axId val="680276920"/>
        <c:extLst/>
      </c:lineChart>
      <c:catAx>
        <c:axId val="680275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0276920"/>
        <c:crosses val="autoZero"/>
        <c:auto val="1"/>
        <c:lblAlgn val="ctr"/>
        <c:lblOffset val="100"/>
        <c:noMultiLvlLbl val="0"/>
      </c:catAx>
      <c:valAx>
        <c:axId val="68027692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0275936"/>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City Clerk - Expenditures per FTE</a:t>
            </a:r>
          </a:p>
        </c:rich>
      </c:tx>
      <c:overlay val="0"/>
      <c:spPr>
        <a:noFill/>
        <a:ln>
          <a:noFill/>
        </a:ln>
        <a:effectLst/>
      </c:spPr>
    </c:title>
    <c:autoTitleDeleted val="0"/>
    <c:plotArea>
      <c:layout/>
      <c:lineChart>
        <c:grouping val="standard"/>
        <c:varyColors val="0"/>
        <c:ser>
          <c:idx val="0"/>
          <c:order val="0"/>
          <c:tx>
            <c:strRef>
              <c:f>'City Clerk'!$A$28</c:f>
              <c:strCache>
                <c:ptCount val="1"/>
                <c:pt idx="0">
                  <c:v>Expenditures per FTE</c:v>
                </c:pt>
              </c:strCache>
            </c:strRef>
          </c:tx>
          <c:spPr>
            <a:ln>
              <a:solidFill>
                <a:srgbClr val="FF0000"/>
              </a:solidFill>
            </a:ln>
          </c:spPr>
          <c:marker>
            <c:symbol val="none"/>
          </c:marker>
          <c:cat>
            <c:numRef>
              <c:f>'City Clerk'!$B$24:$L$24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'City Clerk'!$B$28:$L$28</c:f>
              <c:numCache>
                <c:formatCode>_("$"* #,##0_);_("$"* \(#,##0\);_("$"* "-"??_);_(@_)</c:formatCode>
                <c:ptCount val="11"/>
                <c:pt idx="0">
                  <c:v>71837.8</c:v>
                </c:pt>
                <c:pt idx="1">
                  <c:v>123210.75</c:v>
                </c:pt>
                <c:pt idx="2">
                  <c:v>116816.53333333334</c:v>
                </c:pt>
                <c:pt idx="3">
                  <c:v>117662.13333333333</c:v>
                </c:pt>
                <c:pt idx="4">
                  <c:v>110031.71912832931</c:v>
                </c:pt>
                <c:pt idx="5">
                  <c:v>145088.13559322033</c:v>
                </c:pt>
                <c:pt idx="6">
                  <c:v>229464.40677966102</c:v>
                </c:pt>
                <c:pt idx="7">
                  <c:v>142036.56174334142</c:v>
                </c:pt>
                <c:pt idx="8">
                  <c:v>138688.37209302327</c:v>
                </c:pt>
                <c:pt idx="9">
                  <c:v>189912.4</c:v>
                </c:pt>
                <c:pt idx="10">
                  <c:v>143971.79999999999</c:v>
                </c:pt>
              </c:numCache>
            </c:numRef>
          </c:val>
          <c:smooth val="0"/>
          <c:extLst>
            <c:ext xmlns:c16="http://schemas.microsoft.com/office/drawing/2014/chart" uri="{C3380CC4-5D6E-409C-BE32-E72D297353CC}">
              <c16:uniqueId val="{00000002-2F32-4F60-93FC-49F6AE72DC40}"/>
            </c:ext>
          </c:extLst>
        </c:ser>
        <c:dLbls>
          <c:showLegendKey val="0"/>
          <c:showVal val="0"/>
          <c:showCatName val="0"/>
          <c:showSerName val="0"/>
          <c:showPercent val="0"/>
          <c:showBubbleSize val="0"/>
        </c:dLbls>
        <c:smooth val="0"/>
        <c:axId val="680275936"/>
        <c:axId val="680276920"/>
        <c:extLst/>
      </c:lineChart>
      <c:catAx>
        <c:axId val="680275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0276920"/>
        <c:crosses val="autoZero"/>
        <c:auto val="1"/>
        <c:lblAlgn val="ctr"/>
        <c:lblOffset val="100"/>
        <c:noMultiLvlLbl val="0"/>
      </c:catAx>
      <c:valAx>
        <c:axId val="68027692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0275936"/>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Cultural Services - Total Revenues</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'Cult. Svc.'!$A$7</c:f>
              <c:strCache>
                <c:ptCount val="1"/>
                <c:pt idx="0">
                  <c:v>General Fund</c:v>
                </c:pt>
              </c:strCache>
              <c:extLst xmlns:c15="http://schemas.microsoft.com/office/drawing/2012/chart"/>
            </c:strRef>
          </c:tx>
          <c:spPr>
            <a:ln w="28575" cap="rnd">
              <a:solidFill>
                <a:sysClr val="windowText" lastClr="000000"/>
              </a:solidFill>
              <a:round/>
            </a:ln>
            <a:effectLst/>
          </c:spPr>
          <c:marker>
            <c:symbol val="none"/>
          </c:marker>
          <c:cat>
            <c:numRef>
              <c:f>'Cult. Svc.'!$B$5:$L$5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'Cult. Svc.'!$B$7:$L$7</c:f>
              <c:numCache>
                <c:formatCode>_("$"* #,##0_);_("$"* \(#,##0\);_("$"* "-"??_);_(@_)</c:formatCode>
                <c:ptCount val="11"/>
                <c:pt idx="0">
                  <c:v>312948</c:v>
                </c:pt>
                <c:pt idx="1">
                  <c:v>216318</c:v>
                </c:pt>
                <c:pt idx="2">
                  <c:v>232677</c:v>
                </c:pt>
                <c:pt idx="3">
                  <c:v>448241</c:v>
                </c:pt>
                <c:pt idx="4">
                  <c:v>406124</c:v>
                </c:pt>
                <c:pt idx="5">
                  <c:v>430764</c:v>
                </c:pt>
                <c:pt idx="6">
                  <c:v>474316</c:v>
                </c:pt>
                <c:pt idx="7">
                  <c:v>524507</c:v>
                </c:pt>
                <c:pt idx="8">
                  <c:v>500970</c:v>
                </c:pt>
                <c:pt idx="9">
                  <c:v>506800</c:v>
                </c:pt>
                <c:pt idx="10">
                  <c:v>572169</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95E4-4582-A454-EC25DC1384CF}"/>
            </c:ext>
          </c:extLst>
        </c:ser>
        <c:ser>
          <c:idx val="4"/>
          <c:order val="4"/>
          <c:tx>
            <c:strRef>
              <c:f>'Cult. Svc.'!$A$10</c:f>
              <c:strCache>
                <c:ptCount val="1"/>
                <c:pt idx="0">
                  <c:v>Special Revenue Funds</c:v>
                </c:pt>
              </c:strCache>
              <c:extLst xmlns:c15="http://schemas.microsoft.com/office/drawing/2012/chart"/>
            </c:strRef>
          </c:tx>
          <c:spPr>
            <a:ln w="28575" cap="rnd">
              <a:solidFill>
                <a:srgbClr val="996633"/>
              </a:solidFill>
              <a:round/>
            </a:ln>
            <a:effectLst/>
          </c:spPr>
          <c:marker>
            <c:symbol val="none"/>
          </c:marker>
          <c:cat>
            <c:numRef>
              <c:f>'Cult. Svc.'!$B$5:$L$5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'Cult. Svc.'!$B$10:$L$10</c:f>
              <c:numCache>
                <c:formatCode>_("$"* #,##0_);_("$"* \(#,##0\);_("$"* "-"??_);_(@_)</c:formatCode>
                <c:ptCount val="11"/>
                <c:pt idx="0">
                  <c:v>470246</c:v>
                </c:pt>
                <c:pt idx="1">
                  <c:v>303015</c:v>
                </c:pt>
                <c:pt idx="2">
                  <c:v>417780</c:v>
                </c:pt>
                <c:pt idx="3">
                  <c:v>329413</c:v>
                </c:pt>
                <c:pt idx="4">
                  <c:v>349658</c:v>
                </c:pt>
                <c:pt idx="5">
                  <c:v>752344</c:v>
                </c:pt>
                <c:pt idx="6">
                  <c:v>704869</c:v>
                </c:pt>
                <c:pt idx="7">
                  <c:v>595019</c:v>
                </c:pt>
                <c:pt idx="8">
                  <c:v>504193</c:v>
                </c:pt>
                <c:pt idx="9">
                  <c:v>1504990</c:v>
                </c:pt>
                <c:pt idx="10">
                  <c:v>796656</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95E4-4582-A454-EC25DC1384CF}"/>
            </c:ext>
          </c:extLst>
        </c:ser>
        <c:ser>
          <c:idx val="6"/>
          <c:order val="6"/>
          <c:tx>
            <c:strRef>
              <c:f>'Cult. Svc.'!$A$12</c:f>
              <c:strCache>
                <c:ptCount val="1"/>
                <c:pt idx="0">
                  <c:v>Total City Budget Revenues</c:v>
                </c:pt>
              </c:strCache>
            </c:strRef>
          </c:tx>
          <c:spPr>
            <a:ln w="28575" cap="rnd">
              <a:solidFill>
                <a:srgbClr val="008000"/>
              </a:solidFill>
              <a:round/>
            </a:ln>
            <a:effectLst/>
          </c:spPr>
          <c:marker>
            <c:symbol val="none"/>
          </c:marker>
          <c:cat>
            <c:numRef>
              <c:f>'Cult. Svc.'!$B$5:$L$5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'Cult. Svc.'!$B$12:$L$12</c:f>
              <c:numCache>
                <c:formatCode>_("$"* #,##0_);_("$"* \(#,##0\);_("$"* "-"??_);_(@_)</c:formatCode>
                <c:ptCount val="11"/>
                <c:pt idx="0">
                  <c:v>783194</c:v>
                </c:pt>
                <c:pt idx="1">
                  <c:v>519333</c:v>
                </c:pt>
                <c:pt idx="2">
                  <c:v>650457</c:v>
                </c:pt>
                <c:pt idx="3">
                  <c:v>777654</c:v>
                </c:pt>
                <c:pt idx="4">
                  <c:v>755782</c:v>
                </c:pt>
                <c:pt idx="5">
                  <c:v>1183108</c:v>
                </c:pt>
                <c:pt idx="6">
                  <c:v>1179185</c:v>
                </c:pt>
                <c:pt idx="7">
                  <c:v>1119526</c:v>
                </c:pt>
                <c:pt idx="8">
                  <c:v>1005163</c:v>
                </c:pt>
                <c:pt idx="9">
                  <c:v>2011790</c:v>
                </c:pt>
                <c:pt idx="10">
                  <c:v>1368825</c:v>
                </c:pt>
              </c:numCache>
            </c:numRef>
          </c:val>
          <c:smooth val="0"/>
          <c:extLst>
            <c:ext xmlns:c16="http://schemas.microsoft.com/office/drawing/2014/chart" uri="{C3380CC4-5D6E-409C-BE32-E72D297353CC}">
              <c16:uniqueId val="{00000002-95E4-4582-A454-EC25DC1384CF}"/>
            </c:ext>
          </c:extLst>
        </c:ser>
        <c:dLbls>
          <c:showLegendKey val="0"/>
          <c:showVal val="0"/>
          <c:showCatName val="0"/>
          <c:showSerName val="0"/>
          <c:showPercent val="0"/>
          <c:showBubbleSize val="0"/>
        </c:dLbls>
        <c:smooth val="0"/>
        <c:axId val="607692512"/>
        <c:axId val="607694808"/>
        <c:extLst>
          <c:ext xmlns:c15="http://schemas.microsoft.com/office/drawing/2012/chart" uri="{02D57815-91ED-43cb-92C2-25804820EDAC}">
            <c15:filteredLineSeries>
              <c15:ser>
                <c:idx val="0"/>
                <c:order val="0"/>
                <c:tx>
                  <c:strRef>
                    <c:extLst>
                      <c:ext uri="{02D57815-91ED-43cb-92C2-25804820EDAC}">
                        <c15:formulaRef>
                          <c15:sqref>'Cult. Svc.'!$A$6</c15:sqref>
                        </c15:formulaRef>
                      </c:ext>
                    </c:extLst>
                    <c:strCache>
                      <c:ptCount val="1"/>
                      <c:pt idx="0">
                        <c:v>REVENUES</c:v>
                      </c:pt>
                    </c:strCache>
                  </c:strRef>
                </c:tx>
                <c:spPr>
                  <a:ln w="28575" cap="rnd">
                    <a:solidFill>
                      <a:schemeClr val="accent1"/>
                    </a:solidFill>
                    <a:round/>
                  </a:ln>
                  <a:effectLst/>
                </c:spPr>
                <c:marker>
                  <c:symbol val="none"/>
                </c:marker>
                <c:cat>
                  <c:numRef>
                    <c:extLst>
                      <c:ext uri="{02D57815-91ED-43cb-92C2-25804820EDAC}">
                        <c15:formulaRef>
                          <c15:sqref>'Cult. Svc.'!$B$5:$L$5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CS!#REF!</c15:sqref>
                        </c15:formulaRef>
                      </c:ext>
                    </c:extLst>
                    <c:numCache>
                      <c:formatCode>General</c:formatCode>
                      <c:ptCount val="1"/>
                      <c:pt idx="0">
                        <c:v>1</c:v>
                      </c:pt>
                    </c:numCache>
                  </c:numRef>
                </c:val>
                <c:smooth val="0"/>
                <c:extLst>
                  <c:ext xmlns:c16="http://schemas.microsoft.com/office/drawing/2014/chart" uri="{C3380CC4-5D6E-409C-BE32-E72D297353CC}">
                    <c16:uniqueId val="{00000003-95E4-4582-A454-EC25DC1384CF}"/>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'Cult. Svc.'!$A$8</c15:sqref>
                        </c15:formulaRef>
                      </c:ext>
                    </c:extLst>
                    <c:strCache>
                      <c:ptCount val="1"/>
                      <c:pt idx="0">
                        <c:v>Internal Service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'Cult. Svc.'!$B$5:$L$5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'Cult. Svc.'!$B$8:$L$8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4-95E4-4582-A454-EC25DC1384CF}"/>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'Cult. Svc.'!$A$9</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'Cult. Svc.'!$B$5:$L$5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'Cult. Svc.'!$B$9:$L$9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5-95E4-4582-A454-EC25DC1384CF}"/>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'Cult. Svc.'!$A$11</c15:sqref>
                        </c15:formulaRef>
                      </c:ext>
                    </c:extLst>
                    <c:strCache>
                      <c:ptCount val="1"/>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'Cult. Svc.'!$B$5:$L$5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'Cult. Svc.'!$B$11:$L$11</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6-95E4-4582-A454-EC25DC1384CF}"/>
                  </c:ext>
                </c:extLst>
              </c15:ser>
            </c15:filteredLineSeries>
          </c:ext>
        </c:extLst>
      </c:lineChart>
      <c:catAx>
        <c:axId val="6076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94808"/>
        <c:crosses val="autoZero"/>
        <c:auto val="1"/>
        <c:lblAlgn val="ctr"/>
        <c:lblOffset val="100"/>
        <c:noMultiLvlLbl val="0"/>
      </c:catAx>
      <c:valAx>
        <c:axId val="60769480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92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ysClr val="window" lastClr="FFFFFF"/>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Cultural</a:t>
            </a:r>
            <a:r>
              <a:rPr lang="en-US" sz="1800" b="1" baseline="0"/>
              <a:t> Services - Total Expenditures</a:t>
            </a:r>
            <a:endParaRPr lang="en-US"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'Cult. Svc.'!$A$16</c:f>
              <c:strCache>
                <c:ptCount val="1"/>
                <c:pt idx="0">
                  <c:v>General Fund</c:v>
                </c:pt>
              </c:strCache>
            </c:strRef>
          </c:tx>
          <c:spPr>
            <a:ln w="28575" cap="rnd">
              <a:solidFill>
                <a:schemeClr val="tx1"/>
              </a:solidFill>
              <a:round/>
            </a:ln>
            <a:effectLst/>
          </c:spPr>
          <c:marker>
            <c:symbol val="none"/>
          </c:marker>
          <c:cat>
            <c:numRef>
              <c:f>'Cult. Svc.'!$B$15:$L$15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'Cult. Svc.'!$B$16:$L$16</c:f>
              <c:numCache>
                <c:formatCode>_("$"* #,##0_);_("$"* \(#,##0\);_("$"* "-"??_);_(@_)</c:formatCode>
                <c:ptCount val="11"/>
                <c:pt idx="0">
                  <c:v>1248068</c:v>
                </c:pt>
                <c:pt idx="1">
                  <c:v>1133935</c:v>
                </c:pt>
                <c:pt idx="2">
                  <c:v>1224116</c:v>
                </c:pt>
                <c:pt idx="3">
                  <c:v>1360178</c:v>
                </c:pt>
                <c:pt idx="4">
                  <c:v>1719180</c:v>
                </c:pt>
                <c:pt idx="5">
                  <c:v>1922206</c:v>
                </c:pt>
                <c:pt idx="6">
                  <c:v>1972792</c:v>
                </c:pt>
                <c:pt idx="7">
                  <c:v>2104255</c:v>
                </c:pt>
                <c:pt idx="8">
                  <c:v>2333239</c:v>
                </c:pt>
                <c:pt idx="9">
                  <c:v>2590726</c:v>
                </c:pt>
                <c:pt idx="10">
                  <c:v>2002310</c:v>
                </c:pt>
              </c:numCache>
            </c:numRef>
          </c:val>
          <c:smooth val="0"/>
          <c:extLst>
            <c:ext xmlns:c16="http://schemas.microsoft.com/office/drawing/2014/chart" uri="{C3380CC4-5D6E-409C-BE32-E72D297353CC}">
              <c16:uniqueId val="{00000001-6B79-4883-9098-AA0F62E72285}"/>
            </c:ext>
          </c:extLst>
        </c:ser>
        <c:ser>
          <c:idx val="4"/>
          <c:order val="4"/>
          <c:tx>
            <c:strRef>
              <c:f>'Cult. Svc.'!$A$19</c:f>
              <c:strCache>
                <c:ptCount val="1"/>
                <c:pt idx="0">
                  <c:v>Special Revenue Funds</c:v>
                </c:pt>
              </c:strCache>
            </c:strRef>
          </c:tx>
          <c:spPr>
            <a:ln w="28575" cap="rnd">
              <a:solidFill>
                <a:srgbClr val="996633"/>
              </a:solidFill>
              <a:round/>
            </a:ln>
            <a:effectLst/>
          </c:spPr>
          <c:marker>
            <c:symbol val="none"/>
          </c:marker>
          <c:cat>
            <c:numRef>
              <c:f>'Cult. Svc.'!$B$15:$L$15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'Cult. Svc.'!$B$19:$L$19</c:f>
              <c:numCache>
                <c:formatCode>_("$"* #,##0_);_("$"* \(#,##0\);_("$"* "-"??_);_(@_)</c:formatCode>
                <c:ptCount val="11"/>
                <c:pt idx="0">
                  <c:v>550224</c:v>
                </c:pt>
                <c:pt idx="1">
                  <c:v>283940</c:v>
                </c:pt>
                <c:pt idx="2">
                  <c:v>827625</c:v>
                </c:pt>
                <c:pt idx="3">
                  <c:v>430949</c:v>
                </c:pt>
                <c:pt idx="4">
                  <c:v>284191</c:v>
                </c:pt>
                <c:pt idx="5">
                  <c:v>561329</c:v>
                </c:pt>
                <c:pt idx="6">
                  <c:v>195400</c:v>
                </c:pt>
                <c:pt idx="7">
                  <c:v>2297929</c:v>
                </c:pt>
                <c:pt idx="8">
                  <c:v>297275</c:v>
                </c:pt>
                <c:pt idx="9">
                  <c:v>903064</c:v>
                </c:pt>
                <c:pt idx="10">
                  <c:v>377489</c:v>
                </c:pt>
              </c:numCache>
            </c:numRef>
          </c:val>
          <c:smooth val="0"/>
          <c:extLst>
            <c:ext xmlns:c16="http://schemas.microsoft.com/office/drawing/2014/chart" uri="{C3380CC4-5D6E-409C-BE32-E72D297353CC}">
              <c16:uniqueId val="{00000004-6B79-4883-9098-AA0F62E72285}"/>
            </c:ext>
          </c:extLst>
        </c:ser>
        <c:ser>
          <c:idx val="6"/>
          <c:order val="6"/>
          <c:tx>
            <c:strRef>
              <c:f>'Cult. Svc.'!$A$21</c:f>
              <c:strCache>
                <c:ptCount val="1"/>
                <c:pt idx="0">
                  <c:v>Total City Budget Expenditures</c:v>
                </c:pt>
              </c:strCache>
            </c:strRef>
          </c:tx>
          <c:spPr>
            <a:ln w="28575" cap="rnd">
              <a:solidFill>
                <a:srgbClr val="FF0000"/>
              </a:solidFill>
              <a:round/>
            </a:ln>
            <a:effectLst/>
          </c:spPr>
          <c:marker>
            <c:symbol val="none"/>
          </c:marker>
          <c:cat>
            <c:numRef>
              <c:f>'Cult. Svc.'!$B$15:$L$15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'Cult. Svc.'!$B$21:$L$21</c:f>
              <c:numCache>
                <c:formatCode>_("$"* #,##0_);_("$"* \(#,##0\);_("$"* "-"??_);_(@_)</c:formatCode>
                <c:ptCount val="11"/>
                <c:pt idx="0">
                  <c:v>1798292</c:v>
                </c:pt>
                <c:pt idx="1">
                  <c:v>1417875</c:v>
                </c:pt>
                <c:pt idx="2">
                  <c:v>2051741</c:v>
                </c:pt>
                <c:pt idx="3">
                  <c:v>1791127</c:v>
                </c:pt>
                <c:pt idx="4">
                  <c:v>2003371</c:v>
                </c:pt>
                <c:pt idx="5">
                  <c:v>2483535</c:v>
                </c:pt>
                <c:pt idx="6">
                  <c:v>2168192</c:v>
                </c:pt>
                <c:pt idx="7">
                  <c:v>4402184</c:v>
                </c:pt>
                <c:pt idx="8">
                  <c:v>2630514</c:v>
                </c:pt>
                <c:pt idx="9">
                  <c:v>3493790</c:v>
                </c:pt>
                <c:pt idx="10">
                  <c:v>2379799</c:v>
                </c:pt>
              </c:numCache>
            </c:numRef>
          </c:val>
          <c:smooth val="0"/>
          <c:extLst>
            <c:ext xmlns:c16="http://schemas.microsoft.com/office/drawing/2014/chart" uri="{C3380CC4-5D6E-409C-BE32-E72D297353CC}">
              <c16:uniqueId val="{00000006-6B79-4883-9098-AA0F62E72285}"/>
            </c:ext>
          </c:extLst>
        </c:ser>
        <c:dLbls>
          <c:showLegendKey val="0"/>
          <c:showVal val="0"/>
          <c:showCatName val="0"/>
          <c:showSerName val="0"/>
          <c:showPercent val="0"/>
          <c:showBubbleSize val="0"/>
        </c:dLbls>
        <c:smooth val="0"/>
        <c:axId val="750640280"/>
        <c:axId val="750640608"/>
        <c:extLst>
          <c:ext xmlns:c15="http://schemas.microsoft.com/office/drawing/2012/chart" uri="{02D57815-91ED-43cb-92C2-25804820EDAC}">
            <c15:filteredLineSeries>
              <c15:ser>
                <c:idx val="0"/>
                <c:order val="0"/>
                <c:tx>
                  <c:strRef>
                    <c:extLst>
                      <c:ext uri="{02D57815-91ED-43cb-92C2-25804820EDAC}">
                        <c15:formulaRef>
                          <c15:sqref>'Cult. Svc.'!$A$15</c15:sqref>
                        </c15:formulaRef>
                      </c:ext>
                    </c:extLst>
                    <c:strCache>
                      <c:ptCount val="1"/>
                      <c:pt idx="0">
                        <c:v>EXPENDITURES</c:v>
                      </c:pt>
                    </c:strCache>
                  </c:strRef>
                </c:tx>
                <c:spPr>
                  <a:ln w="28575" cap="rnd">
                    <a:solidFill>
                      <a:schemeClr val="accent1"/>
                    </a:solidFill>
                    <a:round/>
                  </a:ln>
                  <a:effectLst/>
                </c:spPr>
                <c:marker>
                  <c:symbol val="none"/>
                </c:marker>
                <c:cat>
                  <c:numRef>
                    <c:extLst>
                      <c:ext uri="{02D57815-91ED-43cb-92C2-25804820EDAC}">
                        <c15:formulaRef>
                          <c15:sqref>'Cult. Svc.'!$B$15:$L$15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'Cult. Svc.'!$B$15:$L$15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val>
                <c:smooth val="0"/>
                <c:extLst>
                  <c:ext xmlns:c16="http://schemas.microsoft.com/office/drawing/2014/chart" uri="{C3380CC4-5D6E-409C-BE32-E72D297353CC}">
                    <c16:uniqueId val="{00000000-6B79-4883-9098-AA0F62E72285}"/>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'Cult. Svc.'!$A$17</c15:sqref>
                        </c15:formulaRef>
                      </c:ext>
                    </c:extLst>
                    <c:strCache>
                      <c:ptCount val="1"/>
                      <c:pt idx="0">
                        <c:v>Internal Service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'Cult. Svc.'!$B$15:$L$15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'Cult. Svc.'!$B$17:$L$17</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2-6B79-4883-9098-AA0F62E72285}"/>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'Cult. Svc.'!$A$18</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'Cult. Svc.'!$B$15:$L$15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'Cult. Svc.'!$B$18:$L$18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3-6B79-4883-9098-AA0F62E72285}"/>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'Cult. Svc.'!$A$20</c15:sqref>
                        </c15:formulaRef>
                      </c:ext>
                    </c:extLst>
                    <c:strCache>
                      <c:ptCount val="1"/>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'Cult. Svc.'!$B$15:$L$15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'Cult. Svc.'!$B$20:$L$20</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5-6B79-4883-9098-AA0F62E72285}"/>
                  </c:ext>
                </c:extLst>
              </c15:ser>
            </c15:filteredLineSeries>
          </c:ext>
        </c:extLst>
      </c:lineChart>
      <c:catAx>
        <c:axId val="750640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640608"/>
        <c:crosses val="autoZero"/>
        <c:auto val="1"/>
        <c:lblAlgn val="ctr"/>
        <c:lblOffset val="100"/>
        <c:noMultiLvlLbl val="0"/>
      </c:catAx>
      <c:valAx>
        <c:axId val="75064060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640280"/>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Cultural Services - Expenditures per Capita</a:t>
            </a:r>
          </a:p>
        </c:rich>
      </c:tx>
      <c:overlay val="0"/>
      <c:spPr>
        <a:noFill/>
        <a:ln>
          <a:noFill/>
        </a:ln>
        <a:effectLst/>
      </c:spPr>
    </c:title>
    <c:autoTitleDeleted val="0"/>
    <c:plotArea>
      <c:layout/>
      <c:lineChart>
        <c:grouping val="standard"/>
        <c:varyColors val="0"/>
        <c:ser>
          <c:idx val="7"/>
          <c:order val="0"/>
          <c:tx>
            <c:strRef>
              <c:f>'Cult. Svc.'!$A$26</c:f>
              <c:strCache>
                <c:ptCount val="1"/>
                <c:pt idx="0">
                  <c:v>Expenditures per Capita</c:v>
                </c:pt>
              </c:strCache>
            </c:strRef>
          </c:tx>
          <c:spPr>
            <a:ln>
              <a:solidFill>
                <a:srgbClr val="FF0000"/>
              </a:solidFill>
            </a:ln>
          </c:spPr>
          <c:marker>
            <c:symbol val="none"/>
          </c:marker>
          <c:cat>
            <c:numRef>
              <c:f>'Cult. Svc.'!$B$25:$L$25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'Cult. Svc.'!$B$26:$L$26</c:f>
              <c:numCache>
                <c:formatCode>_("$"* #,##0.00_);_("$"* \(#,##0.00\);_("$"* "-"??_);_(@_)</c:formatCode>
                <c:ptCount val="11"/>
                <c:pt idx="0">
                  <c:v>19.759792280168455</c:v>
                </c:pt>
                <c:pt idx="1">
                  <c:v>16.739024534262349</c:v>
                </c:pt>
                <c:pt idx="2">
                  <c:v>17.802475240325183</c:v>
                </c:pt>
                <c:pt idx="3">
                  <c:v>19.615782870163397</c:v>
                </c:pt>
                <c:pt idx="4">
                  <c:v>24.430581213585334</c:v>
                </c:pt>
                <c:pt idx="5">
                  <c:v>27.063032367972742</c:v>
                </c:pt>
                <c:pt idx="6">
                  <c:v>26.869953691092345</c:v>
                </c:pt>
                <c:pt idx="7">
                  <c:v>28.288700678900316</c:v>
                </c:pt>
                <c:pt idx="8">
                  <c:v>30.765282172995782</c:v>
                </c:pt>
                <c:pt idx="9">
                  <c:v>33.531697341513294</c:v>
                </c:pt>
                <c:pt idx="10">
                  <c:v>25.352114459356798</c:v>
                </c:pt>
              </c:numCache>
            </c:numRef>
          </c:val>
          <c:smooth val="0"/>
          <c:extLst>
            <c:ext xmlns:c16="http://schemas.microsoft.com/office/drawing/2014/chart" uri="{C3380CC4-5D6E-409C-BE32-E72D297353CC}">
              <c16:uniqueId val="{00000023-E160-4DA3-B03F-3C069326C466}"/>
            </c:ext>
          </c:extLst>
        </c:ser>
        <c:dLbls>
          <c:showLegendKey val="0"/>
          <c:showVal val="0"/>
          <c:showCatName val="0"/>
          <c:showSerName val="0"/>
          <c:showPercent val="0"/>
          <c:showBubbleSize val="0"/>
        </c:dLbls>
        <c:smooth val="0"/>
        <c:axId val="607692512"/>
        <c:axId val="607694808"/>
        <c:extLst/>
      </c:lineChart>
      <c:catAx>
        <c:axId val="6076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94808"/>
        <c:crosses val="autoZero"/>
        <c:auto val="1"/>
        <c:lblAlgn val="ctr"/>
        <c:lblOffset val="100"/>
        <c:noMultiLvlLbl val="0"/>
      </c:catAx>
      <c:valAx>
        <c:axId val="60769480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92512"/>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Cultural</a:t>
            </a:r>
            <a:r>
              <a:rPr lang="en-US" sz="1800" b="1" baseline="0"/>
              <a:t> Services - </a:t>
            </a:r>
            <a:r>
              <a:rPr lang="en-US" sz="1800" b="1"/>
              <a:t>Expenditures per FTE</a:t>
            </a:r>
          </a:p>
        </c:rich>
      </c:tx>
      <c:overlay val="0"/>
      <c:spPr>
        <a:noFill/>
        <a:ln>
          <a:noFill/>
        </a:ln>
        <a:effectLst/>
      </c:spPr>
    </c:title>
    <c:autoTitleDeleted val="0"/>
    <c:plotArea>
      <c:layout/>
      <c:lineChart>
        <c:grouping val="standard"/>
        <c:varyColors val="0"/>
        <c:ser>
          <c:idx val="0"/>
          <c:order val="0"/>
          <c:tx>
            <c:strRef>
              <c:f>'Cult. Svc.'!$A$29</c:f>
              <c:strCache>
                <c:ptCount val="1"/>
                <c:pt idx="0">
                  <c:v>Expenditures per FTE</c:v>
                </c:pt>
              </c:strCache>
            </c:strRef>
          </c:tx>
          <c:spPr>
            <a:ln>
              <a:solidFill>
                <a:srgbClr val="FF0000"/>
              </a:solidFill>
            </a:ln>
          </c:spPr>
          <c:marker>
            <c:symbol val="none"/>
          </c:marker>
          <c:cat>
            <c:numRef>
              <c:f>'Cult. Svc.'!$B$25:$L$25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'Cult. Svc.'!$B$29:$L$29</c:f>
              <c:numCache>
                <c:formatCode>_("$"* #,##0_);_("$"* \(#,##0\);_("$"* "-"??_);_(@_)</c:formatCode>
                <c:ptCount val="11"/>
                <c:pt idx="0">
                  <c:v>106218.55319148937</c:v>
                </c:pt>
                <c:pt idx="1">
                  <c:v>99467.982456140351</c:v>
                </c:pt>
                <c:pt idx="2">
                  <c:v>107378.59649122806</c:v>
                </c:pt>
                <c:pt idx="3">
                  <c:v>120583.1560283688</c:v>
                </c:pt>
                <c:pt idx="4">
                  <c:v>143744.14715719063</c:v>
                </c:pt>
                <c:pt idx="5">
                  <c:v>158076.15131578947</c:v>
                </c:pt>
                <c:pt idx="6">
                  <c:v>169048.15766923735</c:v>
                </c:pt>
                <c:pt idx="7">
                  <c:v>175794.06850459485</c:v>
                </c:pt>
                <c:pt idx="8">
                  <c:v>176760.5303030303</c:v>
                </c:pt>
                <c:pt idx="9">
                  <c:v>189104.08759124088</c:v>
                </c:pt>
                <c:pt idx="10">
                  <c:v>146154.01459854015</c:v>
                </c:pt>
              </c:numCache>
            </c:numRef>
          </c:val>
          <c:smooth val="0"/>
          <c:extLst>
            <c:ext xmlns:c16="http://schemas.microsoft.com/office/drawing/2014/chart" uri="{C3380CC4-5D6E-409C-BE32-E72D297353CC}">
              <c16:uniqueId val="{00000002-323F-4012-B5FC-564C770357B0}"/>
            </c:ext>
          </c:extLst>
        </c:ser>
        <c:dLbls>
          <c:showLegendKey val="0"/>
          <c:showVal val="0"/>
          <c:showCatName val="0"/>
          <c:showSerName val="0"/>
          <c:showPercent val="0"/>
          <c:showBubbleSize val="0"/>
        </c:dLbls>
        <c:smooth val="0"/>
        <c:axId val="607692512"/>
        <c:axId val="607694808"/>
        <c:extLst/>
      </c:lineChart>
      <c:catAx>
        <c:axId val="6076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94808"/>
        <c:crosses val="autoZero"/>
        <c:auto val="1"/>
        <c:lblAlgn val="ctr"/>
        <c:lblOffset val="100"/>
        <c:noMultiLvlLbl val="0"/>
      </c:catAx>
      <c:valAx>
        <c:axId val="60769480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92512"/>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Development Services - Total Revenues</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3605923344058239E-2"/>
          <c:y val="0.16429678848283502"/>
          <c:w val="0.90423602323794383"/>
          <c:h val="0.63161290885150989"/>
        </c:manualLayout>
      </c:layout>
      <c:lineChart>
        <c:grouping val="standard"/>
        <c:varyColors val="0"/>
        <c:ser>
          <c:idx val="5"/>
          <c:order val="5"/>
          <c:tx>
            <c:strRef>
              <c:f>'Dev. Svc.'!$A$11</c:f>
              <c:strCache>
                <c:ptCount val="1"/>
                <c:pt idx="0">
                  <c:v>Less Spl Rev - Trf to Exec </c:v>
                </c:pt>
              </c:strCache>
              <c:extLst xmlns:c15="http://schemas.microsoft.com/office/drawing/2012/chart"/>
            </c:strRef>
          </c:tx>
          <c:spPr>
            <a:ln w="28575" cap="rnd">
              <a:solidFill>
                <a:schemeClr val="accent6"/>
              </a:solidFill>
              <a:round/>
            </a:ln>
            <a:effectLst/>
          </c:spPr>
          <c:marker>
            <c:symbol val="none"/>
          </c:marker>
          <c:cat>
            <c:numRef>
              <c:f>'Dev. Svc.'!$B$5:$M$5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extLst xmlns:c15="http://schemas.microsoft.com/office/drawing/2012/chart"/>
            </c:numRef>
          </c:cat>
          <c:val>
            <c:numRef>
              <c:f>'Dev. Svc.'!$B$11:$M$11</c:f>
              <c:extLst xmlns:c15="http://schemas.microsoft.com/office/drawing/2012/chart"/>
            </c:numRef>
          </c:val>
          <c:smooth val="0"/>
          <c:extLst xmlns:c15="http://schemas.microsoft.com/office/drawing/2012/chart">
            <c:ext xmlns:c16="http://schemas.microsoft.com/office/drawing/2014/chart" uri="{C3380CC4-5D6E-409C-BE32-E72D297353CC}">
              <c16:uniqueId val="{00000006-388C-4267-8620-07197707FC48}"/>
            </c:ext>
          </c:extLst>
        </c:ser>
        <c:ser>
          <c:idx val="6"/>
          <c:order val="6"/>
          <c:tx>
            <c:strRef>
              <c:f>'Dev. Svc.'!$A$12</c:f>
              <c:strCache>
                <c:ptCount val="1"/>
                <c:pt idx="0">
                  <c:v>Total City Budget Revenues</c:v>
                </c:pt>
              </c:strCache>
            </c:strRef>
          </c:tx>
          <c:spPr>
            <a:ln w="28575" cap="rnd">
              <a:solidFill>
                <a:srgbClr val="008000"/>
              </a:solidFill>
              <a:round/>
            </a:ln>
            <a:effectLst/>
          </c:spPr>
          <c:marker>
            <c:symbol val="none"/>
          </c:marker>
          <c:cat>
            <c:numRef>
              <c:f>'Dev. Svc.'!$B$5:$M$5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'Dev. Svc.'!$B$12:$M$12</c:f>
              <c:numCache>
                <c:formatCode>_("$"* #,##0_);_("$"* \(#,##0\);_("$"* "-"??_);_(@_)</c:formatCode>
                <c:ptCount val="11"/>
                <c:pt idx="0">
                  <c:v>1040246</c:v>
                </c:pt>
                <c:pt idx="1">
                  <c:v>1518712</c:v>
                </c:pt>
                <c:pt idx="2">
                  <c:v>1419063</c:v>
                </c:pt>
                <c:pt idx="3">
                  <c:v>1724274</c:v>
                </c:pt>
                <c:pt idx="4">
                  <c:v>1648641</c:v>
                </c:pt>
                <c:pt idx="5">
                  <c:v>2414590</c:v>
                </c:pt>
                <c:pt idx="6">
                  <c:v>2645146</c:v>
                </c:pt>
                <c:pt idx="7">
                  <c:v>2955429</c:v>
                </c:pt>
                <c:pt idx="8">
                  <c:v>2567529</c:v>
                </c:pt>
                <c:pt idx="9">
                  <c:v>3018400</c:v>
                </c:pt>
                <c:pt idx="10">
                  <c:v>3151070</c:v>
                </c:pt>
              </c:numCache>
            </c:numRef>
          </c:val>
          <c:smooth val="0"/>
          <c:extLst>
            <c:ext xmlns:c16="http://schemas.microsoft.com/office/drawing/2014/chart" uri="{C3380CC4-5D6E-409C-BE32-E72D297353CC}">
              <c16:uniqueId val="{00000003-388C-4267-8620-07197707FC48}"/>
            </c:ext>
          </c:extLst>
        </c:ser>
        <c:dLbls>
          <c:showLegendKey val="0"/>
          <c:showVal val="0"/>
          <c:showCatName val="0"/>
          <c:showSerName val="0"/>
          <c:showPercent val="0"/>
          <c:showBubbleSize val="0"/>
        </c:dLbls>
        <c:smooth val="0"/>
        <c:axId val="607701696"/>
        <c:axId val="607701040"/>
        <c:extLst>
          <c:ext xmlns:c15="http://schemas.microsoft.com/office/drawing/2012/chart" uri="{02D57815-91ED-43cb-92C2-25804820EDAC}">
            <c15:filteredLineSeries>
              <c15:ser>
                <c:idx val="0"/>
                <c:order val="0"/>
                <c:tx>
                  <c:strRef>
                    <c:extLst>
                      <c:ext uri="{02D57815-91ED-43cb-92C2-25804820EDAC}">
                        <c15:formulaRef>
                          <c15:sqref>'Dev. Svc.'!$A$6</c15:sqref>
                        </c15:formulaRef>
                      </c:ext>
                    </c:extLst>
                    <c:strCache>
                      <c:ptCount val="1"/>
                      <c:pt idx="0">
                        <c:v>REVENUES</c:v>
                      </c:pt>
                    </c:strCache>
                  </c:strRef>
                </c:tx>
                <c:spPr>
                  <a:ln w="28575" cap="rnd">
                    <a:solidFill>
                      <a:schemeClr val="accent1"/>
                    </a:solidFill>
                    <a:round/>
                  </a:ln>
                  <a:effectLst/>
                </c:spPr>
                <c:marker>
                  <c:symbol val="none"/>
                </c:marker>
                <c:cat>
                  <c:numRef>
                    <c:extLst>
                      <c:ext uri="{02D57815-91ED-43cb-92C2-25804820EDAC}">
                        <c15:formulaRef>
                          <c15:sqref>'Dev. Svc.'!$B$5:$M$5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DS!#REF!</c15:sqref>
                        </c15:formulaRef>
                      </c:ext>
                    </c:extLst>
                    <c:numCache>
                      <c:formatCode>General</c:formatCode>
                      <c:ptCount val="1"/>
                      <c:pt idx="0">
                        <c:v>1</c:v>
                      </c:pt>
                    </c:numCache>
                  </c:numRef>
                </c:val>
                <c:smooth val="0"/>
                <c:extLst>
                  <c:ext xmlns:c16="http://schemas.microsoft.com/office/drawing/2014/chart" uri="{C3380CC4-5D6E-409C-BE32-E72D297353CC}">
                    <c16:uniqueId val="{00000004-388C-4267-8620-07197707FC48}"/>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'Dev. Svc.'!$A$7</c15:sqref>
                        </c15:formulaRef>
                      </c:ext>
                    </c:extLst>
                    <c:strCache>
                      <c:ptCount val="1"/>
                      <c:pt idx="0">
                        <c:v>General Fund</c:v>
                      </c:pt>
                    </c:strCache>
                  </c:strRef>
                </c:tx>
                <c:spPr>
                  <a:ln w="28575" cap="rnd">
                    <a:solidFill>
                      <a:sysClr val="windowText" lastClr="000000"/>
                    </a:solidFill>
                    <a:round/>
                  </a:ln>
                  <a:effectLst/>
                </c:spPr>
                <c:marker>
                  <c:symbol val="none"/>
                </c:marker>
                <c:cat>
                  <c:numRef>
                    <c:extLst xmlns:c15="http://schemas.microsoft.com/office/drawing/2012/chart">
                      <c:ext xmlns:c15="http://schemas.microsoft.com/office/drawing/2012/chart" uri="{02D57815-91ED-43cb-92C2-25804820EDAC}">
                        <c15:formulaRef>
                          <c15:sqref>'Dev. Svc.'!$B$5:$M$5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'Dev. Svc.'!$B$7:$M$7</c15:sqref>
                        </c15:formulaRef>
                      </c:ext>
                    </c:extLst>
                    <c:numCache>
                      <c:formatCode>_("$"* #,##0_);_("$"* \(#,##0\);_("$"* "-"??_);_(@_)</c:formatCode>
                      <c:ptCount val="11"/>
                      <c:pt idx="0">
                        <c:v>1040246</c:v>
                      </c:pt>
                      <c:pt idx="1">
                        <c:v>1518712</c:v>
                      </c:pt>
                      <c:pt idx="2">
                        <c:v>1419063</c:v>
                      </c:pt>
                      <c:pt idx="3">
                        <c:v>1724274</c:v>
                      </c:pt>
                      <c:pt idx="4">
                        <c:v>1648641</c:v>
                      </c:pt>
                      <c:pt idx="5">
                        <c:v>2414590</c:v>
                      </c:pt>
                      <c:pt idx="6">
                        <c:v>2645146</c:v>
                      </c:pt>
                      <c:pt idx="7">
                        <c:v>2955429</c:v>
                      </c:pt>
                      <c:pt idx="8">
                        <c:v>2567529</c:v>
                      </c:pt>
                      <c:pt idx="9">
                        <c:v>3018400</c:v>
                      </c:pt>
                      <c:pt idx="10">
                        <c:v>3151070</c:v>
                      </c:pt>
                    </c:numCache>
                  </c:numRef>
                </c:val>
                <c:smooth val="0"/>
                <c:extLst xmlns:c15="http://schemas.microsoft.com/office/drawing/2012/chart">
                  <c:ext xmlns:c16="http://schemas.microsoft.com/office/drawing/2014/chart" uri="{C3380CC4-5D6E-409C-BE32-E72D297353CC}">
                    <c16:uniqueId val="{00000000-388C-4267-8620-07197707FC48}"/>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'Dev. Svc.'!$A$8</c15:sqref>
                        </c15:formulaRef>
                      </c:ext>
                    </c:extLst>
                    <c:strCache>
                      <c:ptCount val="1"/>
                      <c:pt idx="0">
                        <c:v>Internal Service Funds</c:v>
                      </c:pt>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'Dev. Svc.'!$B$5:$M$5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'Dev. Svc.'!$B$8:$M$8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1-388C-4267-8620-07197707FC48}"/>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'Dev. Svc.'!$A$9</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'Dev. Svc.'!$B$5:$M$5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'Dev. Svc.'!$B$9:$M$9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5-388C-4267-8620-07197707FC48}"/>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'Dev. Svc.'!$A$10</c15:sqref>
                        </c15:formulaRef>
                      </c:ext>
                    </c:extLst>
                    <c:strCache>
                      <c:ptCount val="1"/>
                      <c:pt idx="0">
                        <c:v>Special Revenue Funds </c:v>
                      </c:pt>
                    </c:strCache>
                  </c:strRef>
                </c:tx>
                <c:spPr>
                  <a:ln w="28575" cap="rnd">
                    <a:solidFill>
                      <a:srgbClr val="996633"/>
                    </a:solidFill>
                    <a:round/>
                  </a:ln>
                  <a:effectLst/>
                </c:spPr>
                <c:marker>
                  <c:symbol val="none"/>
                </c:marker>
                <c:cat>
                  <c:numRef>
                    <c:extLst xmlns:c15="http://schemas.microsoft.com/office/drawing/2012/chart">
                      <c:ext xmlns:c15="http://schemas.microsoft.com/office/drawing/2012/chart" uri="{02D57815-91ED-43cb-92C2-25804820EDAC}">
                        <c15:formulaRef>
                          <c15:sqref>'Dev. Svc.'!$B$5:$M$5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'Dev. Svc.'!$B$10:$M$10</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2-388C-4267-8620-07197707FC48}"/>
                  </c:ext>
                </c:extLst>
              </c15:ser>
            </c15:filteredLineSeries>
          </c:ext>
        </c:extLst>
      </c:lineChart>
      <c:catAx>
        <c:axId val="607701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701040"/>
        <c:crosses val="autoZero"/>
        <c:auto val="1"/>
        <c:lblAlgn val="ctr"/>
        <c:lblOffset val="100"/>
        <c:noMultiLvlLbl val="0"/>
      </c:catAx>
      <c:valAx>
        <c:axId val="60770104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701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b="1"/>
              <a:t>Total City -  Expentitures per FTE</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'All Depts'!$A$44</c:f>
              <c:strCache>
                <c:ptCount val="1"/>
                <c:pt idx="0">
                  <c:v>General Fund</c:v>
                </c:pt>
              </c:strCache>
            </c:strRef>
          </c:tx>
          <c:spPr>
            <a:solidFill>
              <a:schemeClr val="accent1"/>
            </a:solidFill>
            <a:ln>
              <a:solidFill>
                <a:schemeClr val="accent5">
                  <a:lumMod val="75000"/>
                </a:schemeClr>
              </a:solidFill>
            </a:ln>
            <a:effectLst/>
          </c:spPr>
          <c:invertIfNegative val="0"/>
          <c:cat>
            <c:numRef>
              <c:f>'All Depts'!$B$43:$L$43</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Depts'!$B$44:$L$44</c:f>
              <c:numCache>
                <c:formatCode>_("$"* #,##0_);_("$"* \(#,##0\);_("$"* "-"??_);_(@_)</c:formatCode>
                <c:ptCount val="11"/>
                <c:pt idx="0">
                  <c:v>116005.12777777777</c:v>
                </c:pt>
                <c:pt idx="1">
                  <c:v>123114.47378640776</c:v>
                </c:pt>
                <c:pt idx="2">
                  <c:v>106622.63636363637</c:v>
                </c:pt>
                <c:pt idx="3">
                  <c:v>114121.94038461539</c:v>
                </c:pt>
                <c:pt idx="4">
                  <c:v>147307.78958785249</c:v>
                </c:pt>
                <c:pt idx="5">
                  <c:v>170254.49056603774</c:v>
                </c:pt>
                <c:pt idx="6">
                  <c:v>171110.84489795918</c:v>
                </c:pt>
                <c:pt idx="7">
                  <c:v>182151.88247011951</c:v>
                </c:pt>
                <c:pt idx="8">
                  <c:v>244108.29812206572</c:v>
                </c:pt>
                <c:pt idx="9">
                  <c:v>292098.02494331065</c:v>
                </c:pt>
                <c:pt idx="10">
                  <c:v>231404.92290249432</c:v>
                </c:pt>
              </c:numCache>
            </c:numRef>
          </c:val>
          <c:extLst>
            <c:ext xmlns:c16="http://schemas.microsoft.com/office/drawing/2014/chart" uri="{C3380CC4-5D6E-409C-BE32-E72D297353CC}">
              <c16:uniqueId val="{00000000-F4DE-4AB2-95B9-16B56CA7A091}"/>
            </c:ext>
          </c:extLst>
        </c:ser>
        <c:ser>
          <c:idx val="1"/>
          <c:order val="1"/>
          <c:tx>
            <c:strRef>
              <c:f>'All Depts'!$A$45</c:f>
              <c:strCache>
                <c:ptCount val="1"/>
                <c:pt idx="0">
                  <c:v>Internal Service Funds</c:v>
                </c:pt>
              </c:strCache>
            </c:strRef>
          </c:tx>
          <c:spPr>
            <a:solidFill>
              <a:schemeClr val="accent2"/>
            </a:solidFill>
            <a:ln>
              <a:solidFill>
                <a:schemeClr val="accent2"/>
              </a:solidFill>
            </a:ln>
            <a:effectLst/>
          </c:spPr>
          <c:invertIfNegative val="0"/>
          <c:cat>
            <c:numRef>
              <c:f>'All Depts'!$B$43:$L$43</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Depts'!$B$45:$L$45</c:f>
              <c:numCache>
                <c:formatCode>_("$"* #,##0_);_("$"* \(#,##0\);_("$"* "-"??_);_(@_)</c:formatCode>
                <c:ptCount val="11"/>
                <c:pt idx="0">
                  <c:v>1004890.6875</c:v>
                </c:pt>
                <c:pt idx="1">
                  <c:v>957636.875</c:v>
                </c:pt>
                <c:pt idx="2">
                  <c:v>1405689.3529411764</c:v>
                </c:pt>
                <c:pt idx="3">
                  <c:v>813705.0555555555</c:v>
                </c:pt>
                <c:pt idx="4">
                  <c:v>922802.15789473685</c:v>
                </c:pt>
                <c:pt idx="5">
                  <c:v>1133561.0526315789</c:v>
                </c:pt>
                <c:pt idx="6">
                  <c:v>1137634.5</c:v>
                </c:pt>
                <c:pt idx="7">
                  <c:v>1087826.4210526317</c:v>
                </c:pt>
                <c:pt idx="8">
                  <c:v>1019967.4057649667</c:v>
                </c:pt>
                <c:pt idx="9">
                  <c:v>1147303.8216560509</c:v>
                </c:pt>
                <c:pt idx="10">
                  <c:v>1186976.6454352441</c:v>
                </c:pt>
              </c:numCache>
            </c:numRef>
          </c:val>
          <c:extLst>
            <c:ext xmlns:c16="http://schemas.microsoft.com/office/drawing/2014/chart" uri="{C3380CC4-5D6E-409C-BE32-E72D297353CC}">
              <c16:uniqueId val="{00000001-F4DE-4AB2-95B9-16B56CA7A091}"/>
            </c:ext>
          </c:extLst>
        </c:ser>
        <c:ser>
          <c:idx val="2"/>
          <c:order val="2"/>
          <c:tx>
            <c:strRef>
              <c:f>'All Depts'!$A$46</c:f>
              <c:strCache>
                <c:ptCount val="1"/>
                <c:pt idx="0">
                  <c:v>Enterprise Funds</c:v>
                </c:pt>
              </c:strCache>
            </c:strRef>
          </c:tx>
          <c:spPr>
            <a:solidFill>
              <a:schemeClr val="accent3"/>
            </a:solidFill>
            <a:ln>
              <a:solidFill>
                <a:schemeClr val="accent3"/>
              </a:solidFill>
            </a:ln>
            <a:effectLst/>
          </c:spPr>
          <c:invertIfNegative val="0"/>
          <c:cat>
            <c:numRef>
              <c:f>'All Depts'!$B$43:$L$43</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Depts'!$B$46:$L$46</c:f>
              <c:numCache>
                <c:formatCode>_("$"* #,##0_);_("$"* \(#,##0\);_("$"* "-"??_);_(@_)</c:formatCode>
                <c:ptCount val="11"/>
                <c:pt idx="0">
                  <c:v>414265.99462365592</c:v>
                </c:pt>
                <c:pt idx="1">
                  <c:v>430773.61581920902</c:v>
                </c:pt>
                <c:pt idx="2">
                  <c:v>540131.80701754382</c:v>
                </c:pt>
                <c:pt idx="3">
                  <c:v>505851.01744186046</c:v>
                </c:pt>
                <c:pt idx="4">
                  <c:v>607751.83431952668</c:v>
                </c:pt>
                <c:pt idx="5">
                  <c:v>718789.70857142855</c:v>
                </c:pt>
                <c:pt idx="6">
                  <c:v>782196.06521739135</c:v>
                </c:pt>
                <c:pt idx="7">
                  <c:v>737242.52127659577</c:v>
                </c:pt>
                <c:pt idx="8">
                  <c:v>766193.85245901649</c:v>
                </c:pt>
                <c:pt idx="9">
                  <c:v>984840.60245354066</c:v>
                </c:pt>
                <c:pt idx="10">
                  <c:v>967067.62540993572</c:v>
                </c:pt>
              </c:numCache>
            </c:numRef>
          </c:val>
          <c:extLst>
            <c:ext xmlns:c16="http://schemas.microsoft.com/office/drawing/2014/chart" uri="{C3380CC4-5D6E-409C-BE32-E72D297353CC}">
              <c16:uniqueId val="{00000002-F4DE-4AB2-95B9-16B56CA7A091}"/>
            </c:ext>
          </c:extLst>
        </c:ser>
        <c:ser>
          <c:idx val="3"/>
          <c:order val="3"/>
          <c:tx>
            <c:strRef>
              <c:f>'All Depts'!$A$47</c:f>
              <c:strCache>
                <c:ptCount val="1"/>
                <c:pt idx="0">
                  <c:v>Special Revenue Funds</c:v>
                </c:pt>
              </c:strCache>
            </c:strRef>
          </c:tx>
          <c:spPr>
            <a:solidFill>
              <a:schemeClr val="accent4"/>
            </a:solidFill>
            <a:ln>
              <a:solidFill>
                <a:schemeClr val="accent4"/>
              </a:solidFill>
            </a:ln>
            <a:effectLst/>
          </c:spPr>
          <c:invertIfNegative val="0"/>
          <c:cat>
            <c:numRef>
              <c:f>'All Depts'!$B$43:$L$43</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Depts'!$B$47:$L$47</c:f>
              <c:numCache>
                <c:formatCode>_("$"* #,##0_);_("$"* \(#,##0\);_("$"* "-"??_);_(@_)</c:formatCode>
                <c:ptCount val="11"/>
                <c:pt idx="0">
                  <c:v>353187.29824561405</c:v>
                </c:pt>
                <c:pt idx="1">
                  <c:v>640855.19298245618</c:v>
                </c:pt>
                <c:pt idx="2">
                  <c:v>648648.4561403509</c:v>
                </c:pt>
                <c:pt idx="3">
                  <c:v>414886.82456140348</c:v>
                </c:pt>
                <c:pt idx="4">
                  <c:v>579011.31578947371</c:v>
                </c:pt>
                <c:pt idx="5">
                  <c:v>934478.62068965519</c:v>
                </c:pt>
                <c:pt idx="6">
                  <c:v>600929.45762711868</c:v>
                </c:pt>
                <c:pt idx="7">
                  <c:v>621838.72131147538</c:v>
                </c:pt>
                <c:pt idx="8">
                  <c:v>403592.21472392639</c:v>
                </c:pt>
                <c:pt idx="9">
                  <c:v>787178.18512898334</c:v>
                </c:pt>
                <c:pt idx="10">
                  <c:v>340967.73292867979</c:v>
                </c:pt>
              </c:numCache>
            </c:numRef>
          </c:val>
          <c:extLst>
            <c:ext xmlns:c16="http://schemas.microsoft.com/office/drawing/2014/chart" uri="{C3380CC4-5D6E-409C-BE32-E72D297353CC}">
              <c16:uniqueId val="{00000003-F4DE-4AB2-95B9-16B56CA7A091}"/>
            </c:ext>
          </c:extLst>
        </c:ser>
        <c:dLbls>
          <c:showLegendKey val="0"/>
          <c:showVal val="0"/>
          <c:showCatName val="0"/>
          <c:showSerName val="0"/>
          <c:showPercent val="0"/>
          <c:showBubbleSize val="0"/>
        </c:dLbls>
        <c:gapWidth val="150"/>
        <c:axId val="384627456"/>
        <c:axId val="384631720"/>
      </c:barChart>
      <c:catAx>
        <c:axId val="384627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4631720"/>
        <c:crosses val="autoZero"/>
        <c:auto val="1"/>
        <c:lblAlgn val="ctr"/>
        <c:lblOffset val="100"/>
        <c:noMultiLvlLbl val="0"/>
      </c:catAx>
      <c:valAx>
        <c:axId val="38463172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4627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Development</a:t>
            </a:r>
            <a:r>
              <a:rPr lang="en-US" sz="1800" b="1" baseline="0"/>
              <a:t> Services -  Total Expenditures</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6"/>
          <c:order val="6"/>
          <c:tx>
            <c:strRef>
              <c:f>'Dev. Svc.'!$A$21</c:f>
              <c:strCache>
                <c:ptCount val="1"/>
                <c:pt idx="0">
                  <c:v>Total City Budget Expenditures</c:v>
                </c:pt>
              </c:strCache>
            </c:strRef>
          </c:tx>
          <c:spPr>
            <a:ln w="28575" cap="rnd">
              <a:solidFill>
                <a:srgbClr val="FF0000"/>
              </a:solidFill>
              <a:round/>
            </a:ln>
            <a:effectLst/>
          </c:spPr>
          <c:marker>
            <c:symbol val="none"/>
          </c:marker>
          <c:cat>
            <c:numRef>
              <c:f>'Dev. Svc.'!$B$5:$M$5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'Dev. Svc.'!$B$21:$M$21</c:f>
              <c:numCache>
                <c:formatCode>_("$"* #,##0_);_("$"* \(#,##0\);_("$"* "-"??_);_(@_)</c:formatCode>
                <c:ptCount val="11"/>
                <c:pt idx="0">
                  <c:v>2419353</c:v>
                </c:pt>
                <c:pt idx="1">
                  <c:v>2548898</c:v>
                </c:pt>
                <c:pt idx="2">
                  <c:v>2526055</c:v>
                </c:pt>
                <c:pt idx="3">
                  <c:v>2025999</c:v>
                </c:pt>
                <c:pt idx="4">
                  <c:v>2403192</c:v>
                </c:pt>
                <c:pt idx="5">
                  <c:v>3074904</c:v>
                </c:pt>
                <c:pt idx="6">
                  <c:v>4228418</c:v>
                </c:pt>
                <c:pt idx="7">
                  <c:v>3414725</c:v>
                </c:pt>
                <c:pt idx="8">
                  <c:v>3625112</c:v>
                </c:pt>
                <c:pt idx="9">
                  <c:v>4040885</c:v>
                </c:pt>
                <c:pt idx="10">
                  <c:v>3135765</c:v>
                </c:pt>
              </c:numCache>
            </c:numRef>
          </c:val>
          <c:smooth val="0"/>
          <c:extLst>
            <c:ext xmlns:c16="http://schemas.microsoft.com/office/drawing/2014/chart" uri="{C3380CC4-5D6E-409C-BE32-E72D297353CC}">
              <c16:uniqueId val="{00000006-BB56-4A49-9DEA-9987653E437D}"/>
            </c:ext>
          </c:extLst>
        </c:ser>
        <c:dLbls>
          <c:showLegendKey val="0"/>
          <c:showVal val="0"/>
          <c:showCatName val="0"/>
          <c:showSerName val="0"/>
          <c:showPercent val="0"/>
          <c:showBubbleSize val="0"/>
        </c:dLbls>
        <c:smooth val="0"/>
        <c:axId val="725613816"/>
        <c:axId val="725618080"/>
        <c:extLst>
          <c:ext xmlns:c15="http://schemas.microsoft.com/office/drawing/2012/chart" uri="{02D57815-91ED-43cb-92C2-25804820EDAC}">
            <c15:filteredLineSeries>
              <c15:ser>
                <c:idx val="0"/>
                <c:order val="0"/>
                <c:tx>
                  <c:strRef>
                    <c:extLst>
                      <c:ext uri="{02D57815-91ED-43cb-92C2-25804820EDAC}">
                        <c15:formulaRef>
                          <c15:sqref>'Dev. Svc.'!$A$15</c15:sqref>
                        </c15:formulaRef>
                      </c:ext>
                    </c:extLst>
                    <c:strCache>
                      <c:ptCount val="1"/>
                      <c:pt idx="0">
                        <c:v>EXPENDITURES</c:v>
                      </c:pt>
                    </c:strCache>
                  </c:strRef>
                </c:tx>
                <c:spPr>
                  <a:ln w="28575" cap="rnd">
                    <a:solidFill>
                      <a:schemeClr val="accent1"/>
                    </a:solidFill>
                    <a:round/>
                  </a:ln>
                  <a:effectLst/>
                </c:spPr>
                <c:marker>
                  <c:symbol val="none"/>
                </c:marker>
                <c:cat>
                  <c:numRef>
                    <c:extLst>
                      <c:ext uri="{02D57815-91ED-43cb-92C2-25804820EDAC}">
                        <c15:formulaRef>
                          <c15:sqref>'Dev. Svc.'!$B$5:$M$5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'Dev. Svc.'!$B$15:$M$15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val>
                <c:smooth val="0"/>
                <c:extLst>
                  <c:ext xmlns:c16="http://schemas.microsoft.com/office/drawing/2014/chart" uri="{C3380CC4-5D6E-409C-BE32-E72D297353CC}">
                    <c16:uniqueId val="{00000000-BB56-4A49-9DEA-9987653E437D}"/>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'Dev. Svc.'!$A$16</c15:sqref>
                        </c15:formulaRef>
                      </c:ext>
                    </c:extLst>
                    <c:strCache>
                      <c:ptCount val="1"/>
                      <c:pt idx="0">
                        <c:v>General Fund</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'Dev. Svc.'!$B$5:$M$5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'Dev. Svc.'!$B$16:$M$16</c15:sqref>
                        </c15:formulaRef>
                      </c:ext>
                    </c:extLst>
                    <c:numCache>
                      <c:formatCode>_("$"* #,##0_);_("$"* \(#,##0\);_("$"* "-"??_);_(@_)</c:formatCode>
                      <c:ptCount val="11"/>
                      <c:pt idx="0">
                        <c:v>2419353</c:v>
                      </c:pt>
                      <c:pt idx="1">
                        <c:v>2548898</c:v>
                      </c:pt>
                      <c:pt idx="2">
                        <c:v>2526055</c:v>
                      </c:pt>
                      <c:pt idx="3">
                        <c:v>2025999</c:v>
                      </c:pt>
                      <c:pt idx="4">
                        <c:v>2403192</c:v>
                      </c:pt>
                      <c:pt idx="5">
                        <c:v>3074904</c:v>
                      </c:pt>
                      <c:pt idx="6">
                        <c:v>4228418</c:v>
                      </c:pt>
                      <c:pt idx="7">
                        <c:v>3414725</c:v>
                      </c:pt>
                      <c:pt idx="8">
                        <c:v>3625112</c:v>
                      </c:pt>
                      <c:pt idx="9">
                        <c:v>4040885</c:v>
                      </c:pt>
                      <c:pt idx="10">
                        <c:v>3135765</c:v>
                      </c:pt>
                    </c:numCache>
                  </c:numRef>
                </c:val>
                <c:smooth val="0"/>
                <c:extLst xmlns:c15="http://schemas.microsoft.com/office/drawing/2012/chart">
                  <c:ext xmlns:c16="http://schemas.microsoft.com/office/drawing/2014/chart" uri="{C3380CC4-5D6E-409C-BE32-E72D297353CC}">
                    <c16:uniqueId val="{00000001-BB56-4A49-9DEA-9987653E437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'Dev. Svc.'!$A$17</c15:sqref>
                        </c15:formulaRef>
                      </c:ext>
                    </c:extLst>
                    <c:strCache>
                      <c:ptCount val="1"/>
                      <c:pt idx="0">
                        <c:v>Internal Service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'Dev. Svc.'!$B$5:$M$5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'Dev. Svc.'!$B$17:$M$17</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2-BB56-4A49-9DEA-9987653E437D}"/>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'Dev. Svc.'!$A$18</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'Dev. Svc.'!$B$5:$M$5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'Dev. Svc.'!$B$18:$M$18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3-BB56-4A49-9DEA-9987653E437D}"/>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'Dev. Svc.'!$A$19</c15:sqref>
                        </c15:formulaRef>
                      </c:ext>
                    </c:extLst>
                    <c:strCache>
                      <c:ptCount val="1"/>
                      <c:pt idx="0">
                        <c:v>Special Revenue Funds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'Dev. Svc.'!$B$5:$M$5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'Dev. Svc.'!$B$19:$M$19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4-BB56-4A49-9DEA-9987653E437D}"/>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'Dev. Svc.'!$A$20</c15:sqref>
                        </c15:formulaRef>
                      </c:ext>
                    </c:extLst>
                    <c:strCache>
                      <c:ptCount val="1"/>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'Dev. Svc.'!$B$5:$M$5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'Dev. Svc.'!$B$20:$M$20</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5-BB56-4A49-9DEA-9987653E437D}"/>
                  </c:ext>
                </c:extLst>
              </c15:ser>
            </c15:filteredLineSeries>
          </c:ext>
        </c:extLst>
      </c:lineChart>
      <c:catAx>
        <c:axId val="725613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5618080"/>
        <c:crosses val="autoZero"/>
        <c:auto val="1"/>
        <c:lblAlgn val="ctr"/>
        <c:lblOffset val="100"/>
        <c:noMultiLvlLbl val="0"/>
      </c:catAx>
      <c:valAx>
        <c:axId val="7256180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5613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ysClr val="window" lastClr="FFFFFF"/>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Development</a:t>
            </a:r>
            <a:r>
              <a:rPr lang="en-US" sz="1800" b="1" baseline="0"/>
              <a:t> Services - </a:t>
            </a:r>
            <a:r>
              <a:rPr lang="en-US" sz="1800" b="1"/>
              <a:t>Expenditures per Capita</a:t>
            </a:r>
          </a:p>
        </c:rich>
      </c:tx>
      <c:overlay val="0"/>
      <c:spPr>
        <a:noFill/>
        <a:ln>
          <a:noFill/>
        </a:ln>
        <a:effectLst/>
      </c:spPr>
    </c:title>
    <c:autoTitleDeleted val="0"/>
    <c:plotArea>
      <c:layout/>
      <c:lineChart>
        <c:grouping val="standard"/>
        <c:varyColors val="0"/>
        <c:ser>
          <c:idx val="0"/>
          <c:order val="0"/>
          <c:tx>
            <c:strRef>
              <c:f>'Dev. Svc.'!$A$25</c:f>
              <c:strCache>
                <c:ptCount val="1"/>
                <c:pt idx="0">
                  <c:v>Expenditures per Capita</c:v>
                </c:pt>
              </c:strCache>
            </c:strRef>
          </c:tx>
          <c:spPr>
            <a:ln>
              <a:solidFill>
                <a:srgbClr val="FF0000"/>
              </a:solidFill>
            </a:ln>
          </c:spPr>
          <c:marker>
            <c:symbol val="none"/>
          </c:marker>
          <c:cat>
            <c:numRef>
              <c:f>'Dev. Svc.'!$B$24:$M$24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'Dev. Svc.'!$B$25:$M$25</c:f>
              <c:numCache>
                <c:formatCode>_("$"* #,##0.00_);_("$"* \(#,##0.00\);_("$"* "-"??_);_(@_)</c:formatCode>
                <c:ptCount val="11"/>
                <c:pt idx="0">
                  <c:v>38.303932744371615</c:v>
                </c:pt>
                <c:pt idx="1">
                  <c:v>37.626553688996488</c:v>
                </c:pt>
                <c:pt idx="2">
                  <c:v>36.736740303369643</c:v>
                </c:pt>
                <c:pt idx="3">
                  <c:v>29.217908596645565</c:v>
                </c:pt>
                <c:pt idx="4">
                  <c:v>34.150802898962624</c:v>
                </c:pt>
                <c:pt idx="5">
                  <c:v>43.29204387064074</c:v>
                </c:pt>
                <c:pt idx="6">
                  <c:v>57.592181966766546</c:v>
                </c:pt>
                <c:pt idx="7">
                  <c:v>45.906096659272706</c:v>
                </c:pt>
                <c:pt idx="8">
                  <c:v>47.799472573839665</c:v>
                </c:pt>
                <c:pt idx="9">
                  <c:v>52.301066500996612</c:v>
                </c:pt>
                <c:pt idx="10">
                  <c:v>39.703279311218033</c:v>
                </c:pt>
              </c:numCache>
            </c:numRef>
          </c:val>
          <c:smooth val="0"/>
          <c:extLst>
            <c:ext xmlns:c16="http://schemas.microsoft.com/office/drawing/2014/chart" uri="{C3380CC4-5D6E-409C-BE32-E72D297353CC}">
              <c16:uniqueId val="{0000002F-B007-431B-9C74-8BD7B51A463B}"/>
            </c:ext>
          </c:extLst>
        </c:ser>
        <c:dLbls>
          <c:showLegendKey val="0"/>
          <c:showVal val="0"/>
          <c:showCatName val="0"/>
          <c:showSerName val="0"/>
          <c:showPercent val="0"/>
          <c:showBubbleSize val="0"/>
        </c:dLbls>
        <c:smooth val="0"/>
        <c:axId val="607692512"/>
        <c:axId val="607694808"/>
        <c:extLst/>
      </c:lineChart>
      <c:catAx>
        <c:axId val="6076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94808"/>
        <c:crosses val="autoZero"/>
        <c:auto val="1"/>
        <c:lblAlgn val="ctr"/>
        <c:lblOffset val="100"/>
        <c:noMultiLvlLbl val="0"/>
      </c:catAx>
      <c:valAx>
        <c:axId val="60769480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92512"/>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Development Services - Expenditures per FTE</a:t>
            </a:r>
          </a:p>
        </c:rich>
      </c:tx>
      <c:overlay val="0"/>
      <c:spPr>
        <a:noFill/>
        <a:ln>
          <a:noFill/>
        </a:ln>
        <a:effectLst/>
      </c:spPr>
    </c:title>
    <c:autoTitleDeleted val="0"/>
    <c:plotArea>
      <c:layout/>
      <c:lineChart>
        <c:grouping val="standard"/>
        <c:varyColors val="0"/>
        <c:ser>
          <c:idx val="1"/>
          <c:order val="0"/>
          <c:tx>
            <c:strRef>
              <c:f>'Dev. Svc.'!$A$28</c:f>
              <c:strCache>
                <c:ptCount val="1"/>
                <c:pt idx="0">
                  <c:v>Expenditures per FTE</c:v>
                </c:pt>
              </c:strCache>
            </c:strRef>
          </c:tx>
          <c:spPr>
            <a:ln>
              <a:solidFill>
                <a:srgbClr val="FF0000"/>
              </a:solidFill>
            </a:ln>
          </c:spPr>
          <c:marker>
            <c:symbol val="none"/>
          </c:marker>
          <c:cat>
            <c:numRef>
              <c:f>'Dev. Svc.'!$B$34:$M$34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'Dev. Svc.'!$B$28:$M$28</c:f>
              <c:numCache>
                <c:formatCode>_("$"* #,##0_);_("$"* \(#,##0\);_("$"* "-"??_);_(@_)</c:formatCode>
                <c:ptCount val="11"/>
                <c:pt idx="0">
                  <c:v>82712.923076923078</c:v>
                </c:pt>
                <c:pt idx="1">
                  <c:v>107322.02105263158</c:v>
                </c:pt>
                <c:pt idx="2">
                  <c:v>106360.21052631579</c:v>
                </c:pt>
                <c:pt idx="3">
                  <c:v>85305.221052631576</c:v>
                </c:pt>
                <c:pt idx="4">
                  <c:v>102569.01408450704</c:v>
                </c:pt>
                <c:pt idx="5">
                  <c:v>128227.8565471226</c:v>
                </c:pt>
                <c:pt idx="6">
                  <c:v>159985.54672720394</c:v>
                </c:pt>
                <c:pt idx="7">
                  <c:v>117022.78958190541</c:v>
                </c:pt>
                <c:pt idx="8">
                  <c:v>127757.25110132158</c:v>
                </c:pt>
                <c:pt idx="9">
                  <c:v>137562.04255319148</c:v>
                </c:pt>
                <c:pt idx="10">
                  <c:v>106749.44680851063</c:v>
                </c:pt>
              </c:numCache>
            </c:numRef>
          </c:val>
          <c:smooth val="0"/>
          <c:extLst>
            <c:ext xmlns:c16="http://schemas.microsoft.com/office/drawing/2014/chart" uri="{C3380CC4-5D6E-409C-BE32-E72D297353CC}">
              <c16:uniqueId val="{00000002-24FB-49CF-B375-5987D2302AA7}"/>
            </c:ext>
          </c:extLst>
        </c:ser>
        <c:dLbls>
          <c:showLegendKey val="0"/>
          <c:showVal val="0"/>
          <c:showCatName val="0"/>
          <c:showSerName val="0"/>
          <c:showPercent val="0"/>
          <c:showBubbleSize val="0"/>
        </c:dLbls>
        <c:smooth val="0"/>
        <c:axId val="607692512"/>
        <c:axId val="607694808"/>
        <c:extLst/>
      </c:lineChart>
      <c:catAx>
        <c:axId val="6076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94808"/>
        <c:crosses val="autoZero"/>
        <c:auto val="1"/>
        <c:lblAlgn val="ctr"/>
        <c:lblOffset val="100"/>
        <c:noMultiLvlLbl val="0"/>
      </c:catAx>
      <c:valAx>
        <c:axId val="60769480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92512"/>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Economic Development - Total Revenues</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'Econ Dev'!$A$7</c:f>
              <c:strCache>
                <c:ptCount val="1"/>
                <c:pt idx="0">
                  <c:v>General Fund</c:v>
                </c:pt>
              </c:strCache>
              <c:extLst xmlns:c15="http://schemas.microsoft.com/office/drawing/2012/chart"/>
            </c:strRef>
          </c:tx>
          <c:spPr>
            <a:ln w="28575" cap="rnd">
              <a:solidFill>
                <a:sysClr val="windowText" lastClr="000000"/>
              </a:solidFill>
              <a:round/>
            </a:ln>
            <a:effectLst/>
          </c:spPr>
          <c:marker>
            <c:symbol val="none"/>
          </c:marker>
          <c:cat>
            <c:numRef>
              <c:f>'Econ Dev'!$B$5:$L$5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'Econ Dev'!$B$7:$L$7</c:f>
              <c:numCache>
                <c:formatCode>_("$"* #,##0_);_("$"* \(#,##0\);_("$"* "-"??_);_(@_)</c:formatCode>
                <c:ptCount val="11"/>
                <c:pt idx="0">
                  <c:v>14401</c:v>
                </c:pt>
                <c:pt idx="1">
                  <c:v>14148</c:v>
                </c:pt>
                <c:pt idx="2">
                  <c:v>25186</c:v>
                </c:pt>
                <c:pt idx="3">
                  <c:v>39952</c:v>
                </c:pt>
                <c:pt idx="4">
                  <c:v>630242</c:v>
                </c:pt>
                <c:pt idx="5">
                  <c:v>32265</c:v>
                </c:pt>
                <c:pt idx="6">
                  <c:v>17656</c:v>
                </c:pt>
                <c:pt idx="7">
                  <c:v>20902</c:v>
                </c:pt>
                <c:pt idx="8">
                  <c:v>14324</c:v>
                </c:pt>
                <c:pt idx="9">
                  <c:v>14400</c:v>
                </c:pt>
                <c:pt idx="10">
                  <c:v>14300</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ED2F-435C-BE7A-AE568E3DA98F}"/>
            </c:ext>
          </c:extLst>
        </c:ser>
        <c:ser>
          <c:idx val="4"/>
          <c:order val="4"/>
          <c:tx>
            <c:strRef>
              <c:f>'Econ Dev'!$A$10</c:f>
              <c:strCache>
                <c:ptCount val="1"/>
                <c:pt idx="0">
                  <c:v>Special Revenue Funds</c:v>
                </c:pt>
              </c:strCache>
              <c:extLst xmlns:c15="http://schemas.microsoft.com/office/drawing/2012/chart"/>
            </c:strRef>
          </c:tx>
          <c:spPr>
            <a:ln w="28575" cap="rnd">
              <a:solidFill>
                <a:srgbClr val="996633"/>
              </a:solidFill>
              <a:round/>
            </a:ln>
            <a:effectLst/>
          </c:spPr>
          <c:marker>
            <c:symbol val="none"/>
          </c:marker>
          <c:cat>
            <c:numRef>
              <c:f>'Econ Dev'!$B$5:$L$5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'Econ Dev'!$B$10:$L$10</c:f>
              <c:numCache>
                <c:formatCode>_("$"* #,##0_);_("$"* \(#,##0\);_("$"* "-"??_);_(@_)</c:formatCode>
                <c:ptCount val="11"/>
                <c:pt idx="0">
                  <c:v>0</c:v>
                </c:pt>
                <c:pt idx="1">
                  <c:v>516389</c:v>
                </c:pt>
                <c:pt idx="2">
                  <c:v>596480</c:v>
                </c:pt>
                <c:pt idx="3">
                  <c:v>718637</c:v>
                </c:pt>
                <c:pt idx="4">
                  <c:v>799090</c:v>
                </c:pt>
                <c:pt idx="5">
                  <c:v>2697549</c:v>
                </c:pt>
                <c:pt idx="6">
                  <c:v>1402543</c:v>
                </c:pt>
                <c:pt idx="7">
                  <c:v>2166189</c:v>
                </c:pt>
                <c:pt idx="8">
                  <c:v>2059287</c:v>
                </c:pt>
                <c:pt idx="9">
                  <c:v>1911344</c:v>
                </c:pt>
                <c:pt idx="10">
                  <c:v>1327700</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ED2F-435C-BE7A-AE568E3DA98F}"/>
            </c:ext>
          </c:extLst>
        </c:ser>
        <c:ser>
          <c:idx val="6"/>
          <c:order val="6"/>
          <c:tx>
            <c:strRef>
              <c:f>'Econ Dev'!$A$12</c:f>
              <c:strCache>
                <c:ptCount val="1"/>
                <c:pt idx="0">
                  <c:v>Total City Budget Revenues</c:v>
                </c:pt>
              </c:strCache>
            </c:strRef>
          </c:tx>
          <c:spPr>
            <a:ln w="28575" cap="rnd">
              <a:solidFill>
                <a:srgbClr val="008000"/>
              </a:solidFill>
              <a:round/>
            </a:ln>
            <a:effectLst/>
          </c:spPr>
          <c:marker>
            <c:symbol val="none"/>
          </c:marker>
          <c:cat>
            <c:numRef>
              <c:f>'Econ Dev'!$B$5:$L$5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'Econ Dev'!$B$12:$L$12</c:f>
              <c:numCache>
                <c:formatCode>_("$"* #,##0_);_("$"* \(#,##0\);_("$"* "-"??_);_(@_)</c:formatCode>
                <c:ptCount val="11"/>
                <c:pt idx="0">
                  <c:v>14401</c:v>
                </c:pt>
                <c:pt idx="1">
                  <c:v>530537</c:v>
                </c:pt>
                <c:pt idx="2">
                  <c:v>621666</c:v>
                </c:pt>
                <c:pt idx="3">
                  <c:v>758589</c:v>
                </c:pt>
                <c:pt idx="4">
                  <c:v>1429332</c:v>
                </c:pt>
                <c:pt idx="5">
                  <c:v>2729814</c:v>
                </c:pt>
                <c:pt idx="6">
                  <c:v>1420199</c:v>
                </c:pt>
                <c:pt idx="7">
                  <c:v>2187091</c:v>
                </c:pt>
                <c:pt idx="8">
                  <c:v>2073611</c:v>
                </c:pt>
                <c:pt idx="9">
                  <c:v>1925744</c:v>
                </c:pt>
                <c:pt idx="10">
                  <c:v>1342000</c:v>
                </c:pt>
              </c:numCache>
            </c:numRef>
          </c:val>
          <c:smooth val="0"/>
          <c:extLst>
            <c:ext xmlns:c16="http://schemas.microsoft.com/office/drawing/2014/chart" uri="{C3380CC4-5D6E-409C-BE32-E72D297353CC}">
              <c16:uniqueId val="{00000002-ED2F-435C-BE7A-AE568E3DA98F}"/>
            </c:ext>
          </c:extLst>
        </c:ser>
        <c:dLbls>
          <c:showLegendKey val="0"/>
          <c:showVal val="0"/>
          <c:showCatName val="0"/>
          <c:showSerName val="0"/>
          <c:showPercent val="0"/>
          <c:showBubbleSize val="0"/>
        </c:dLbls>
        <c:smooth val="0"/>
        <c:axId val="500982392"/>
        <c:axId val="500982720"/>
        <c:extLst>
          <c:ext xmlns:c15="http://schemas.microsoft.com/office/drawing/2012/chart" uri="{02D57815-91ED-43cb-92C2-25804820EDAC}">
            <c15:filteredLineSeries>
              <c15:ser>
                <c:idx val="0"/>
                <c:order val="0"/>
                <c:tx>
                  <c:strRef>
                    <c:extLst>
                      <c:ext uri="{02D57815-91ED-43cb-92C2-25804820EDAC}">
                        <c15:formulaRef>
                          <c15:sqref>'Econ Dev'!$A$6</c15:sqref>
                        </c15:formulaRef>
                      </c:ext>
                    </c:extLst>
                    <c:strCache>
                      <c:ptCount val="1"/>
                      <c:pt idx="0">
                        <c:v>REVENUES</c:v>
                      </c:pt>
                    </c:strCache>
                  </c:strRef>
                </c:tx>
                <c:spPr>
                  <a:ln w="28575" cap="rnd">
                    <a:solidFill>
                      <a:schemeClr val="accent1"/>
                    </a:solidFill>
                    <a:round/>
                  </a:ln>
                  <a:effectLst/>
                </c:spPr>
                <c:marker>
                  <c:symbol val="none"/>
                </c:marker>
                <c:cat>
                  <c:numRef>
                    <c:extLst>
                      <c:ext uri="{02D57815-91ED-43cb-92C2-25804820EDAC}">
                        <c15:formulaRef>
                          <c15:sqref>'Econ Dev'!$B$5:$L$5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ED!#REF!</c15:sqref>
                        </c15:formulaRef>
                      </c:ext>
                    </c:extLst>
                    <c:numCache>
                      <c:formatCode>General</c:formatCode>
                      <c:ptCount val="1"/>
                      <c:pt idx="0">
                        <c:v>1</c:v>
                      </c:pt>
                    </c:numCache>
                  </c:numRef>
                </c:val>
                <c:smooth val="0"/>
                <c:extLst>
                  <c:ext xmlns:c16="http://schemas.microsoft.com/office/drawing/2014/chart" uri="{C3380CC4-5D6E-409C-BE32-E72D297353CC}">
                    <c16:uniqueId val="{00000003-ED2F-435C-BE7A-AE568E3DA98F}"/>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'Econ Dev'!$A$8</c15:sqref>
                        </c15:formulaRef>
                      </c:ext>
                    </c:extLst>
                    <c:strCache>
                      <c:ptCount val="1"/>
                      <c:pt idx="0">
                        <c:v>Internal Service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'Econ Dev'!$B$5:$L$5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'Econ Dev'!$B$8:$L$8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4-ED2F-435C-BE7A-AE568E3DA98F}"/>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'Econ Dev'!$A$9</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'Econ Dev'!$B$5:$L$5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'Econ Dev'!$B$9:$L$9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5-ED2F-435C-BE7A-AE568E3DA98F}"/>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'Econ Dev'!$A$11</c15:sqref>
                        </c15:formulaRef>
                      </c:ext>
                    </c:extLst>
                    <c:strCache>
                      <c:ptCount val="1"/>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'Econ Dev'!$B$5:$L$5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'Econ Dev'!$B$11:$L$11</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6-ED2F-435C-BE7A-AE568E3DA98F}"/>
                  </c:ext>
                </c:extLst>
              </c15:ser>
            </c15:filteredLineSeries>
          </c:ext>
        </c:extLst>
      </c:lineChart>
      <c:catAx>
        <c:axId val="500982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0982720"/>
        <c:crosses val="autoZero"/>
        <c:auto val="1"/>
        <c:lblAlgn val="ctr"/>
        <c:lblOffset val="100"/>
        <c:noMultiLvlLbl val="0"/>
      </c:catAx>
      <c:valAx>
        <c:axId val="50098272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0982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Economic Development - </a:t>
            </a:r>
            <a:r>
              <a:rPr lang="en-US" sz="1800" b="1" baseline="0"/>
              <a:t> Total Expenditures</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'Econ Dev'!$A$16</c:f>
              <c:strCache>
                <c:ptCount val="1"/>
                <c:pt idx="0">
                  <c:v>General Fund</c:v>
                </c:pt>
              </c:strCache>
            </c:strRef>
          </c:tx>
          <c:spPr>
            <a:ln w="28575" cap="rnd">
              <a:solidFill>
                <a:schemeClr val="tx1"/>
              </a:solidFill>
              <a:round/>
            </a:ln>
            <a:effectLst/>
          </c:spPr>
          <c:marker>
            <c:symbol val="none"/>
          </c:marker>
          <c:cat>
            <c:numRef>
              <c:f>'Econ Dev'!$B$5:$L$5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'Econ Dev'!$B$16:$L$16</c:f>
              <c:numCache>
                <c:formatCode>_("$"* #,##0_);_("$"* \(#,##0\);_("$"* "-"??_);_(@_)</c:formatCode>
                <c:ptCount val="11"/>
                <c:pt idx="0">
                  <c:v>138175</c:v>
                </c:pt>
                <c:pt idx="1">
                  <c:v>492384</c:v>
                </c:pt>
                <c:pt idx="2">
                  <c:v>968122</c:v>
                </c:pt>
                <c:pt idx="3">
                  <c:v>1275952</c:v>
                </c:pt>
                <c:pt idx="4">
                  <c:v>1824776</c:v>
                </c:pt>
                <c:pt idx="5">
                  <c:v>5071156</c:v>
                </c:pt>
                <c:pt idx="6">
                  <c:v>1288691</c:v>
                </c:pt>
                <c:pt idx="7">
                  <c:v>2627052</c:v>
                </c:pt>
                <c:pt idx="8">
                  <c:v>1186619</c:v>
                </c:pt>
                <c:pt idx="9">
                  <c:v>1325468</c:v>
                </c:pt>
                <c:pt idx="10">
                  <c:v>1007419</c:v>
                </c:pt>
              </c:numCache>
            </c:numRef>
          </c:val>
          <c:smooth val="0"/>
          <c:extLst>
            <c:ext xmlns:c16="http://schemas.microsoft.com/office/drawing/2014/chart" uri="{C3380CC4-5D6E-409C-BE32-E72D297353CC}">
              <c16:uniqueId val="{00000001-8C1F-4F80-8952-B0C3305E7150}"/>
            </c:ext>
          </c:extLst>
        </c:ser>
        <c:ser>
          <c:idx val="4"/>
          <c:order val="4"/>
          <c:tx>
            <c:strRef>
              <c:f>'Econ Dev'!$A$19</c:f>
              <c:strCache>
                <c:ptCount val="1"/>
                <c:pt idx="0">
                  <c:v>Special Revenue Funds</c:v>
                </c:pt>
              </c:strCache>
            </c:strRef>
          </c:tx>
          <c:spPr>
            <a:ln w="28575" cap="rnd">
              <a:solidFill>
                <a:srgbClr val="996633"/>
              </a:solidFill>
              <a:round/>
            </a:ln>
            <a:effectLst/>
          </c:spPr>
          <c:marker>
            <c:symbol val="none"/>
          </c:marker>
          <c:cat>
            <c:numRef>
              <c:f>'Econ Dev'!$B$5:$L$5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'Econ Dev'!$B$19:$L$19</c:f>
              <c:numCache>
                <c:formatCode>_("$"* #,##0_);_("$"* \(#,##0\);_("$"* "-"??_);_(@_)</c:formatCode>
                <c:ptCount val="11"/>
                <c:pt idx="0">
                  <c:v>0</c:v>
                </c:pt>
                <c:pt idx="1">
                  <c:v>117129</c:v>
                </c:pt>
                <c:pt idx="2">
                  <c:v>277274</c:v>
                </c:pt>
                <c:pt idx="3">
                  <c:v>494701</c:v>
                </c:pt>
                <c:pt idx="4">
                  <c:v>759006</c:v>
                </c:pt>
                <c:pt idx="5">
                  <c:v>1824347</c:v>
                </c:pt>
                <c:pt idx="6">
                  <c:v>4149754</c:v>
                </c:pt>
                <c:pt idx="7">
                  <c:v>2062438</c:v>
                </c:pt>
                <c:pt idx="8">
                  <c:v>1917813</c:v>
                </c:pt>
                <c:pt idx="9">
                  <c:v>1901235</c:v>
                </c:pt>
                <c:pt idx="10">
                  <c:v>1502444</c:v>
                </c:pt>
              </c:numCache>
            </c:numRef>
          </c:val>
          <c:smooth val="0"/>
          <c:extLst>
            <c:ext xmlns:c16="http://schemas.microsoft.com/office/drawing/2014/chart" uri="{C3380CC4-5D6E-409C-BE32-E72D297353CC}">
              <c16:uniqueId val="{00000004-8C1F-4F80-8952-B0C3305E7150}"/>
            </c:ext>
          </c:extLst>
        </c:ser>
        <c:ser>
          <c:idx val="6"/>
          <c:order val="6"/>
          <c:tx>
            <c:strRef>
              <c:f>'Econ Dev'!$A$21</c:f>
              <c:strCache>
                <c:ptCount val="1"/>
                <c:pt idx="0">
                  <c:v>Total City Budget Expenditures</c:v>
                </c:pt>
              </c:strCache>
            </c:strRef>
          </c:tx>
          <c:spPr>
            <a:ln w="28575" cap="rnd">
              <a:solidFill>
                <a:srgbClr val="FF0000"/>
              </a:solidFill>
              <a:round/>
            </a:ln>
            <a:effectLst/>
          </c:spPr>
          <c:marker>
            <c:symbol val="none"/>
          </c:marker>
          <c:cat>
            <c:numRef>
              <c:f>'Econ Dev'!$B$5:$L$5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'Econ Dev'!$B$21:$L$21</c:f>
              <c:numCache>
                <c:formatCode>_("$"* #,##0_);_("$"* \(#,##0\);_("$"* "-"??_);_(@_)</c:formatCode>
                <c:ptCount val="11"/>
                <c:pt idx="0">
                  <c:v>138175</c:v>
                </c:pt>
                <c:pt idx="1">
                  <c:v>609513</c:v>
                </c:pt>
                <c:pt idx="2">
                  <c:v>1245396</c:v>
                </c:pt>
                <c:pt idx="3">
                  <c:v>1770653</c:v>
                </c:pt>
                <c:pt idx="4">
                  <c:v>2583782</c:v>
                </c:pt>
                <c:pt idx="5">
                  <c:v>6895503</c:v>
                </c:pt>
                <c:pt idx="6">
                  <c:v>5438445</c:v>
                </c:pt>
                <c:pt idx="7">
                  <c:v>4689490</c:v>
                </c:pt>
                <c:pt idx="8">
                  <c:v>3104432</c:v>
                </c:pt>
                <c:pt idx="9">
                  <c:v>3226703</c:v>
                </c:pt>
                <c:pt idx="10">
                  <c:v>2509863</c:v>
                </c:pt>
              </c:numCache>
            </c:numRef>
          </c:val>
          <c:smooth val="0"/>
          <c:extLst>
            <c:ext xmlns:c16="http://schemas.microsoft.com/office/drawing/2014/chart" uri="{C3380CC4-5D6E-409C-BE32-E72D297353CC}">
              <c16:uniqueId val="{00000006-8C1F-4F80-8952-B0C3305E7150}"/>
            </c:ext>
          </c:extLst>
        </c:ser>
        <c:dLbls>
          <c:showLegendKey val="0"/>
          <c:showVal val="0"/>
          <c:showCatName val="0"/>
          <c:showSerName val="0"/>
          <c:showPercent val="0"/>
          <c:showBubbleSize val="0"/>
        </c:dLbls>
        <c:smooth val="0"/>
        <c:axId val="750642904"/>
        <c:axId val="750643560"/>
        <c:extLst>
          <c:ext xmlns:c15="http://schemas.microsoft.com/office/drawing/2012/chart" uri="{02D57815-91ED-43cb-92C2-25804820EDAC}">
            <c15:filteredLineSeries>
              <c15:ser>
                <c:idx val="0"/>
                <c:order val="0"/>
                <c:tx>
                  <c:strRef>
                    <c:extLst>
                      <c:ext uri="{02D57815-91ED-43cb-92C2-25804820EDAC}">
                        <c15:formulaRef>
                          <c15:sqref>'Econ Dev'!$A$15</c15:sqref>
                        </c15:formulaRef>
                      </c:ext>
                    </c:extLst>
                    <c:strCache>
                      <c:ptCount val="1"/>
                      <c:pt idx="0">
                        <c:v>EXPENDITURES</c:v>
                      </c:pt>
                    </c:strCache>
                  </c:strRef>
                </c:tx>
                <c:spPr>
                  <a:ln w="28575" cap="rnd">
                    <a:solidFill>
                      <a:schemeClr val="accent1"/>
                    </a:solidFill>
                    <a:round/>
                  </a:ln>
                  <a:effectLst/>
                </c:spPr>
                <c:marker>
                  <c:symbol val="none"/>
                </c:marker>
                <c:cat>
                  <c:numRef>
                    <c:extLst>
                      <c:ext uri="{02D57815-91ED-43cb-92C2-25804820EDAC}">
                        <c15:formulaRef>
                          <c15:sqref>'Econ Dev'!$B$5:$L$5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'Econ Dev'!$B$15:$L$15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val>
                <c:smooth val="0"/>
                <c:extLst>
                  <c:ext xmlns:c16="http://schemas.microsoft.com/office/drawing/2014/chart" uri="{C3380CC4-5D6E-409C-BE32-E72D297353CC}">
                    <c16:uniqueId val="{00000000-8C1F-4F80-8952-B0C3305E7150}"/>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'Econ Dev'!$A$17</c15:sqref>
                        </c15:formulaRef>
                      </c:ext>
                    </c:extLst>
                    <c:strCache>
                      <c:ptCount val="1"/>
                      <c:pt idx="0">
                        <c:v>Internal Service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'Econ Dev'!$B$5:$L$5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'Econ Dev'!$B$17:$L$17</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2-8C1F-4F80-8952-B0C3305E7150}"/>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'Econ Dev'!$A$18</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'Econ Dev'!$B$5:$L$5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'Econ Dev'!$B$18:$L$18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3-8C1F-4F80-8952-B0C3305E7150}"/>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'Econ Dev'!$A$20</c15:sqref>
                        </c15:formulaRef>
                      </c:ext>
                    </c:extLst>
                    <c:strCache>
                      <c:ptCount val="1"/>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'Econ Dev'!$B$5:$L$5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'Econ Dev'!$B$20:$L$20</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5-8C1F-4F80-8952-B0C3305E7150}"/>
                  </c:ext>
                </c:extLst>
              </c15:ser>
            </c15:filteredLineSeries>
          </c:ext>
        </c:extLst>
      </c:lineChart>
      <c:catAx>
        <c:axId val="750642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643560"/>
        <c:crosses val="autoZero"/>
        <c:auto val="1"/>
        <c:lblAlgn val="ctr"/>
        <c:lblOffset val="100"/>
        <c:noMultiLvlLbl val="0"/>
      </c:catAx>
      <c:valAx>
        <c:axId val="75064356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642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Economic Development - Expenditures per Capita</a:t>
            </a:r>
            <a:endParaRPr lang="en-US" sz="1800" b="1" baseline="0"/>
          </a:p>
        </c:rich>
      </c:tx>
      <c:overlay val="0"/>
      <c:spPr>
        <a:noFill/>
        <a:ln>
          <a:noFill/>
        </a:ln>
        <a:effectLst/>
      </c:spPr>
    </c:title>
    <c:autoTitleDeleted val="0"/>
    <c:plotArea>
      <c:layout/>
      <c:lineChart>
        <c:grouping val="standard"/>
        <c:varyColors val="0"/>
        <c:ser>
          <c:idx val="7"/>
          <c:order val="0"/>
          <c:tx>
            <c:strRef>
              <c:f>'Econ Dev'!$A$25</c:f>
              <c:strCache>
                <c:ptCount val="1"/>
                <c:pt idx="0">
                  <c:v>Expenditures per Capita</c:v>
                </c:pt>
              </c:strCache>
            </c:strRef>
          </c:tx>
          <c:spPr>
            <a:ln>
              <a:solidFill>
                <a:srgbClr val="FF0000"/>
              </a:solidFill>
            </a:ln>
          </c:spPr>
          <c:marker>
            <c:symbol val="none"/>
          </c:marker>
          <c:cat>
            <c:numRef>
              <c:f>'Econ Dev'!$B$24:$L$24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'Econ Dev'!$B$25:$L$25</c:f>
              <c:numCache>
                <c:formatCode>_("$"* #,##0.00_);_("$"* \(#,##0.00\);_("$"* "-"??_);_(@_)</c:formatCode>
                <c:ptCount val="11"/>
                <c:pt idx="0">
                  <c:v>2.1876286374718976</c:v>
                </c:pt>
                <c:pt idx="1">
                  <c:v>7.2685187918868648</c:v>
                </c:pt>
                <c:pt idx="2">
                  <c:v>14.079521821963031</c:v>
                </c:pt>
                <c:pt idx="3">
                  <c:v>18.40111910702182</c:v>
                </c:pt>
                <c:pt idx="4">
                  <c:v>25.931163848230781</c:v>
                </c:pt>
                <c:pt idx="5">
                  <c:v>71.39758120151491</c:v>
                </c:pt>
                <c:pt idx="6">
                  <c:v>17.552315445382728</c:v>
                </c:pt>
                <c:pt idx="7">
                  <c:v>35.316959064327484</c:v>
                </c:pt>
                <c:pt idx="8">
                  <c:v>15.646347573839662</c:v>
                </c:pt>
                <c:pt idx="9">
                  <c:v>17.155496880743446</c:v>
                </c:pt>
                <c:pt idx="10">
                  <c:v>12.75536844770828</c:v>
                </c:pt>
              </c:numCache>
            </c:numRef>
          </c:val>
          <c:smooth val="0"/>
          <c:extLst>
            <c:ext xmlns:c16="http://schemas.microsoft.com/office/drawing/2014/chart" uri="{C3380CC4-5D6E-409C-BE32-E72D297353CC}">
              <c16:uniqueId val="{0000000E-BF46-4ADC-9F42-431E0C3A5C62}"/>
            </c:ext>
          </c:extLst>
        </c:ser>
        <c:dLbls>
          <c:showLegendKey val="0"/>
          <c:showVal val="0"/>
          <c:showCatName val="0"/>
          <c:showSerName val="0"/>
          <c:showPercent val="0"/>
          <c:showBubbleSize val="0"/>
        </c:dLbls>
        <c:smooth val="0"/>
        <c:axId val="750642904"/>
        <c:axId val="750643560"/>
        <c:extLst/>
      </c:lineChart>
      <c:catAx>
        <c:axId val="750642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643560"/>
        <c:crosses val="autoZero"/>
        <c:auto val="1"/>
        <c:lblAlgn val="ctr"/>
        <c:lblOffset val="100"/>
        <c:noMultiLvlLbl val="0"/>
      </c:catAx>
      <c:valAx>
        <c:axId val="75064356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642904"/>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Economic Development - Expenditures per FTE</a:t>
            </a:r>
            <a:endParaRPr lang="en-US" sz="1800" b="1" baseline="0"/>
          </a:p>
        </c:rich>
      </c:tx>
      <c:overlay val="0"/>
      <c:spPr>
        <a:noFill/>
        <a:ln>
          <a:noFill/>
        </a:ln>
        <a:effectLst/>
      </c:spPr>
    </c:title>
    <c:autoTitleDeleted val="0"/>
    <c:plotArea>
      <c:layout/>
      <c:lineChart>
        <c:grouping val="standard"/>
        <c:varyColors val="0"/>
        <c:ser>
          <c:idx val="0"/>
          <c:order val="0"/>
          <c:tx>
            <c:strRef>
              <c:f>'Econ Dev'!$A$28</c:f>
              <c:strCache>
                <c:ptCount val="1"/>
                <c:pt idx="0">
                  <c:v>Expenditures per FTE</c:v>
                </c:pt>
              </c:strCache>
            </c:strRef>
          </c:tx>
          <c:spPr>
            <a:ln>
              <a:solidFill>
                <a:srgbClr val="FF0000"/>
              </a:solidFill>
            </a:ln>
          </c:spPr>
          <c:marker>
            <c:symbol val="none"/>
          </c:marker>
          <c:cat>
            <c:numRef>
              <c:f>'Econ Dev'!$B$24:$L$24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'Econ Dev'!$B$28:$L$28</c:f>
              <c:numCache>
                <c:formatCode>_("$"* #,##0_);_("$"* \(#,##0\);_("$"* "-"??_);_(@_)</c:formatCode>
                <c:ptCount val="11"/>
                <c:pt idx="0">
                  <c:v>92116.666666666672</c:v>
                </c:pt>
                <c:pt idx="1">
                  <c:v>492384</c:v>
                </c:pt>
                <c:pt idx="2">
                  <c:v>266700.27548209368</c:v>
                </c:pt>
                <c:pt idx="3">
                  <c:v>351501.92837465566</c:v>
                </c:pt>
                <c:pt idx="4">
                  <c:v>441834.38256658596</c:v>
                </c:pt>
                <c:pt idx="5">
                  <c:v>1126923.5555555555</c:v>
                </c:pt>
                <c:pt idx="6">
                  <c:v>286375.77777777775</c:v>
                </c:pt>
                <c:pt idx="7">
                  <c:v>656763</c:v>
                </c:pt>
                <c:pt idx="8">
                  <c:v>296654.75</c:v>
                </c:pt>
                <c:pt idx="9">
                  <c:v>331367</c:v>
                </c:pt>
                <c:pt idx="10">
                  <c:v>251854.75</c:v>
                </c:pt>
              </c:numCache>
            </c:numRef>
          </c:val>
          <c:smooth val="0"/>
          <c:extLst>
            <c:ext xmlns:c16="http://schemas.microsoft.com/office/drawing/2014/chart" uri="{C3380CC4-5D6E-409C-BE32-E72D297353CC}">
              <c16:uniqueId val="{00000002-E6E1-4ABF-B18B-1A6554DD1CCE}"/>
            </c:ext>
          </c:extLst>
        </c:ser>
        <c:dLbls>
          <c:showLegendKey val="0"/>
          <c:showVal val="0"/>
          <c:showCatName val="0"/>
          <c:showSerName val="0"/>
          <c:showPercent val="0"/>
          <c:showBubbleSize val="0"/>
        </c:dLbls>
        <c:smooth val="0"/>
        <c:axId val="750642904"/>
        <c:axId val="750643560"/>
        <c:extLst/>
      </c:lineChart>
      <c:catAx>
        <c:axId val="750642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643560"/>
        <c:crosses val="autoZero"/>
        <c:auto val="1"/>
        <c:lblAlgn val="ctr"/>
        <c:lblOffset val="100"/>
        <c:noMultiLvlLbl val="0"/>
      </c:catAx>
      <c:valAx>
        <c:axId val="75064356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642904"/>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Finance - Total Revenues</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6"/>
          <c:order val="6"/>
          <c:tx>
            <c:strRef>
              <c:f>Finance!$A$12</c:f>
              <c:strCache>
                <c:ptCount val="1"/>
                <c:pt idx="0">
                  <c:v>Total City Budget Revenues</c:v>
                </c:pt>
              </c:strCache>
            </c:strRef>
          </c:tx>
          <c:spPr>
            <a:ln w="28575" cap="rnd">
              <a:solidFill>
                <a:srgbClr val="008000"/>
              </a:solidFill>
              <a:round/>
            </a:ln>
            <a:effectLst/>
          </c:spPr>
          <c:marker>
            <c:symbol val="none"/>
          </c:marker>
          <c:cat>
            <c:numRef>
              <c:f>Finance!$B$5:$L$5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Finance!$B$12:$L$12</c:f>
              <c:numCache>
                <c:formatCode>_("$"* #,##0_);_("$"* \(#,##0\);_("$"* "-"??_);_(@_)</c:formatCode>
                <c:ptCount val="11"/>
                <c:pt idx="0">
                  <c:v>394398</c:v>
                </c:pt>
                <c:pt idx="1">
                  <c:v>1543944</c:v>
                </c:pt>
                <c:pt idx="2">
                  <c:v>3182424</c:v>
                </c:pt>
                <c:pt idx="3">
                  <c:v>3319352</c:v>
                </c:pt>
                <c:pt idx="4">
                  <c:v>3337549</c:v>
                </c:pt>
                <c:pt idx="5">
                  <c:v>3860513</c:v>
                </c:pt>
                <c:pt idx="6">
                  <c:v>3822469</c:v>
                </c:pt>
                <c:pt idx="7">
                  <c:v>3733146</c:v>
                </c:pt>
                <c:pt idx="8">
                  <c:v>5350158</c:v>
                </c:pt>
                <c:pt idx="9">
                  <c:v>5736967</c:v>
                </c:pt>
                <c:pt idx="10">
                  <c:v>570937</c:v>
                </c:pt>
              </c:numCache>
            </c:numRef>
          </c:val>
          <c:smooth val="0"/>
          <c:extLst>
            <c:ext xmlns:c16="http://schemas.microsoft.com/office/drawing/2014/chart" uri="{C3380CC4-5D6E-409C-BE32-E72D297353CC}">
              <c16:uniqueId val="{00000002-3C8E-4C8E-9AE9-46DC7A8E183C}"/>
            </c:ext>
          </c:extLst>
        </c:ser>
        <c:dLbls>
          <c:showLegendKey val="0"/>
          <c:showVal val="0"/>
          <c:showCatName val="0"/>
          <c:showSerName val="0"/>
          <c:showPercent val="0"/>
          <c:showBubbleSize val="0"/>
        </c:dLbls>
        <c:smooth val="0"/>
        <c:axId val="603984984"/>
        <c:axId val="603987280"/>
        <c:extLst>
          <c:ext xmlns:c15="http://schemas.microsoft.com/office/drawing/2012/chart" uri="{02D57815-91ED-43cb-92C2-25804820EDAC}">
            <c15:filteredLineSeries>
              <c15:ser>
                <c:idx val="0"/>
                <c:order val="0"/>
                <c:tx>
                  <c:strRef>
                    <c:extLst>
                      <c:ext uri="{02D57815-91ED-43cb-92C2-25804820EDAC}">
                        <c15:formulaRef>
                          <c15:sqref>Finance!$A$6</c15:sqref>
                        </c15:formulaRef>
                      </c:ext>
                    </c:extLst>
                    <c:strCache>
                      <c:ptCount val="1"/>
                      <c:pt idx="0">
                        <c:v>REVENUES</c:v>
                      </c:pt>
                    </c:strCache>
                  </c:strRef>
                </c:tx>
                <c:spPr>
                  <a:ln w="28575" cap="rnd">
                    <a:solidFill>
                      <a:schemeClr val="accent1"/>
                    </a:solidFill>
                    <a:round/>
                  </a:ln>
                  <a:effectLst/>
                </c:spPr>
                <c:marker>
                  <c:symbol val="none"/>
                </c:marker>
                <c:cat>
                  <c:numRef>
                    <c:extLst>
                      <c:ext uri="{02D57815-91ED-43cb-92C2-25804820EDAC}">
                        <c15:formulaRef>
                          <c15:sqref>Finance!$B$5:$L$5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FIN!#REF!</c15:sqref>
                        </c15:formulaRef>
                      </c:ext>
                    </c:extLst>
                    <c:numCache>
                      <c:formatCode>General</c:formatCode>
                      <c:ptCount val="1"/>
                      <c:pt idx="0">
                        <c:v>1</c:v>
                      </c:pt>
                    </c:numCache>
                  </c:numRef>
                </c:val>
                <c:smooth val="0"/>
                <c:extLst>
                  <c:ext xmlns:c16="http://schemas.microsoft.com/office/drawing/2014/chart" uri="{C3380CC4-5D6E-409C-BE32-E72D297353CC}">
                    <c16:uniqueId val="{00000003-3C8E-4C8E-9AE9-46DC7A8E183C}"/>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Finance!$A$7</c15:sqref>
                        </c15:formulaRef>
                      </c:ext>
                    </c:extLst>
                    <c:strCache>
                      <c:ptCount val="1"/>
                      <c:pt idx="0">
                        <c:v>General Fund</c:v>
                      </c:pt>
                    </c:strCache>
                  </c:strRef>
                </c:tx>
                <c:spPr>
                  <a:ln w="28575" cap="rnd">
                    <a:solidFill>
                      <a:sysClr val="windowText" lastClr="000000"/>
                    </a:solidFill>
                    <a:round/>
                  </a:ln>
                  <a:effectLst/>
                </c:spPr>
                <c:marker>
                  <c:symbol val="none"/>
                </c:marker>
                <c:cat>
                  <c:numRef>
                    <c:extLst xmlns:c15="http://schemas.microsoft.com/office/drawing/2012/chart">
                      <c:ext xmlns:c15="http://schemas.microsoft.com/office/drawing/2012/chart" uri="{02D57815-91ED-43cb-92C2-25804820EDAC}">
                        <c15:formulaRef>
                          <c15:sqref>Finance!$B$5:$L$5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Finance!$B$7:$L$7</c15:sqref>
                        </c15:formulaRef>
                      </c:ext>
                    </c:extLst>
                    <c:numCache>
                      <c:formatCode>_("$"* #,##0_);_("$"* \(#,##0\);_("$"* "-"??_);_(@_)</c:formatCode>
                      <c:ptCount val="11"/>
                      <c:pt idx="0">
                        <c:v>394398</c:v>
                      </c:pt>
                      <c:pt idx="1">
                        <c:v>1543944</c:v>
                      </c:pt>
                      <c:pt idx="2">
                        <c:v>3182424</c:v>
                      </c:pt>
                      <c:pt idx="3">
                        <c:v>3319352</c:v>
                      </c:pt>
                      <c:pt idx="4">
                        <c:v>3337549</c:v>
                      </c:pt>
                      <c:pt idx="5">
                        <c:v>3860513</c:v>
                      </c:pt>
                      <c:pt idx="6">
                        <c:v>3822469</c:v>
                      </c:pt>
                      <c:pt idx="7">
                        <c:v>3733146</c:v>
                      </c:pt>
                      <c:pt idx="8">
                        <c:v>5350158</c:v>
                      </c:pt>
                      <c:pt idx="9">
                        <c:v>5736967</c:v>
                      </c:pt>
                      <c:pt idx="10">
                        <c:v>570937</c:v>
                      </c:pt>
                    </c:numCache>
                  </c:numRef>
                </c:val>
                <c:smooth val="0"/>
                <c:extLst xmlns:c15="http://schemas.microsoft.com/office/drawing/2012/chart">
                  <c:ext xmlns:c16="http://schemas.microsoft.com/office/drawing/2014/chart" uri="{C3380CC4-5D6E-409C-BE32-E72D297353CC}">
                    <c16:uniqueId val="{00000000-3C8E-4C8E-9AE9-46DC7A8E183C}"/>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Finance!$A$8</c15:sqref>
                        </c15:formulaRef>
                      </c:ext>
                    </c:extLst>
                    <c:strCache>
                      <c:ptCount val="1"/>
                      <c:pt idx="0">
                        <c:v>Internal Service Funds</c:v>
                      </c:pt>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Finance!$B$5:$L$5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Finance!$B$8:$L$8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1-3C8E-4C8E-9AE9-46DC7A8E183C}"/>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Finance!$A$9</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Finance!$B$5:$L$5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Finance!$B$9:$L$9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4-3C8E-4C8E-9AE9-46DC7A8E183C}"/>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Finance!$A$10</c15:sqref>
                        </c15:formulaRef>
                      </c:ext>
                    </c:extLst>
                    <c:strCache>
                      <c:ptCount val="1"/>
                      <c:pt idx="0">
                        <c:v>Special Revenue Funds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Finance!$B$5:$L$5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Finance!$B$10:$L$10</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5-3C8E-4C8E-9AE9-46DC7A8E183C}"/>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Finance!$A$11</c15:sqref>
                        </c15:formulaRef>
                      </c:ext>
                    </c:extLst>
                    <c:strCache>
                      <c:ptCount val="1"/>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Finance!$B$5:$L$5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Finance!$B$11:$L$11</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6-3C8E-4C8E-9AE9-46DC7A8E183C}"/>
                  </c:ext>
                </c:extLst>
              </c15:ser>
            </c15:filteredLineSeries>
          </c:ext>
        </c:extLst>
      </c:lineChart>
      <c:catAx>
        <c:axId val="603984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987280"/>
        <c:crosses val="autoZero"/>
        <c:auto val="1"/>
        <c:lblAlgn val="ctr"/>
        <c:lblOffset val="100"/>
        <c:noMultiLvlLbl val="0"/>
      </c:catAx>
      <c:valAx>
        <c:axId val="60398728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984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ysClr val="window" lastClr="FFFFFF"/>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Finance - Total Expenditures</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Finance!$A$16</c:f>
              <c:strCache>
                <c:ptCount val="1"/>
                <c:pt idx="0">
                  <c:v>General Fund</c:v>
                </c:pt>
              </c:strCache>
            </c:strRef>
          </c:tx>
          <c:spPr>
            <a:ln w="28575" cap="rnd">
              <a:solidFill>
                <a:sysClr val="windowText" lastClr="000000"/>
              </a:solidFill>
              <a:round/>
            </a:ln>
            <a:effectLst/>
          </c:spPr>
          <c:marker>
            <c:symbol val="none"/>
          </c:marker>
          <c:cat>
            <c:numRef>
              <c:f>Finance!$B$5:$L$5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Finance!$B$16:$L$16</c:f>
              <c:numCache>
                <c:formatCode>_("$"* #,##0_);_("$"* \(#,##0\);_("$"* "-"??_);_(@_)</c:formatCode>
                <c:ptCount val="11"/>
                <c:pt idx="0">
                  <c:v>1730611</c:v>
                </c:pt>
                <c:pt idx="1">
                  <c:v>1670286</c:v>
                </c:pt>
                <c:pt idx="2">
                  <c:v>3607144</c:v>
                </c:pt>
                <c:pt idx="3">
                  <c:v>3728933</c:v>
                </c:pt>
                <c:pt idx="4">
                  <c:v>4221458</c:v>
                </c:pt>
                <c:pt idx="5">
                  <c:v>4730495</c:v>
                </c:pt>
                <c:pt idx="6">
                  <c:v>4677190</c:v>
                </c:pt>
                <c:pt idx="7">
                  <c:v>5095909</c:v>
                </c:pt>
                <c:pt idx="8">
                  <c:v>5963225</c:v>
                </c:pt>
                <c:pt idx="9">
                  <c:v>6881917</c:v>
                </c:pt>
                <c:pt idx="10">
                  <c:v>5795486</c:v>
                </c:pt>
              </c:numCache>
            </c:numRef>
          </c:val>
          <c:smooth val="0"/>
          <c:extLst>
            <c:ext xmlns:c16="http://schemas.microsoft.com/office/drawing/2014/chart" uri="{C3380CC4-5D6E-409C-BE32-E72D297353CC}">
              <c16:uniqueId val="{00000001-B0BE-4590-857C-FD932F7537F3}"/>
            </c:ext>
          </c:extLst>
        </c:ser>
        <c:ser>
          <c:idx val="2"/>
          <c:order val="2"/>
          <c:tx>
            <c:strRef>
              <c:f>Finance!$A$18</c:f>
              <c:strCache>
                <c:ptCount val="1"/>
                <c:pt idx="0">
                  <c:v>Enterprise Funds</c:v>
                </c:pt>
              </c:strCache>
            </c:strRef>
          </c:tx>
          <c:spPr>
            <a:ln w="28575" cap="rnd">
              <a:solidFill>
                <a:srgbClr val="6666FF"/>
              </a:solidFill>
              <a:round/>
            </a:ln>
            <a:effectLst/>
          </c:spPr>
          <c:marker>
            <c:symbol val="none"/>
          </c:marker>
          <c:val>
            <c:numRef>
              <c:f>Finance!$B$18:$L$18</c:f>
              <c:numCache>
                <c:formatCode>_("$"* #,##0_);_("$"* \(#,##0\);_("$"* "-"??_);_(@_)</c:formatCode>
                <c:ptCount val="11"/>
                <c:pt idx="0">
                  <c:v>1969045</c:v>
                </c:pt>
                <c:pt idx="1">
                  <c:v>1851784</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0-A8D9-4F0C-BE91-B55AF20D56A9}"/>
            </c:ext>
          </c:extLst>
        </c:ser>
        <c:dLbls>
          <c:showLegendKey val="0"/>
          <c:showVal val="0"/>
          <c:showCatName val="0"/>
          <c:showSerName val="0"/>
          <c:showPercent val="0"/>
          <c:showBubbleSize val="0"/>
        </c:dLbls>
        <c:smooth val="0"/>
        <c:axId val="734513456"/>
        <c:axId val="734511816"/>
        <c:extLst>
          <c:ext xmlns:c15="http://schemas.microsoft.com/office/drawing/2012/chart" uri="{02D57815-91ED-43cb-92C2-25804820EDAC}">
            <c15:filteredLineSeries>
              <c15:ser>
                <c:idx val="0"/>
                <c:order val="0"/>
                <c:tx>
                  <c:strRef>
                    <c:extLst>
                      <c:ext uri="{02D57815-91ED-43cb-92C2-25804820EDAC}">
                        <c15:formulaRef>
                          <c15:sqref>Finance!$A$15</c15:sqref>
                        </c15:formulaRef>
                      </c:ext>
                    </c:extLst>
                    <c:strCache>
                      <c:ptCount val="1"/>
                      <c:pt idx="0">
                        <c:v>EXPENDITURES</c:v>
                      </c:pt>
                    </c:strCache>
                  </c:strRef>
                </c:tx>
                <c:spPr>
                  <a:ln w="28575" cap="rnd">
                    <a:solidFill>
                      <a:schemeClr val="accent1"/>
                    </a:solidFill>
                    <a:round/>
                  </a:ln>
                  <a:effectLst/>
                </c:spPr>
                <c:marker>
                  <c:symbol val="none"/>
                </c:marker>
                <c:cat>
                  <c:numRef>
                    <c:extLst>
                      <c:ext uri="{02D57815-91ED-43cb-92C2-25804820EDAC}">
                        <c15:formulaRef>
                          <c15:sqref>Finance!$B$5:$L$5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Finance!$B$15:$L$15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val>
                <c:smooth val="0"/>
                <c:extLst>
                  <c:ext xmlns:c16="http://schemas.microsoft.com/office/drawing/2014/chart" uri="{C3380CC4-5D6E-409C-BE32-E72D297353CC}">
                    <c16:uniqueId val="{00000000-B0BE-4590-857C-FD932F7537F3}"/>
                  </c:ext>
                </c:extLst>
              </c15:ser>
            </c15:filteredLineSeries>
          </c:ext>
        </c:extLst>
      </c:lineChart>
      <c:catAx>
        <c:axId val="734513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511816"/>
        <c:crosses val="autoZero"/>
        <c:auto val="1"/>
        <c:lblAlgn val="ctr"/>
        <c:lblOffset val="100"/>
        <c:noMultiLvlLbl val="0"/>
      </c:catAx>
      <c:valAx>
        <c:axId val="73451181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513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ysClr val="window" lastClr="FFFFFF"/>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Finance - Expenditures per Capita</a:t>
            </a:r>
          </a:p>
        </c:rich>
      </c:tx>
      <c:overlay val="0"/>
      <c:spPr>
        <a:noFill/>
        <a:ln>
          <a:noFill/>
        </a:ln>
        <a:effectLst/>
      </c:spPr>
    </c:title>
    <c:autoTitleDeleted val="0"/>
    <c:plotArea>
      <c:layout/>
      <c:lineChart>
        <c:grouping val="standard"/>
        <c:varyColors val="0"/>
        <c:ser>
          <c:idx val="1"/>
          <c:order val="0"/>
          <c:tx>
            <c:strRef>
              <c:f>Finance!$A$25</c:f>
              <c:strCache>
                <c:ptCount val="1"/>
                <c:pt idx="0">
                  <c:v>Expenditures per Capita</c:v>
                </c:pt>
              </c:strCache>
            </c:strRef>
          </c:tx>
          <c:spPr>
            <a:ln>
              <a:solidFill>
                <a:srgbClr val="FF0000"/>
              </a:solidFill>
            </a:ln>
          </c:spPr>
          <c:marker>
            <c:symbol val="none"/>
          </c:marker>
          <c:cat>
            <c:numRef>
              <c:f>Finance!$B$24:$L$24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Finance!$B$25:$L$25</c:f>
              <c:numCache>
                <c:formatCode>_("$"* #,##0.00_);_("$"* \(#,##0.00\);_("$"* "-"??_);_(@_)</c:formatCode>
                <c:ptCount val="11"/>
                <c:pt idx="0">
                  <c:v>27.399559861942308</c:v>
                </c:pt>
                <c:pt idx="1">
                  <c:v>24.656579374686309</c:v>
                </c:pt>
                <c:pt idx="2">
                  <c:v>52.459155626008929</c:v>
                </c:pt>
                <c:pt idx="3">
                  <c:v>53.776741033443415</c:v>
                </c:pt>
                <c:pt idx="4">
                  <c:v>59.98945573397755</c:v>
                </c:pt>
                <c:pt idx="5">
                  <c:v>66.60136286201022</c:v>
                </c:pt>
                <c:pt idx="6">
                  <c:v>63.70457640969763</c:v>
                </c:pt>
                <c:pt idx="7">
                  <c:v>68.507212475633523</c:v>
                </c:pt>
                <c:pt idx="8">
                  <c:v>78.629021624472571</c:v>
                </c:pt>
                <c:pt idx="9">
                  <c:v>89.072467707281717</c:v>
                </c:pt>
                <c:pt idx="10">
                  <c:v>73.379159280830592</c:v>
                </c:pt>
              </c:numCache>
            </c:numRef>
          </c:val>
          <c:smooth val="0"/>
          <c:extLst>
            <c:ext xmlns:c16="http://schemas.microsoft.com/office/drawing/2014/chart" uri="{C3380CC4-5D6E-409C-BE32-E72D297353CC}">
              <c16:uniqueId val="{00000002-ACC0-45FF-A185-C79242E561E2}"/>
            </c:ext>
          </c:extLst>
        </c:ser>
        <c:dLbls>
          <c:showLegendKey val="0"/>
          <c:showVal val="0"/>
          <c:showCatName val="0"/>
          <c:showSerName val="0"/>
          <c:showPercent val="0"/>
          <c:showBubbleSize val="0"/>
        </c:dLbls>
        <c:smooth val="0"/>
        <c:axId val="654006328"/>
        <c:axId val="653999440"/>
      </c:lineChart>
      <c:catAx>
        <c:axId val="654006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3999440"/>
        <c:crosses val="autoZero"/>
        <c:auto val="1"/>
        <c:lblAlgn val="ctr"/>
        <c:lblOffset val="100"/>
        <c:noMultiLvlLbl val="0"/>
      </c:catAx>
      <c:valAx>
        <c:axId val="65399944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4006328"/>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b="1"/>
              <a:t>Total City -  Expenditures Per Capita</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'All Depts'!$A$38</c:f>
              <c:strCache>
                <c:ptCount val="1"/>
                <c:pt idx="0">
                  <c:v>General Fund</c:v>
                </c:pt>
              </c:strCache>
            </c:strRef>
          </c:tx>
          <c:spPr>
            <a:ln w="28575" cap="rnd">
              <a:solidFill>
                <a:schemeClr val="tx1"/>
              </a:solidFill>
              <a:round/>
            </a:ln>
            <a:effectLst/>
          </c:spPr>
          <c:marker>
            <c:symbol val="none"/>
          </c:marker>
          <c:cat>
            <c:numRef>
              <c:f>'All Depts'!$B$49:$L$49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Depts'!$B$38:$L$38</c:f>
              <c:numCache>
                <c:formatCode>_("$"* #,##0_);_("$"* \(#,##0\);_("$"* "-"??_);_(@_)</c:formatCode>
                <c:ptCount val="11"/>
                <c:pt idx="0">
                  <c:v>991.77937684050539</c:v>
                </c:pt>
                <c:pt idx="1">
                  <c:v>935.96223908358184</c:v>
                </c:pt>
                <c:pt idx="2">
                  <c:v>801.67395762132605</c:v>
                </c:pt>
                <c:pt idx="3">
                  <c:v>855.81991895126976</c:v>
                </c:pt>
                <c:pt idx="4">
                  <c:v>965.02616171664056</c:v>
                </c:pt>
                <c:pt idx="5">
                  <c:v>1143.3876131611921</c:v>
                </c:pt>
                <c:pt idx="6">
                  <c:v>1141.9819395260147</c:v>
                </c:pt>
                <c:pt idx="7">
                  <c:v>1229.2833904685085</c:v>
                </c:pt>
                <c:pt idx="8">
                  <c:v>1371.1779404008439</c:v>
                </c:pt>
                <c:pt idx="9">
                  <c:v>1667.2520644042349</c:v>
                </c:pt>
                <c:pt idx="10">
                  <c:v>1292.0938338819954</c:v>
                </c:pt>
              </c:numCache>
            </c:numRef>
          </c:val>
          <c:smooth val="0"/>
          <c:extLst>
            <c:ext xmlns:c16="http://schemas.microsoft.com/office/drawing/2014/chart" uri="{C3380CC4-5D6E-409C-BE32-E72D297353CC}">
              <c16:uniqueId val="{00000000-4A4C-459C-92F4-9DA15CBC3A55}"/>
            </c:ext>
          </c:extLst>
        </c:ser>
        <c:ser>
          <c:idx val="1"/>
          <c:order val="1"/>
          <c:tx>
            <c:strRef>
              <c:f>'All Depts'!$A$39</c:f>
              <c:strCache>
                <c:ptCount val="1"/>
                <c:pt idx="0">
                  <c:v>Internal Service Funds</c:v>
                </c:pt>
              </c:strCache>
            </c:strRef>
          </c:tx>
          <c:spPr>
            <a:ln w="28575" cap="rnd">
              <a:solidFill>
                <a:schemeClr val="accent6"/>
              </a:solidFill>
              <a:round/>
            </a:ln>
            <a:effectLst/>
          </c:spPr>
          <c:marker>
            <c:symbol val="none"/>
          </c:marker>
          <c:cat>
            <c:numRef>
              <c:f>'All Depts'!$B$49:$L$49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Depts'!$B$39:$L$39</c:f>
              <c:numCache>
                <c:formatCode>_("$"* #,##0_);_("$"* \(#,##0\);_("$"* "-"??_);_(@_)</c:formatCode>
                <c:ptCount val="11"/>
                <c:pt idx="0">
                  <c:v>254.5557613755106</c:v>
                </c:pt>
                <c:pt idx="1">
                  <c:v>226.1844941100056</c:v>
                </c:pt>
                <c:pt idx="2">
                  <c:v>347.53303471444571</c:v>
                </c:pt>
                <c:pt idx="3">
                  <c:v>211.22699413045672</c:v>
                </c:pt>
                <c:pt idx="4">
                  <c:v>249.15789398891573</c:v>
                </c:pt>
                <c:pt idx="5">
                  <c:v>303.23201036225663</c:v>
                </c:pt>
                <c:pt idx="6">
                  <c:v>309.89771179515117</c:v>
                </c:pt>
                <c:pt idx="7">
                  <c:v>277.86115480271559</c:v>
                </c:pt>
                <c:pt idx="8">
                  <c:v>303.27353639240505</c:v>
                </c:pt>
                <c:pt idx="9">
                  <c:v>349.70625922186844</c:v>
                </c:pt>
                <c:pt idx="10">
                  <c:v>353.92884274499875</c:v>
                </c:pt>
              </c:numCache>
            </c:numRef>
          </c:val>
          <c:smooth val="0"/>
          <c:extLst>
            <c:ext xmlns:c16="http://schemas.microsoft.com/office/drawing/2014/chart" uri="{C3380CC4-5D6E-409C-BE32-E72D297353CC}">
              <c16:uniqueId val="{00000001-4A4C-459C-92F4-9DA15CBC3A55}"/>
            </c:ext>
          </c:extLst>
        </c:ser>
        <c:ser>
          <c:idx val="2"/>
          <c:order val="2"/>
          <c:tx>
            <c:strRef>
              <c:f>'All Depts'!$A$40</c:f>
              <c:strCache>
                <c:ptCount val="1"/>
                <c:pt idx="0">
                  <c:v>Enterprise Funds</c:v>
                </c:pt>
              </c:strCache>
            </c:strRef>
          </c:tx>
          <c:spPr>
            <a:ln w="28575" cap="rnd">
              <a:solidFill>
                <a:srgbClr val="6666FF"/>
              </a:solidFill>
              <a:round/>
            </a:ln>
            <a:effectLst/>
          </c:spPr>
          <c:marker>
            <c:symbol val="none"/>
          </c:marker>
          <c:cat>
            <c:numRef>
              <c:f>'All Depts'!$B$49:$L$49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Depts'!$B$40:$L$40</c:f>
              <c:numCache>
                <c:formatCode>_("$"* #,##0_);_("$"* \(#,##0\);_("$"* "-"??_);_(@_)</c:formatCode>
                <c:ptCount val="11"/>
                <c:pt idx="0">
                  <c:v>1219.9340584528672</c:v>
                </c:pt>
                <c:pt idx="1">
                  <c:v>1125.5488470963362</c:v>
                </c:pt>
                <c:pt idx="2">
                  <c:v>1343.2401942961853</c:v>
                </c:pt>
                <c:pt idx="3">
                  <c:v>1254.7608918244616</c:v>
                </c:pt>
                <c:pt idx="4">
                  <c:v>1459.571692482592</c:v>
                </c:pt>
                <c:pt idx="5">
                  <c:v>1770.9912990834471</c:v>
                </c:pt>
                <c:pt idx="6">
                  <c:v>1960.2843366929992</c:v>
                </c:pt>
                <c:pt idx="7">
                  <c:v>1863.3003159239095</c:v>
                </c:pt>
                <c:pt idx="8">
                  <c:v>1972.0601265822784</c:v>
                </c:pt>
                <c:pt idx="9">
                  <c:v>2623.6030260671482</c:v>
                </c:pt>
                <c:pt idx="10">
                  <c:v>2520.2164345403899</c:v>
                </c:pt>
              </c:numCache>
            </c:numRef>
          </c:val>
          <c:smooth val="0"/>
          <c:extLst>
            <c:ext xmlns:c16="http://schemas.microsoft.com/office/drawing/2014/chart" uri="{C3380CC4-5D6E-409C-BE32-E72D297353CC}">
              <c16:uniqueId val="{00000002-4A4C-459C-92F4-9DA15CBC3A55}"/>
            </c:ext>
          </c:extLst>
        </c:ser>
        <c:ser>
          <c:idx val="3"/>
          <c:order val="3"/>
          <c:tx>
            <c:strRef>
              <c:f>'All Depts'!$A$41</c:f>
              <c:strCache>
                <c:ptCount val="1"/>
                <c:pt idx="0">
                  <c:v>Special Revenue Funds</c:v>
                </c:pt>
              </c:strCache>
            </c:strRef>
          </c:tx>
          <c:spPr>
            <a:ln w="28575" cap="rnd">
              <a:solidFill>
                <a:srgbClr val="996633"/>
              </a:solidFill>
              <a:round/>
            </a:ln>
            <a:effectLst/>
          </c:spPr>
          <c:marker>
            <c:symbol val="none"/>
          </c:marker>
          <c:cat>
            <c:numRef>
              <c:f>'All Depts'!$B$49:$L$49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Depts'!$B$41:$L$41</c:f>
              <c:numCache>
                <c:formatCode>_("$"* #,##0_);_("$"* \(#,##0\);_("$"* "-"??_);_(@_)</c:formatCode>
                <c:ptCount val="11"/>
                <c:pt idx="0">
                  <c:v>318.73081916342102</c:v>
                </c:pt>
                <c:pt idx="1">
                  <c:v>539.23335596823244</c:v>
                </c:pt>
                <c:pt idx="2">
                  <c:v>537.70250578089326</c:v>
                </c:pt>
                <c:pt idx="3">
                  <c:v>341.04712940396013</c:v>
                </c:pt>
                <c:pt idx="4">
                  <c:v>469.00163421912748</c:v>
                </c:pt>
                <c:pt idx="5">
                  <c:v>763.08671350331565</c:v>
                </c:pt>
                <c:pt idx="6">
                  <c:v>482.90435848542631</c:v>
                </c:pt>
                <c:pt idx="7">
                  <c:v>509.94369832627547</c:v>
                </c:pt>
                <c:pt idx="8">
                  <c:v>867.42525052742621</c:v>
                </c:pt>
                <c:pt idx="9">
                  <c:v>1678.5432165877146</c:v>
                </c:pt>
                <c:pt idx="10">
                  <c:v>711.248847809572</c:v>
                </c:pt>
              </c:numCache>
            </c:numRef>
          </c:val>
          <c:smooth val="0"/>
          <c:extLst>
            <c:ext xmlns:c16="http://schemas.microsoft.com/office/drawing/2014/chart" uri="{C3380CC4-5D6E-409C-BE32-E72D297353CC}">
              <c16:uniqueId val="{00000003-4A4C-459C-92F4-9DA15CBC3A55}"/>
            </c:ext>
          </c:extLst>
        </c:ser>
        <c:dLbls>
          <c:showLegendKey val="0"/>
          <c:showVal val="0"/>
          <c:showCatName val="0"/>
          <c:showSerName val="0"/>
          <c:showPercent val="0"/>
          <c:showBubbleSize val="0"/>
        </c:dLbls>
        <c:smooth val="0"/>
        <c:axId val="558850096"/>
        <c:axId val="558849768"/>
      </c:lineChart>
      <c:catAx>
        <c:axId val="55885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849768"/>
        <c:crosses val="autoZero"/>
        <c:auto val="1"/>
        <c:lblAlgn val="ctr"/>
        <c:lblOffset val="100"/>
        <c:noMultiLvlLbl val="0"/>
      </c:catAx>
      <c:valAx>
        <c:axId val="55884976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850096"/>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Finance - Expenditures per FTE</a:t>
            </a:r>
          </a:p>
        </c:rich>
      </c:tx>
      <c:overlay val="0"/>
      <c:spPr>
        <a:noFill/>
        <a:ln>
          <a:noFill/>
        </a:ln>
        <a:effectLst/>
      </c:spPr>
    </c:title>
    <c:autoTitleDeleted val="0"/>
    <c:plotArea>
      <c:layout/>
      <c:lineChart>
        <c:grouping val="standard"/>
        <c:varyColors val="0"/>
        <c:ser>
          <c:idx val="0"/>
          <c:order val="0"/>
          <c:tx>
            <c:strRef>
              <c:f>Finance!$A$28</c:f>
              <c:strCache>
                <c:ptCount val="1"/>
                <c:pt idx="0">
                  <c:v>Expenditures per FTE</c:v>
                </c:pt>
              </c:strCache>
            </c:strRef>
          </c:tx>
          <c:spPr>
            <a:ln>
              <a:solidFill>
                <a:srgbClr val="FF0000"/>
              </a:solidFill>
            </a:ln>
          </c:spPr>
          <c:marker>
            <c:symbol val="none"/>
          </c:marker>
          <c:cat>
            <c:numRef>
              <c:f>Finance!$B$24:$L$24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Finance!$B$28:$L$28</c:f>
              <c:numCache>
                <c:formatCode>_("$"* #,##0_);_("$"* \(#,##0\);_("$"* "-"??_);_(@_)</c:formatCode>
                <c:ptCount val="11"/>
                <c:pt idx="0">
                  <c:v>38586.644370122638</c:v>
                </c:pt>
                <c:pt idx="1">
                  <c:v>37832.072480181203</c:v>
                </c:pt>
                <c:pt idx="2">
                  <c:v>82637.892325315013</c:v>
                </c:pt>
                <c:pt idx="3">
                  <c:v>84941.526195899773</c:v>
                </c:pt>
                <c:pt idx="4">
                  <c:v>94376.436396154706</c:v>
                </c:pt>
                <c:pt idx="5">
                  <c:v>105356.23608017818</c:v>
                </c:pt>
                <c:pt idx="6">
                  <c:v>104448.19115676641</c:v>
                </c:pt>
                <c:pt idx="7">
                  <c:v>111312.99694189602</c:v>
                </c:pt>
                <c:pt idx="8">
                  <c:v>146336.80981595092</c:v>
                </c:pt>
                <c:pt idx="9">
                  <c:v>160980.51461988303</c:v>
                </c:pt>
                <c:pt idx="10">
                  <c:v>135566.92397660817</c:v>
                </c:pt>
              </c:numCache>
            </c:numRef>
          </c:val>
          <c:smooth val="0"/>
          <c:extLst>
            <c:ext xmlns:c16="http://schemas.microsoft.com/office/drawing/2014/chart" uri="{C3380CC4-5D6E-409C-BE32-E72D297353CC}">
              <c16:uniqueId val="{00000002-AD05-4900-BDC9-E394961210AB}"/>
            </c:ext>
          </c:extLst>
        </c:ser>
        <c:dLbls>
          <c:showLegendKey val="0"/>
          <c:showVal val="0"/>
          <c:showCatName val="0"/>
          <c:showSerName val="0"/>
          <c:showPercent val="0"/>
          <c:showBubbleSize val="0"/>
        </c:dLbls>
        <c:smooth val="0"/>
        <c:axId val="654006328"/>
        <c:axId val="653999440"/>
      </c:lineChart>
      <c:catAx>
        <c:axId val="654006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3999440"/>
        <c:crosses val="autoZero"/>
        <c:auto val="1"/>
        <c:lblAlgn val="ctr"/>
        <c:lblOffset val="100"/>
        <c:noMultiLvlLbl val="0"/>
      </c:catAx>
      <c:valAx>
        <c:axId val="65399944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4006328"/>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Human Resources - Total Revenues</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'Human Res'!$A$7</c:f>
              <c:strCache>
                <c:ptCount val="1"/>
                <c:pt idx="0">
                  <c:v>General Fund</c:v>
                </c:pt>
              </c:strCache>
              <c:extLst xmlns:c15="http://schemas.microsoft.com/office/drawing/2012/chart"/>
            </c:strRef>
          </c:tx>
          <c:spPr>
            <a:ln w="28575" cap="rnd">
              <a:solidFill>
                <a:sysClr val="windowText" lastClr="000000"/>
              </a:solidFill>
              <a:round/>
            </a:ln>
            <a:effectLst/>
          </c:spPr>
          <c:marker>
            <c:symbol val="none"/>
          </c:marker>
          <c:cat>
            <c:numRef>
              <c:f>'Human Res'!$B$5:$M$5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'Human Res'!$B$7:$M$7</c:f>
              <c:numCache>
                <c:formatCode>_("$"* #,##0_);_("$"* \(#,##0\);_("$"* "-"??_);_(@_)</c:formatCode>
                <c:ptCount val="11"/>
                <c:pt idx="0">
                  <c:v>0</c:v>
                </c:pt>
                <c:pt idx="1">
                  <c:v>336570</c:v>
                </c:pt>
                <c:pt idx="2">
                  <c:v>305561</c:v>
                </c:pt>
                <c:pt idx="3">
                  <c:v>283800</c:v>
                </c:pt>
                <c:pt idx="4">
                  <c:v>777570</c:v>
                </c:pt>
                <c:pt idx="5">
                  <c:v>830643</c:v>
                </c:pt>
                <c:pt idx="6">
                  <c:v>895981</c:v>
                </c:pt>
                <c:pt idx="7">
                  <c:v>837541</c:v>
                </c:pt>
                <c:pt idx="8">
                  <c:v>969214</c:v>
                </c:pt>
                <c:pt idx="9">
                  <c:v>1153480</c:v>
                </c:pt>
                <c:pt idx="10">
                  <c:v>0</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A477-4489-86D4-9EA41DFFA168}"/>
            </c:ext>
          </c:extLst>
        </c:ser>
        <c:ser>
          <c:idx val="2"/>
          <c:order val="2"/>
          <c:tx>
            <c:strRef>
              <c:f>'Human Res'!$A$8</c:f>
              <c:strCache>
                <c:ptCount val="1"/>
                <c:pt idx="0">
                  <c:v>Internal Service Funds</c:v>
                </c:pt>
              </c:strCache>
              <c:extLst xmlns:c15="http://schemas.microsoft.com/office/drawing/2012/chart"/>
            </c:strRef>
          </c:tx>
          <c:spPr>
            <a:ln w="28575" cap="rnd">
              <a:solidFill>
                <a:schemeClr val="accent6"/>
              </a:solidFill>
              <a:round/>
            </a:ln>
            <a:effectLst/>
          </c:spPr>
          <c:marker>
            <c:symbol val="none"/>
          </c:marker>
          <c:cat>
            <c:numRef>
              <c:f>'Human Res'!$B$5:$M$5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'Human Res'!$B$8:$M$8</c:f>
              <c:numCache>
                <c:formatCode>_("$"* #,##0_);_("$"* \(#,##0\);_("$"* "-"??_);_(@_)</c:formatCode>
                <c:ptCount val="11"/>
                <c:pt idx="0">
                  <c:v>11868938</c:v>
                </c:pt>
                <c:pt idx="1">
                  <c:v>11947462</c:v>
                </c:pt>
                <c:pt idx="2">
                  <c:v>12232465</c:v>
                </c:pt>
                <c:pt idx="3">
                  <c:v>11649697</c:v>
                </c:pt>
                <c:pt idx="4">
                  <c:v>11990769</c:v>
                </c:pt>
                <c:pt idx="5">
                  <c:v>12055743</c:v>
                </c:pt>
                <c:pt idx="6">
                  <c:v>14171909</c:v>
                </c:pt>
                <c:pt idx="7">
                  <c:v>19371826</c:v>
                </c:pt>
                <c:pt idx="8">
                  <c:v>17478335</c:v>
                </c:pt>
                <c:pt idx="9">
                  <c:v>19105995</c:v>
                </c:pt>
                <c:pt idx="10">
                  <c:v>19602555</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A477-4489-86D4-9EA41DFFA168}"/>
            </c:ext>
          </c:extLst>
        </c:ser>
        <c:ser>
          <c:idx val="6"/>
          <c:order val="5"/>
          <c:tx>
            <c:strRef>
              <c:f>'Human Res'!$A$12</c:f>
              <c:strCache>
                <c:ptCount val="1"/>
                <c:pt idx="0">
                  <c:v>Total City Budget Revenues</c:v>
                </c:pt>
              </c:strCache>
            </c:strRef>
          </c:tx>
          <c:spPr>
            <a:ln w="28575" cap="rnd">
              <a:solidFill>
                <a:srgbClr val="008000"/>
              </a:solidFill>
              <a:round/>
            </a:ln>
            <a:effectLst/>
          </c:spPr>
          <c:marker>
            <c:symbol val="none"/>
          </c:marker>
          <c:cat>
            <c:numRef>
              <c:f>'Human Res'!$B$5:$M$5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'Human Res'!$B$12:$M$12</c:f>
              <c:numCache>
                <c:formatCode>_("$"* #,##0_);_("$"* \(#,##0\);_("$"* "-"??_);_(@_)</c:formatCode>
                <c:ptCount val="11"/>
                <c:pt idx="0">
                  <c:v>11868938</c:v>
                </c:pt>
                <c:pt idx="1">
                  <c:v>12284032</c:v>
                </c:pt>
                <c:pt idx="2">
                  <c:v>12538026</c:v>
                </c:pt>
                <c:pt idx="3">
                  <c:v>11933497</c:v>
                </c:pt>
                <c:pt idx="4">
                  <c:v>12768339</c:v>
                </c:pt>
                <c:pt idx="5">
                  <c:v>12886386</c:v>
                </c:pt>
                <c:pt idx="6">
                  <c:v>15067890</c:v>
                </c:pt>
                <c:pt idx="7">
                  <c:v>20209367</c:v>
                </c:pt>
                <c:pt idx="8">
                  <c:v>18447549</c:v>
                </c:pt>
                <c:pt idx="9">
                  <c:v>20259475</c:v>
                </c:pt>
                <c:pt idx="10">
                  <c:v>19602555</c:v>
                </c:pt>
              </c:numCache>
            </c:numRef>
          </c:val>
          <c:smooth val="0"/>
          <c:extLst>
            <c:ext xmlns:c16="http://schemas.microsoft.com/office/drawing/2014/chart" uri="{C3380CC4-5D6E-409C-BE32-E72D297353CC}">
              <c16:uniqueId val="{00000002-A477-4489-86D4-9EA41DFFA168}"/>
            </c:ext>
          </c:extLst>
        </c:ser>
        <c:dLbls>
          <c:showLegendKey val="0"/>
          <c:showVal val="0"/>
          <c:showCatName val="0"/>
          <c:showSerName val="0"/>
          <c:showPercent val="0"/>
          <c:showBubbleSize val="0"/>
        </c:dLbls>
        <c:smooth val="0"/>
        <c:axId val="603991872"/>
        <c:axId val="603996792"/>
        <c:extLst>
          <c:ext xmlns:c15="http://schemas.microsoft.com/office/drawing/2012/chart" uri="{02D57815-91ED-43cb-92C2-25804820EDAC}">
            <c15:filteredLineSeries>
              <c15:ser>
                <c:idx val="0"/>
                <c:order val="0"/>
                <c:tx>
                  <c:strRef>
                    <c:extLst>
                      <c:ext uri="{02D57815-91ED-43cb-92C2-25804820EDAC}">
                        <c15:formulaRef>
                          <c15:sqref>'Human Res'!$A$6</c15:sqref>
                        </c15:formulaRef>
                      </c:ext>
                    </c:extLst>
                    <c:strCache>
                      <c:ptCount val="1"/>
                      <c:pt idx="0">
                        <c:v>REVENUES</c:v>
                      </c:pt>
                    </c:strCache>
                  </c:strRef>
                </c:tx>
                <c:spPr>
                  <a:ln w="28575" cap="rnd">
                    <a:solidFill>
                      <a:schemeClr val="accent1"/>
                    </a:solidFill>
                    <a:round/>
                  </a:ln>
                  <a:effectLst/>
                </c:spPr>
                <c:marker>
                  <c:symbol val="none"/>
                </c:marker>
                <c:cat>
                  <c:numRef>
                    <c:extLst>
                      <c:ext uri="{02D57815-91ED-43cb-92C2-25804820EDAC}">
                        <c15:formulaRef>
                          <c15:sqref>'Human Res'!$B$5:$M$5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'Human Res'!$B$4:$M$4</c15:sqref>
                        </c15:formulaRef>
                      </c:ext>
                    </c:extLst>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3-A477-4489-86D4-9EA41DFFA168}"/>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'Human Res'!$A$9</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'Human Res'!$B$5:$M$5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'Human Res'!$B$9:$M$9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4-A477-4489-86D4-9EA41DFFA168}"/>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'Human Res'!$A$10</c15:sqref>
                        </c15:formulaRef>
                      </c:ext>
                    </c:extLst>
                    <c:strCache>
                      <c:ptCount val="1"/>
                      <c:pt idx="0">
                        <c:v>Special Revenue Funds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'Human Res'!$B$5:$M$5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'Human Res'!$B$10:$M$10</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5-A477-4489-86D4-9EA41DFFA168}"/>
                  </c:ext>
                </c:extLst>
              </c15:ser>
            </c15:filteredLineSeries>
          </c:ext>
        </c:extLst>
      </c:lineChart>
      <c:catAx>
        <c:axId val="603991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996792"/>
        <c:crosses val="autoZero"/>
        <c:auto val="1"/>
        <c:lblAlgn val="ctr"/>
        <c:lblOffset val="100"/>
        <c:noMultiLvlLbl val="0"/>
      </c:catAx>
      <c:valAx>
        <c:axId val="60399679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991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ysClr val="window" lastClr="FFFFFF"/>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Human</a:t>
            </a:r>
            <a:r>
              <a:rPr lang="en-US" sz="1800" b="1" baseline="0"/>
              <a:t> Resources - Total Expenditures</a:t>
            </a:r>
            <a:endParaRPr lang="en-US"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'Human Res'!$A$16</c:f>
              <c:strCache>
                <c:ptCount val="1"/>
                <c:pt idx="0">
                  <c:v>General Fund</c:v>
                </c:pt>
              </c:strCache>
            </c:strRef>
          </c:tx>
          <c:spPr>
            <a:ln w="28575" cap="rnd">
              <a:solidFill>
                <a:sysClr val="windowText" lastClr="000000"/>
              </a:solidFill>
              <a:round/>
            </a:ln>
            <a:effectLst/>
          </c:spPr>
          <c:marker>
            <c:symbol val="none"/>
          </c:marker>
          <c:cat>
            <c:numRef>
              <c:f>'Human Res'!$B$5:$M$5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'Human Res'!$B$16:$M$16</c:f>
              <c:numCache>
                <c:formatCode>_("$"* #,##0_);_("$"* \(#,##0\);_("$"* "-"??_);_(@_)</c:formatCode>
                <c:ptCount val="11"/>
                <c:pt idx="0">
                  <c:v>1054627</c:v>
                </c:pt>
                <c:pt idx="1">
                  <c:v>865256</c:v>
                </c:pt>
                <c:pt idx="2">
                  <c:v>743474</c:v>
                </c:pt>
                <c:pt idx="3">
                  <c:v>859665</c:v>
                </c:pt>
                <c:pt idx="4">
                  <c:v>962311</c:v>
                </c:pt>
                <c:pt idx="5">
                  <c:v>1108001</c:v>
                </c:pt>
                <c:pt idx="6">
                  <c:v>1136292</c:v>
                </c:pt>
                <c:pt idx="7">
                  <c:v>1193313</c:v>
                </c:pt>
                <c:pt idx="8">
                  <c:v>1414939</c:v>
                </c:pt>
                <c:pt idx="9">
                  <c:v>1813328</c:v>
                </c:pt>
                <c:pt idx="10">
                  <c:v>1839400</c:v>
                </c:pt>
              </c:numCache>
            </c:numRef>
          </c:val>
          <c:smooth val="0"/>
          <c:extLst>
            <c:ext xmlns:c16="http://schemas.microsoft.com/office/drawing/2014/chart" uri="{C3380CC4-5D6E-409C-BE32-E72D297353CC}">
              <c16:uniqueId val="{00000001-6B01-445F-8D63-2CAB8150FE61}"/>
            </c:ext>
          </c:extLst>
        </c:ser>
        <c:ser>
          <c:idx val="2"/>
          <c:order val="2"/>
          <c:tx>
            <c:strRef>
              <c:f>'Human Res'!$A$17</c:f>
              <c:strCache>
                <c:ptCount val="1"/>
                <c:pt idx="0">
                  <c:v>Internal Service Funds</c:v>
                </c:pt>
              </c:strCache>
            </c:strRef>
          </c:tx>
          <c:spPr>
            <a:ln w="28575" cap="rnd">
              <a:solidFill>
                <a:schemeClr val="accent6"/>
              </a:solidFill>
              <a:round/>
            </a:ln>
            <a:effectLst/>
          </c:spPr>
          <c:marker>
            <c:symbol val="none"/>
          </c:marker>
          <c:cat>
            <c:numRef>
              <c:f>'Human Res'!$B$5:$M$5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'Human Res'!$B$17:$M$17</c:f>
              <c:numCache>
                <c:formatCode>_("$"* #,##0_);_("$"* \(#,##0\);_("$"* "-"??_);_(@_)</c:formatCode>
                <c:ptCount val="11"/>
                <c:pt idx="0">
                  <c:v>11116066</c:v>
                </c:pt>
                <c:pt idx="1">
                  <c:v>11075298</c:v>
                </c:pt>
                <c:pt idx="2">
                  <c:v>11778659</c:v>
                </c:pt>
                <c:pt idx="3">
                  <c:v>10540253</c:v>
                </c:pt>
                <c:pt idx="4">
                  <c:v>12678270</c:v>
                </c:pt>
                <c:pt idx="5">
                  <c:v>14080963</c:v>
                </c:pt>
                <c:pt idx="6">
                  <c:v>17722972</c:v>
                </c:pt>
                <c:pt idx="7">
                  <c:v>15894286</c:v>
                </c:pt>
                <c:pt idx="8">
                  <c:v>14351941</c:v>
                </c:pt>
                <c:pt idx="9">
                  <c:v>19015038</c:v>
                </c:pt>
                <c:pt idx="10">
                  <c:v>20299627</c:v>
                </c:pt>
              </c:numCache>
            </c:numRef>
          </c:val>
          <c:smooth val="0"/>
          <c:extLst>
            <c:ext xmlns:c16="http://schemas.microsoft.com/office/drawing/2014/chart" uri="{C3380CC4-5D6E-409C-BE32-E72D297353CC}">
              <c16:uniqueId val="{00000002-6B01-445F-8D63-2CAB8150FE61}"/>
            </c:ext>
          </c:extLst>
        </c:ser>
        <c:ser>
          <c:idx val="6"/>
          <c:order val="6"/>
          <c:tx>
            <c:strRef>
              <c:f>'Human Res'!$A$21</c:f>
              <c:strCache>
                <c:ptCount val="1"/>
                <c:pt idx="0">
                  <c:v>Total City Budget Expenditures</c:v>
                </c:pt>
              </c:strCache>
            </c:strRef>
          </c:tx>
          <c:spPr>
            <a:ln w="28575" cap="rnd">
              <a:solidFill>
                <a:srgbClr val="FF0000"/>
              </a:solidFill>
              <a:round/>
            </a:ln>
            <a:effectLst/>
          </c:spPr>
          <c:marker>
            <c:symbol val="none"/>
          </c:marker>
          <c:cat>
            <c:numRef>
              <c:f>'Human Res'!$B$5:$M$5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'Human Res'!$B$21:$M$21</c:f>
              <c:numCache>
                <c:formatCode>_("$"* #,##0_);_("$"* \(#,##0\);_("$"* "-"??_);_(@_)</c:formatCode>
                <c:ptCount val="11"/>
                <c:pt idx="0">
                  <c:v>12170693</c:v>
                </c:pt>
                <c:pt idx="1">
                  <c:v>11940554</c:v>
                </c:pt>
                <c:pt idx="2">
                  <c:v>12522133</c:v>
                </c:pt>
                <c:pt idx="3">
                  <c:v>11399918</c:v>
                </c:pt>
                <c:pt idx="4">
                  <c:v>13640581</c:v>
                </c:pt>
                <c:pt idx="5">
                  <c:v>15188964</c:v>
                </c:pt>
                <c:pt idx="6">
                  <c:v>18859264</c:v>
                </c:pt>
                <c:pt idx="7">
                  <c:v>17087599</c:v>
                </c:pt>
                <c:pt idx="8">
                  <c:v>15766880</c:v>
                </c:pt>
                <c:pt idx="9">
                  <c:v>20828366</c:v>
                </c:pt>
                <c:pt idx="10">
                  <c:v>22139027</c:v>
                </c:pt>
              </c:numCache>
            </c:numRef>
          </c:val>
          <c:smooth val="0"/>
          <c:extLst>
            <c:ext xmlns:c16="http://schemas.microsoft.com/office/drawing/2014/chart" uri="{C3380CC4-5D6E-409C-BE32-E72D297353CC}">
              <c16:uniqueId val="{00000006-6B01-445F-8D63-2CAB8150FE61}"/>
            </c:ext>
          </c:extLst>
        </c:ser>
        <c:dLbls>
          <c:showLegendKey val="0"/>
          <c:showVal val="0"/>
          <c:showCatName val="0"/>
          <c:showSerName val="0"/>
          <c:showPercent val="0"/>
          <c:showBubbleSize val="0"/>
        </c:dLbls>
        <c:smooth val="0"/>
        <c:axId val="727857048"/>
        <c:axId val="727851472"/>
        <c:extLst>
          <c:ext xmlns:c15="http://schemas.microsoft.com/office/drawing/2012/chart" uri="{02D57815-91ED-43cb-92C2-25804820EDAC}">
            <c15:filteredLineSeries>
              <c15:ser>
                <c:idx val="0"/>
                <c:order val="0"/>
                <c:tx>
                  <c:strRef>
                    <c:extLst>
                      <c:ext uri="{02D57815-91ED-43cb-92C2-25804820EDAC}">
                        <c15:formulaRef>
                          <c15:sqref>'Human Res'!$A$15</c15:sqref>
                        </c15:formulaRef>
                      </c:ext>
                    </c:extLst>
                    <c:strCache>
                      <c:ptCount val="1"/>
                      <c:pt idx="0">
                        <c:v>EXPENDITURES</c:v>
                      </c:pt>
                    </c:strCache>
                  </c:strRef>
                </c:tx>
                <c:spPr>
                  <a:ln w="28575" cap="rnd">
                    <a:solidFill>
                      <a:schemeClr val="accent1"/>
                    </a:solidFill>
                    <a:round/>
                  </a:ln>
                  <a:effectLst/>
                </c:spPr>
                <c:marker>
                  <c:symbol val="none"/>
                </c:marker>
                <c:cat>
                  <c:numRef>
                    <c:extLst>
                      <c:ext uri="{02D57815-91ED-43cb-92C2-25804820EDAC}">
                        <c15:formulaRef>
                          <c15:sqref>'Human Res'!$B$5:$M$5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'Human Res'!$B$15:$M$15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val>
                <c:smooth val="0"/>
                <c:extLst>
                  <c:ext xmlns:c16="http://schemas.microsoft.com/office/drawing/2014/chart" uri="{C3380CC4-5D6E-409C-BE32-E72D297353CC}">
                    <c16:uniqueId val="{00000000-6B01-445F-8D63-2CAB8150FE61}"/>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'Human Res'!$A$18</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'Human Res'!$B$5:$M$5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'Human Res'!$B$18:$M$18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3-6B01-445F-8D63-2CAB8150FE61}"/>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'Human Res'!$A$19</c15:sqref>
                        </c15:formulaRef>
                      </c:ext>
                    </c:extLst>
                    <c:strCache>
                      <c:ptCount val="1"/>
                      <c:pt idx="0">
                        <c:v>Special Revenue Funds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'Human Res'!$B$5:$M$5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'Human Res'!$B$19:$M$19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4-6B01-445F-8D63-2CAB8150FE61}"/>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'Human Res'!$A$20</c15:sqref>
                        </c15:formulaRef>
                      </c:ext>
                    </c:extLst>
                    <c:strCache>
                      <c:ptCount val="1"/>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'Human Res'!$B$5:$M$5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'Human Res'!$B$20:$M$20</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5-6B01-445F-8D63-2CAB8150FE61}"/>
                  </c:ext>
                </c:extLst>
              </c15:ser>
            </c15:filteredLineSeries>
          </c:ext>
        </c:extLst>
      </c:lineChart>
      <c:catAx>
        <c:axId val="727857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7851472"/>
        <c:crosses val="autoZero"/>
        <c:auto val="1"/>
        <c:lblAlgn val="ctr"/>
        <c:lblOffset val="100"/>
        <c:noMultiLvlLbl val="0"/>
      </c:catAx>
      <c:valAx>
        <c:axId val="7278514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7857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Human Resources</a:t>
            </a:r>
            <a:r>
              <a:rPr lang="en-US" sz="1800" b="1" baseline="0"/>
              <a:t> - </a:t>
            </a:r>
            <a:r>
              <a:rPr lang="en-US" sz="1800" b="1"/>
              <a:t>Expenditures Per Capita</a:t>
            </a:r>
          </a:p>
        </c:rich>
      </c:tx>
      <c:overlay val="0"/>
      <c:spPr>
        <a:noFill/>
        <a:ln>
          <a:noFill/>
        </a:ln>
        <a:effectLst/>
      </c:spPr>
    </c:title>
    <c:autoTitleDeleted val="0"/>
    <c:plotArea>
      <c:layout/>
      <c:lineChart>
        <c:grouping val="standard"/>
        <c:varyColors val="0"/>
        <c:ser>
          <c:idx val="5"/>
          <c:order val="0"/>
          <c:tx>
            <c:strRef>
              <c:f>'Human Res'!$A$25</c:f>
              <c:strCache>
                <c:ptCount val="1"/>
                <c:pt idx="0">
                  <c:v>Expenditures per Capita</c:v>
                </c:pt>
              </c:strCache>
            </c:strRef>
          </c:tx>
          <c:spPr>
            <a:ln>
              <a:solidFill>
                <a:srgbClr val="FF0000"/>
              </a:solidFill>
            </a:ln>
          </c:spPr>
          <c:marker>
            <c:symbol val="none"/>
          </c:marker>
          <c:cat>
            <c:numRef>
              <c:f>'Human Res'!$B$24:$M$24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'Human Res'!$B$25:$M$25</c:f>
              <c:numCache>
                <c:formatCode>_("$"* #,##0.00_);_("$"* \(#,##0.00\);_("$"* "-"??_);_(@_)</c:formatCode>
                <c:ptCount val="11"/>
                <c:pt idx="0">
                  <c:v>16.697175516924734</c:v>
                </c:pt>
                <c:pt idx="1">
                  <c:v>12.772814502081427</c:v>
                </c:pt>
                <c:pt idx="2">
                  <c:v>10.812437282762032</c:v>
                </c:pt>
                <c:pt idx="3">
                  <c:v>12.397643529801993</c:v>
                </c:pt>
                <c:pt idx="4">
                  <c:v>13.675017763251386</c:v>
                </c:pt>
                <c:pt idx="5">
                  <c:v>15.599715601109438</c:v>
                </c:pt>
                <c:pt idx="6">
                  <c:v>15.476600381367474</c:v>
                </c:pt>
                <c:pt idx="7">
                  <c:v>16.042387578140755</c:v>
                </c:pt>
                <c:pt idx="8">
                  <c:v>18.656896097046413</c:v>
                </c:pt>
                <c:pt idx="9">
                  <c:v>23.469855815277885</c:v>
                </c:pt>
                <c:pt idx="10">
                  <c:v>23.289440364649277</c:v>
                </c:pt>
              </c:numCache>
            </c:numRef>
          </c:val>
          <c:smooth val="0"/>
          <c:extLst>
            <c:ext xmlns:c16="http://schemas.microsoft.com/office/drawing/2014/chart" uri="{C3380CC4-5D6E-409C-BE32-E72D297353CC}">
              <c16:uniqueId val="{0000000C-5158-424E-9BB2-32098147B087}"/>
            </c:ext>
          </c:extLst>
        </c:ser>
        <c:dLbls>
          <c:showLegendKey val="0"/>
          <c:showVal val="0"/>
          <c:showCatName val="0"/>
          <c:showSerName val="0"/>
          <c:showPercent val="0"/>
          <c:showBubbleSize val="0"/>
        </c:dLbls>
        <c:smooth val="0"/>
        <c:axId val="603991872"/>
        <c:axId val="603996792"/>
        <c:extLst/>
      </c:lineChart>
      <c:catAx>
        <c:axId val="603991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996792"/>
        <c:crosses val="autoZero"/>
        <c:auto val="1"/>
        <c:lblAlgn val="ctr"/>
        <c:lblOffset val="100"/>
        <c:noMultiLvlLbl val="0"/>
      </c:catAx>
      <c:valAx>
        <c:axId val="60399679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991872"/>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Human Resources - Expenditures Per FTE</a:t>
            </a:r>
          </a:p>
        </c:rich>
      </c:tx>
      <c:overlay val="0"/>
      <c:spPr>
        <a:noFill/>
        <a:ln>
          <a:noFill/>
        </a:ln>
        <a:effectLst/>
      </c:spPr>
    </c:title>
    <c:autoTitleDeleted val="0"/>
    <c:plotArea>
      <c:layout/>
      <c:lineChart>
        <c:grouping val="standard"/>
        <c:varyColors val="0"/>
        <c:ser>
          <c:idx val="0"/>
          <c:order val="0"/>
          <c:tx>
            <c:strRef>
              <c:f>'Human Res'!$A$28</c:f>
              <c:strCache>
                <c:ptCount val="1"/>
                <c:pt idx="0">
                  <c:v>Expenditures per FTE</c:v>
                </c:pt>
              </c:strCache>
            </c:strRef>
          </c:tx>
          <c:spPr>
            <a:ln>
              <a:solidFill>
                <a:srgbClr val="FF0000"/>
              </a:solidFill>
            </a:ln>
          </c:spPr>
          <c:marker>
            <c:symbol val="none"/>
          </c:marker>
          <c:cat>
            <c:numRef>
              <c:f>'Human Res'!$B$24:$M$24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'Human Res'!$B$28:$M$28</c:f>
              <c:numCache>
                <c:formatCode>_("$"* #,##0_);_("$"* \(#,##0\);_("$"* "-"??_);_(@_)</c:formatCode>
                <c:ptCount val="11"/>
                <c:pt idx="0">
                  <c:v>105462.7</c:v>
                </c:pt>
                <c:pt idx="1">
                  <c:v>86525.6</c:v>
                </c:pt>
                <c:pt idx="2">
                  <c:v>76253.743589743593</c:v>
                </c:pt>
                <c:pt idx="3">
                  <c:v>95518.333333333328</c:v>
                </c:pt>
                <c:pt idx="4">
                  <c:v>106923.44444444444</c:v>
                </c:pt>
                <c:pt idx="5">
                  <c:v>123111.22222222222</c:v>
                </c:pt>
                <c:pt idx="6">
                  <c:v>126254.66666666667</c:v>
                </c:pt>
                <c:pt idx="7">
                  <c:v>132590.33333333334</c:v>
                </c:pt>
                <c:pt idx="8">
                  <c:v>157215.44444444444</c:v>
                </c:pt>
                <c:pt idx="9">
                  <c:v>201480.88888888888</c:v>
                </c:pt>
                <c:pt idx="10">
                  <c:v>204377.77777777778</c:v>
                </c:pt>
              </c:numCache>
            </c:numRef>
          </c:val>
          <c:smooth val="0"/>
          <c:extLst>
            <c:ext xmlns:c16="http://schemas.microsoft.com/office/drawing/2014/chart" uri="{C3380CC4-5D6E-409C-BE32-E72D297353CC}">
              <c16:uniqueId val="{00000002-C35D-40D7-9697-C6E15AB58279}"/>
            </c:ext>
          </c:extLst>
        </c:ser>
        <c:dLbls>
          <c:showLegendKey val="0"/>
          <c:showVal val="0"/>
          <c:showCatName val="0"/>
          <c:showSerName val="0"/>
          <c:showPercent val="0"/>
          <c:showBubbleSize val="0"/>
        </c:dLbls>
        <c:smooth val="0"/>
        <c:axId val="603991872"/>
        <c:axId val="603996792"/>
        <c:extLst/>
      </c:lineChart>
      <c:catAx>
        <c:axId val="603991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996792"/>
        <c:crosses val="autoZero"/>
        <c:auto val="1"/>
        <c:lblAlgn val="ctr"/>
        <c:lblOffset val="100"/>
        <c:noMultiLvlLbl val="0"/>
      </c:catAx>
      <c:valAx>
        <c:axId val="60399679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991872"/>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Information Technology - Total Revenues</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IT!$A$7</c:f>
              <c:strCache>
                <c:ptCount val="1"/>
                <c:pt idx="0">
                  <c:v>General Fund</c:v>
                </c:pt>
              </c:strCache>
              <c:extLst xmlns:c15="http://schemas.microsoft.com/office/drawing/2012/chart"/>
            </c:strRef>
          </c:tx>
          <c:spPr>
            <a:ln w="28575" cap="rnd">
              <a:solidFill>
                <a:sysClr val="windowText" lastClr="000000"/>
              </a:solidFill>
              <a:round/>
            </a:ln>
            <a:effectLst/>
          </c:spPr>
          <c:marker>
            <c:symbol val="none"/>
          </c:marker>
          <c:cat>
            <c:numRef>
              <c:f>IT!$B$5:$L$5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IT!$B$7:$L$7</c:f>
              <c:numCache>
                <c:formatCode>_("$"* #,##0_);_("$"* \(#,##0\);_("$"* "-"??_);_(@_)</c:formatCode>
                <c:ptCount val="11"/>
                <c:pt idx="0">
                  <c:v>0</c:v>
                </c:pt>
                <c:pt idx="1">
                  <c:v>636020</c:v>
                </c:pt>
                <c:pt idx="2">
                  <c:v>652778</c:v>
                </c:pt>
                <c:pt idx="3">
                  <c:v>619010</c:v>
                </c:pt>
                <c:pt idx="4">
                  <c:v>450119</c:v>
                </c:pt>
                <c:pt idx="5">
                  <c:v>2835518</c:v>
                </c:pt>
                <c:pt idx="6">
                  <c:v>3063856</c:v>
                </c:pt>
                <c:pt idx="7">
                  <c:v>3132670</c:v>
                </c:pt>
                <c:pt idx="8">
                  <c:v>4461275</c:v>
                </c:pt>
                <c:pt idx="9">
                  <c:v>4462730</c:v>
                </c:pt>
                <c:pt idx="10">
                  <c:v>0</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F7A7-433D-AFF9-CC2DEA70F592}"/>
            </c:ext>
          </c:extLst>
        </c:ser>
        <c:ser>
          <c:idx val="4"/>
          <c:order val="4"/>
          <c:tx>
            <c:strRef>
              <c:f>IT!$A$10</c:f>
              <c:strCache>
                <c:ptCount val="1"/>
                <c:pt idx="0">
                  <c:v>Special Revenue Funds</c:v>
                </c:pt>
              </c:strCache>
              <c:extLst xmlns:c15="http://schemas.microsoft.com/office/drawing/2012/chart"/>
            </c:strRef>
          </c:tx>
          <c:spPr>
            <a:ln w="28575" cap="rnd">
              <a:solidFill>
                <a:srgbClr val="996633"/>
              </a:solidFill>
              <a:round/>
            </a:ln>
            <a:effectLst/>
          </c:spPr>
          <c:marker>
            <c:symbol val="none"/>
          </c:marker>
          <c:cat>
            <c:numRef>
              <c:f>IT!$B$5:$L$5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IT!$B$10:$L$10</c:f>
              <c:numCache>
                <c:formatCode>_("$"* #,##0_);_("$"* \(#,##0\);_("$"* "-"??_);_(@_)</c:formatCode>
                <c:ptCount val="11"/>
                <c:pt idx="0">
                  <c:v>0</c:v>
                </c:pt>
                <c:pt idx="1">
                  <c:v>74768</c:v>
                </c:pt>
                <c:pt idx="2">
                  <c:v>79669</c:v>
                </c:pt>
                <c:pt idx="3">
                  <c:v>96752</c:v>
                </c:pt>
                <c:pt idx="4">
                  <c:v>63994</c:v>
                </c:pt>
                <c:pt idx="5">
                  <c:v>222981</c:v>
                </c:pt>
                <c:pt idx="6">
                  <c:v>246505</c:v>
                </c:pt>
                <c:pt idx="7">
                  <c:v>210755</c:v>
                </c:pt>
                <c:pt idx="8">
                  <c:v>227236</c:v>
                </c:pt>
                <c:pt idx="9">
                  <c:v>170518</c:v>
                </c:pt>
                <c:pt idx="10">
                  <c:v>167206</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F7A7-433D-AFF9-CC2DEA70F592}"/>
            </c:ext>
          </c:extLst>
        </c:ser>
        <c:ser>
          <c:idx val="6"/>
          <c:order val="6"/>
          <c:tx>
            <c:strRef>
              <c:f>IT!$A$12</c:f>
              <c:strCache>
                <c:ptCount val="1"/>
                <c:pt idx="0">
                  <c:v>Total City Budget Revenues</c:v>
                </c:pt>
              </c:strCache>
            </c:strRef>
          </c:tx>
          <c:spPr>
            <a:ln w="28575" cap="rnd">
              <a:solidFill>
                <a:srgbClr val="008000"/>
              </a:solidFill>
              <a:round/>
            </a:ln>
            <a:effectLst/>
          </c:spPr>
          <c:marker>
            <c:symbol val="none"/>
          </c:marker>
          <c:cat>
            <c:numRef>
              <c:f>IT!$B$5:$L$5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IT!$B$12:$L$12</c:f>
              <c:numCache>
                <c:formatCode>_("$"* #,##0_);_("$"* \(#,##0\);_("$"* "-"??_);_(@_)</c:formatCode>
                <c:ptCount val="11"/>
                <c:pt idx="0">
                  <c:v>0</c:v>
                </c:pt>
                <c:pt idx="1">
                  <c:v>710788</c:v>
                </c:pt>
                <c:pt idx="2">
                  <c:v>732447</c:v>
                </c:pt>
                <c:pt idx="3">
                  <c:v>715762</c:v>
                </c:pt>
                <c:pt idx="4">
                  <c:v>514113</c:v>
                </c:pt>
                <c:pt idx="5">
                  <c:v>3058499</c:v>
                </c:pt>
                <c:pt idx="6">
                  <c:v>3310361</c:v>
                </c:pt>
                <c:pt idx="7">
                  <c:v>3343425</c:v>
                </c:pt>
                <c:pt idx="8">
                  <c:v>4688511</c:v>
                </c:pt>
                <c:pt idx="9">
                  <c:v>4633248</c:v>
                </c:pt>
                <c:pt idx="10">
                  <c:v>167206</c:v>
                </c:pt>
              </c:numCache>
            </c:numRef>
          </c:val>
          <c:smooth val="0"/>
          <c:extLst>
            <c:ext xmlns:c16="http://schemas.microsoft.com/office/drawing/2014/chart" uri="{C3380CC4-5D6E-409C-BE32-E72D297353CC}">
              <c16:uniqueId val="{00000002-F7A7-433D-AFF9-CC2DEA70F592}"/>
            </c:ext>
          </c:extLst>
        </c:ser>
        <c:dLbls>
          <c:showLegendKey val="0"/>
          <c:showVal val="0"/>
          <c:showCatName val="0"/>
          <c:showSerName val="0"/>
          <c:showPercent val="0"/>
          <c:showBubbleSize val="0"/>
        </c:dLbls>
        <c:smooth val="0"/>
        <c:axId val="596008736"/>
        <c:axId val="596013984"/>
        <c:extLst>
          <c:ext xmlns:c15="http://schemas.microsoft.com/office/drawing/2012/chart" uri="{02D57815-91ED-43cb-92C2-25804820EDAC}">
            <c15:filteredLineSeries>
              <c15:ser>
                <c:idx val="0"/>
                <c:order val="0"/>
                <c:tx>
                  <c:strRef>
                    <c:extLst>
                      <c:ext uri="{02D57815-91ED-43cb-92C2-25804820EDAC}">
                        <c15:formulaRef>
                          <c15:sqref>IT!$A$5</c15:sqref>
                        </c15:formulaRef>
                      </c:ext>
                    </c:extLst>
                    <c:strCache>
                      <c:ptCount val="1"/>
                    </c:strCache>
                  </c:strRef>
                </c:tx>
                <c:spPr>
                  <a:ln w="28575" cap="rnd">
                    <a:solidFill>
                      <a:schemeClr val="accent1"/>
                    </a:solidFill>
                    <a:round/>
                  </a:ln>
                  <a:effectLst/>
                </c:spPr>
                <c:marker>
                  <c:symbol val="none"/>
                </c:marker>
                <c:cat>
                  <c:numRef>
                    <c:extLst>
                      <c:ext uri="{02D57815-91ED-43cb-92C2-25804820EDAC}">
                        <c15:formulaRef>
                          <c15:sqref>IT!$B$5:$L$5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IT!#REF!</c15:sqref>
                        </c15:formulaRef>
                      </c:ext>
                    </c:extLst>
                    <c:numCache>
                      <c:formatCode>General</c:formatCode>
                      <c:ptCount val="1"/>
                      <c:pt idx="0">
                        <c:v>1</c:v>
                      </c:pt>
                    </c:numCache>
                  </c:numRef>
                </c:val>
                <c:smooth val="0"/>
                <c:extLst>
                  <c:ext xmlns:c16="http://schemas.microsoft.com/office/drawing/2014/chart" uri="{C3380CC4-5D6E-409C-BE32-E72D297353CC}">
                    <c16:uniqueId val="{00000003-F7A7-433D-AFF9-CC2DEA70F592}"/>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IT!$A$8</c15:sqref>
                        </c15:formulaRef>
                      </c:ext>
                    </c:extLst>
                    <c:strCache>
                      <c:ptCount val="1"/>
                      <c:pt idx="0">
                        <c:v>Internal Service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IT!$B$5:$L$5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IT!$B$8:$L$8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4-F7A7-433D-AFF9-CC2DEA70F592}"/>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IT!$A$9</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IT!$B$5:$L$5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IT!$B$9:$L$9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5-F7A7-433D-AFF9-CC2DEA70F592}"/>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IT!$A$11</c15:sqref>
                        </c15:formulaRef>
                      </c:ext>
                    </c:extLst>
                    <c:strCache>
                      <c:ptCount val="1"/>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IT!$B$5:$L$5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IT!$B$11:$L$11</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6-F7A7-433D-AFF9-CC2DEA70F592}"/>
                  </c:ext>
                </c:extLst>
              </c15:ser>
            </c15:filteredLineSeries>
          </c:ext>
        </c:extLst>
      </c:lineChart>
      <c:catAx>
        <c:axId val="59600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6013984"/>
        <c:crosses val="autoZero"/>
        <c:auto val="1"/>
        <c:lblAlgn val="ctr"/>
        <c:lblOffset val="100"/>
        <c:noMultiLvlLbl val="0"/>
      </c:catAx>
      <c:valAx>
        <c:axId val="59601398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6008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ysClr val="window" lastClr="FFFFFF"/>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Information</a:t>
            </a:r>
            <a:r>
              <a:rPr lang="en-US" sz="1800" b="1" baseline="0"/>
              <a:t> Technology - Total</a:t>
            </a:r>
            <a:r>
              <a:rPr lang="en-US" sz="1800" b="1"/>
              <a:t> Expenditures</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IT!$A$16</c:f>
              <c:strCache>
                <c:ptCount val="1"/>
                <c:pt idx="0">
                  <c:v>General Fund</c:v>
                </c:pt>
              </c:strCache>
            </c:strRef>
          </c:tx>
          <c:spPr>
            <a:ln w="28575" cap="rnd">
              <a:solidFill>
                <a:sysClr val="windowText" lastClr="000000"/>
              </a:solidFill>
              <a:round/>
            </a:ln>
            <a:effectLst/>
          </c:spPr>
          <c:marker>
            <c:symbol val="none"/>
          </c:marker>
          <c:cat>
            <c:numRef>
              <c:f>IT!$B$5:$L$5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IT!$B$16:$L$16</c:f>
              <c:numCache>
                <c:formatCode>_("$"* #,##0_);_("$"* \(#,##0\);_("$"* "-"??_);_(@_)</c:formatCode>
                <c:ptCount val="11"/>
                <c:pt idx="0">
                  <c:v>3150350</c:v>
                </c:pt>
                <c:pt idx="1">
                  <c:v>2931210</c:v>
                </c:pt>
                <c:pt idx="2">
                  <c:v>3188644</c:v>
                </c:pt>
                <c:pt idx="3">
                  <c:v>3125625</c:v>
                </c:pt>
                <c:pt idx="4">
                  <c:v>3516179</c:v>
                </c:pt>
                <c:pt idx="5">
                  <c:v>3464762</c:v>
                </c:pt>
                <c:pt idx="6">
                  <c:v>3851712</c:v>
                </c:pt>
                <c:pt idx="7">
                  <c:v>3971864</c:v>
                </c:pt>
                <c:pt idx="8">
                  <c:v>4665671</c:v>
                </c:pt>
                <c:pt idx="9">
                  <c:v>5718302</c:v>
                </c:pt>
                <c:pt idx="10">
                  <c:v>4821194</c:v>
                </c:pt>
              </c:numCache>
            </c:numRef>
          </c:val>
          <c:smooth val="0"/>
          <c:extLst>
            <c:ext xmlns:c16="http://schemas.microsoft.com/office/drawing/2014/chart" uri="{C3380CC4-5D6E-409C-BE32-E72D297353CC}">
              <c16:uniqueId val="{00000000-4BB0-4FF0-9707-B3A25D33B0F4}"/>
            </c:ext>
          </c:extLst>
        </c:ser>
        <c:ser>
          <c:idx val="3"/>
          <c:order val="3"/>
          <c:tx>
            <c:strRef>
              <c:f>IT!$A$19</c:f>
              <c:strCache>
                <c:ptCount val="1"/>
                <c:pt idx="0">
                  <c:v>Special Revenue Funds</c:v>
                </c:pt>
              </c:strCache>
            </c:strRef>
          </c:tx>
          <c:spPr>
            <a:ln w="28575" cap="rnd">
              <a:solidFill>
                <a:srgbClr val="996633"/>
              </a:solidFill>
              <a:round/>
            </a:ln>
            <a:effectLst/>
          </c:spPr>
          <c:marker>
            <c:symbol val="none"/>
          </c:marker>
          <c:cat>
            <c:numRef>
              <c:f>IT!$B$5:$L$5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IT!$B$19:$L$19</c:f>
              <c:numCache>
                <c:formatCode>_("$"* #,##0_);_("$"* \(#,##0\);_("$"* "-"??_);_(@_)</c:formatCode>
                <c:ptCount val="11"/>
                <c:pt idx="0">
                  <c:v>0</c:v>
                </c:pt>
                <c:pt idx="1">
                  <c:v>29256</c:v>
                </c:pt>
                <c:pt idx="2">
                  <c:v>2444</c:v>
                </c:pt>
                <c:pt idx="3">
                  <c:v>55913</c:v>
                </c:pt>
                <c:pt idx="4">
                  <c:v>21418</c:v>
                </c:pt>
                <c:pt idx="5">
                  <c:v>2873</c:v>
                </c:pt>
                <c:pt idx="6">
                  <c:v>7138</c:v>
                </c:pt>
                <c:pt idx="7">
                  <c:v>123233</c:v>
                </c:pt>
                <c:pt idx="8">
                  <c:v>324471</c:v>
                </c:pt>
                <c:pt idx="9">
                  <c:v>404435</c:v>
                </c:pt>
                <c:pt idx="10">
                  <c:v>389000</c:v>
                </c:pt>
              </c:numCache>
            </c:numRef>
          </c:val>
          <c:smooth val="0"/>
          <c:extLst>
            <c:ext xmlns:c16="http://schemas.microsoft.com/office/drawing/2014/chart" uri="{C3380CC4-5D6E-409C-BE32-E72D297353CC}">
              <c16:uniqueId val="{00000003-4BB0-4FF0-9707-B3A25D33B0F4}"/>
            </c:ext>
          </c:extLst>
        </c:ser>
        <c:ser>
          <c:idx val="5"/>
          <c:order val="5"/>
          <c:tx>
            <c:strRef>
              <c:f>IT!$A$21</c:f>
              <c:strCache>
                <c:ptCount val="1"/>
                <c:pt idx="0">
                  <c:v>Total City Budget Expenditures</c:v>
                </c:pt>
              </c:strCache>
            </c:strRef>
          </c:tx>
          <c:spPr>
            <a:ln w="28575" cap="rnd">
              <a:solidFill>
                <a:srgbClr val="FF0000"/>
              </a:solidFill>
              <a:round/>
            </a:ln>
            <a:effectLst/>
          </c:spPr>
          <c:marker>
            <c:symbol val="none"/>
          </c:marker>
          <c:cat>
            <c:numRef>
              <c:f>IT!$B$5:$L$5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IT!$B$21:$L$21</c:f>
              <c:numCache>
                <c:formatCode>_("$"* #,##0_);_("$"* \(#,##0\);_("$"* "-"??_);_(@_)</c:formatCode>
                <c:ptCount val="11"/>
                <c:pt idx="0">
                  <c:v>3150350</c:v>
                </c:pt>
                <c:pt idx="1">
                  <c:v>2960466</c:v>
                </c:pt>
                <c:pt idx="2">
                  <c:v>3191088</c:v>
                </c:pt>
                <c:pt idx="3">
                  <c:v>3181538</c:v>
                </c:pt>
                <c:pt idx="4">
                  <c:v>3537597</c:v>
                </c:pt>
                <c:pt idx="5">
                  <c:v>3467635</c:v>
                </c:pt>
                <c:pt idx="6">
                  <c:v>3858850</c:v>
                </c:pt>
                <c:pt idx="7">
                  <c:v>4095097</c:v>
                </c:pt>
                <c:pt idx="8">
                  <c:v>4990142</c:v>
                </c:pt>
                <c:pt idx="9">
                  <c:v>6122737</c:v>
                </c:pt>
                <c:pt idx="10">
                  <c:v>5210194</c:v>
                </c:pt>
              </c:numCache>
            </c:numRef>
          </c:val>
          <c:smooth val="0"/>
          <c:extLst>
            <c:ext xmlns:c16="http://schemas.microsoft.com/office/drawing/2014/chart" uri="{C3380CC4-5D6E-409C-BE32-E72D297353CC}">
              <c16:uniqueId val="{00000005-4BB0-4FF0-9707-B3A25D33B0F4}"/>
            </c:ext>
          </c:extLst>
        </c:ser>
        <c:dLbls>
          <c:showLegendKey val="0"/>
          <c:showVal val="0"/>
          <c:showCatName val="0"/>
          <c:showSerName val="0"/>
          <c:showPercent val="0"/>
          <c:showBubbleSize val="0"/>
        </c:dLbls>
        <c:smooth val="0"/>
        <c:axId val="759219384"/>
        <c:axId val="759220696"/>
        <c:extLst>
          <c:ext xmlns:c15="http://schemas.microsoft.com/office/drawing/2012/chart" uri="{02D57815-91ED-43cb-92C2-25804820EDAC}">
            <c15:filteredLineSeries>
              <c15:ser>
                <c:idx val="1"/>
                <c:order val="1"/>
                <c:tx>
                  <c:strRef>
                    <c:extLst>
                      <c:ext uri="{02D57815-91ED-43cb-92C2-25804820EDAC}">
                        <c15:formulaRef>
                          <c15:sqref>IT!$A$17</c15:sqref>
                        </c15:formulaRef>
                      </c:ext>
                    </c:extLst>
                    <c:strCache>
                      <c:ptCount val="1"/>
                      <c:pt idx="0">
                        <c:v>Internal Service Funds</c:v>
                      </c:pt>
                    </c:strCache>
                  </c:strRef>
                </c:tx>
                <c:spPr>
                  <a:ln w="28575" cap="rnd">
                    <a:solidFill>
                      <a:schemeClr val="accent2"/>
                    </a:solidFill>
                    <a:round/>
                  </a:ln>
                  <a:effectLst/>
                </c:spPr>
                <c:marker>
                  <c:symbol val="none"/>
                </c:marker>
                <c:cat>
                  <c:numRef>
                    <c:extLst>
                      <c:ext uri="{02D57815-91ED-43cb-92C2-25804820EDAC}">
                        <c15:formulaRef>
                          <c15:sqref>IT!$B$5:$L$5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IT!$B$17:$L$17</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1-4BB0-4FF0-9707-B3A25D33B0F4}"/>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IT!$A$18</c15:sqref>
                        </c15:formulaRef>
                      </c:ext>
                    </c:extLst>
                    <c:strCache>
                      <c:ptCount val="1"/>
                      <c:pt idx="0">
                        <c:v>Enterprise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IT!$B$5:$L$5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IT!$B$18:$L$18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2-4BB0-4FF0-9707-B3A25D33B0F4}"/>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IT!$A$20</c15:sqref>
                        </c15:formulaRef>
                      </c:ext>
                    </c:extLst>
                    <c:strCache>
                      <c:ptCount val="1"/>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IT!$B$5:$L$5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IT!$B$20:$L$20</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4-4BB0-4FF0-9707-B3A25D33B0F4}"/>
                  </c:ext>
                </c:extLst>
              </c15:ser>
            </c15:filteredLineSeries>
          </c:ext>
        </c:extLst>
      </c:lineChart>
      <c:catAx>
        <c:axId val="759219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220696"/>
        <c:crosses val="autoZero"/>
        <c:auto val="1"/>
        <c:lblAlgn val="ctr"/>
        <c:lblOffset val="100"/>
        <c:noMultiLvlLbl val="0"/>
      </c:catAx>
      <c:valAx>
        <c:axId val="75922069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219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Information</a:t>
            </a:r>
            <a:r>
              <a:rPr lang="en-US" sz="1800" b="1" baseline="0"/>
              <a:t> Technology -</a:t>
            </a:r>
            <a:r>
              <a:rPr lang="en-US" sz="1800" b="1"/>
              <a:t> Expenditures per Capita</a:t>
            </a:r>
          </a:p>
        </c:rich>
      </c:tx>
      <c:overlay val="0"/>
      <c:spPr>
        <a:noFill/>
        <a:ln>
          <a:noFill/>
        </a:ln>
        <a:effectLst/>
      </c:spPr>
    </c:title>
    <c:autoTitleDeleted val="0"/>
    <c:plotArea>
      <c:layout/>
      <c:lineChart>
        <c:grouping val="standard"/>
        <c:varyColors val="0"/>
        <c:ser>
          <c:idx val="6"/>
          <c:order val="0"/>
          <c:tx>
            <c:strRef>
              <c:f>IT!$A$25</c:f>
              <c:strCache>
                <c:ptCount val="1"/>
                <c:pt idx="0">
                  <c:v>Expenditures per Capita</c:v>
                </c:pt>
              </c:strCache>
            </c:strRef>
          </c:tx>
          <c:spPr>
            <a:ln>
              <a:solidFill>
                <a:srgbClr val="FF0000"/>
              </a:solidFill>
            </a:ln>
          </c:spPr>
          <c:marker>
            <c:symbol val="none"/>
          </c:marker>
          <c:cat>
            <c:numRef>
              <c:f>IT!$B$24:$L$24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IT!$B$25:$L$25</c:f>
              <c:numCache>
                <c:formatCode>_("$"* #,##0.00_);_("$"* \(#,##0.00\);_("$"* "-"??_);_(@_)</c:formatCode>
                <c:ptCount val="11"/>
                <c:pt idx="0">
                  <c:v>49.877299642189925</c:v>
                </c:pt>
                <c:pt idx="1">
                  <c:v>43.270201647427001</c:v>
                </c:pt>
                <c:pt idx="2">
                  <c:v>46.372856706563311</c:v>
                </c:pt>
                <c:pt idx="3">
                  <c:v>45.076145426226908</c:v>
                </c:pt>
                <c:pt idx="4">
                  <c:v>49.967017194827342</c:v>
                </c:pt>
                <c:pt idx="5">
                  <c:v>48.780914300195697</c:v>
                </c:pt>
                <c:pt idx="6">
                  <c:v>52.461345682375374</c:v>
                </c:pt>
                <c:pt idx="7">
                  <c:v>53.396034146669358</c:v>
                </c:pt>
                <c:pt idx="8">
                  <c:v>61.519923523206749</c:v>
                </c:pt>
                <c:pt idx="9">
                  <c:v>74.011829877559478</c:v>
                </c:pt>
                <c:pt idx="10">
                  <c:v>61.043226133198282</c:v>
                </c:pt>
              </c:numCache>
            </c:numRef>
          </c:val>
          <c:smooth val="0"/>
          <c:extLst>
            <c:ext xmlns:c16="http://schemas.microsoft.com/office/drawing/2014/chart" uri="{C3380CC4-5D6E-409C-BE32-E72D297353CC}">
              <c16:uniqueId val="{0000000C-8F18-461E-98CD-9A1AB995460D}"/>
            </c:ext>
          </c:extLst>
        </c:ser>
        <c:ser>
          <c:idx val="4"/>
          <c:order val="1"/>
          <c:tx>
            <c:strRef>
              <c:f>IT!$A$20</c:f>
              <c:strCache>
                <c:ptCount val="1"/>
              </c:strCache>
              <c:extLst xmlns:c15="http://schemas.microsoft.com/office/drawing/2012/chart"/>
            </c:strRef>
          </c:tx>
          <c:spPr>
            <a:ln w="28575" cap="rnd">
              <a:solidFill>
                <a:schemeClr val="accent5"/>
              </a:solidFill>
              <a:round/>
            </a:ln>
            <a:effectLst/>
          </c:spPr>
          <c:marker>
            <c:symbol val="none"/>
          </c:marker>
          <c:cat>
            <c:numRef>
              <c:f>IT!$B$5:$L$5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extLst xmlns:c15="http://schemas.microsoft.com/office/drawing/2012/chart"/>
            </c:numRef>
          </c:cat>
          <c:val>
            <c:numRef>
              <c:f>IT!$B$20:$L$20</c:f>
              <c:numCache>
                <c:formatCode>_("$"* #,##0_);_("$"* \(#,##0\);_("$"* "-"??_);_(@_)</c:formatCode>
                <c:ptCount val="11"/>
              </c:numCache>
              <c:extLst xmlns:c15="http://schemas.microsoft.com/office/drawing/2012/chart"/>
            </c:numRef>
          </c:val>
          <c:smooth val="0"/>
          <c:extLst xmlns:c15="http://schemas.microsoft.com/office/drawing/2012/chart">
            <c:ext xmlns:c16="http://schemas.microsoft.com/office/drawing/2014/chart" uri="{C3380CC4-5D6E-409C-BE32-E72D297353CC}">
              <c16:uniqueId val="{0000000B-8F18-461E-98CD-9A1AB995460D}"/>
            </c:ext>
          </c:extLst>
        </c:ser>
        <c:dLbls>
          <c:showLegendKey val="0"/>
          <c:showVal val="0"/>
          <c:showCatName val="0"/>
          <c:showSerName val="0"/>
          <c:showPercent val="0"/>
          <c:showBubbleSize val="0"/>
        </c:dLbls>
        <c:smooth val="0"/>
        <c:axId val="759219384"/>
        <c:axId val="759220696"/>
        <c:extLst/>
      </c:lineChart>
      <c:catAx>
        <c:axId val="759219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220696"/>
        <c:crosses val="autoZero"/>
        <c:auto val="1"/>
        <c:lblAlgn val="ctr"/>
        <c:lblOffset val="100"/>
        <c:noMultiLvlLbl val="0"/>
      </c:catAx>
      <c:valAx>
        <c:axId val="75922069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219384"/>
        <c:crosses val="autoZero"/>
        <c:crossBetween val="between"/>
      </c:valAx>
    </c:plotArea>
    <c:legend>
      <c:legendPos val="b"/>
      <c:legendEntry>
        <c:idx val="1"/>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Information</a:t>
            </a:r>
            <a:r>
              <a:rPr lang="en-US" sz="1800" b="1" baseline="0"/>
              <a:t> Technology - </a:t>
            </a:r>
            <a:r>
              <a:rPr lang="en-US" sz="1800" b="1"/>
              <a:t>Expenditures per FTE</a:t>
            </a:r>
          </a:p>
        </c:rich>
      </c:tx>
      <c:overlay val="0"/>
      <c:spPr>
        <a:noFill/>
        <a:ln>
          <a:noFill/>
        </a:ln>
        <a:effectLst/>
      </c:spPr>
    </c:title>
    <c:autoTitleDeleted val="0"/>
    <c:plotArea>
      <c:layout/>
      <c:lineChart>
        <c:grouping val="standard"/>
        <c:varyColors val="0"/>
        <c:ser>
          <c:idx val="0"/>
          <c:order val="0"/>
          <c:tx>
            <c:strRef>
              <c:f>IT!$A$28</c:f>
              <c:strCache>
                <c:ptCount val="1"/>
                <c:pt idx="0">
                  <c:v>Expenditures per FTE</c:v>
                </c:pt>
              </c:strCache>
            </c:strRef>
          </c:tx>
          <c:spPr>
            <a:ln>
              <a:solidFill>
                <a:srgbClr val="FF0000"/>
              </a:solidFill>
            </a:ln>
          </c:spPr>
          <c:marker>
            <c:symbol val="none"/>
          </c:marker>
          <c:cat>
            <c:numRef>
              <c:f>IT!$B$24:$L$24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IT!$B$28:$L$28</c:f>
              <c:numCache>
                <c:formatCode>_("$"* #,##0_);_("$"* \(#,##0\);_("$"* "-"??_);_(@_)</c:formatCode>
                <c:ptCount val="11"/>
                <c:pt idx="0">
                  <c:v>128585.71428571429</c:v>
                </c:pt>
                <c:pt idx="1">
                  <c:v>167497.71428571429</c:v>
                </c:pt>
                <c:pt idx="2">
                  <c:v>155543.60975609755</c:v>
                </c:pt>
                <c:pt idx="3">
                  <c:v>152469.51219512196</c:v>
                </c:pt>
                <c:pt idx="4">
                  <c:v>171520.92682926828</c:v>
                </c:pt>
                <c:pt idx="5">
                  <c:v>169012.78048780488</c:v>
                </c:pt>
                <c:pt idx="6">
                  <c:v>171187.20000000001</c:v>
                </c:pt>
                <c:pt idx="7">
                  <c:v>176527.2888888889</c:v>
                </c:pt>
                <c:pt idx="8">
                  <c:v>207363.15555555557</c:v>
                </c:pt>
                <c:pt idx="9">
                  <c:v>248621.82608695651</c:v>
                </c:pt>
                <c:pt idx="10">
                  <c:v>209617.13043478262</c:v>
                </c:pt>
              </c:numCache>
            </c:numRef>
          </c:val>
          <c:smooth val="0"/>
          <c:extLst>
            <c:ext xmlns:c16="http://schemas.microsoft.com/office/drawing/2014/chart" uri="{C3380CC4-5D6E-409C-BE32-E72D297353CC}">
              <c16:uniqueId val="{00000004-2C57-41E7-859F-33621C9895C6}"/>
            </c:ext>
          </c:extLst>
        </c:ser>
        <c:ser>
          <c:idx val="4"/>
          <c:order val="1"/>
          <c:tx>
            <c:strRef>
              <c:f>IT!$A$20</c:f>
              <c:strCache>
                <c:ptCount val="1"/>
              </c:strCache>
              <c:extLst xmlns:c15="http://schemas.microsoft.com/office/drawing/2012/chart"/>
            </c:strRef>
          </c:tx>
          <c:spPr>
            <a:ln w="28575" cap="rnd">
              <a:solidFill>
                <a:schemeClr val="accent5"/>
              </a:solidFill>
              <a:round/>
            </a:ln>
            <a:effectLst/>
          </c:spPr>
          <c:marker>
            <c:symbol val="none"/>
          </c:marker>
          <c:cat>
            <c:numRef>
              <c:f>IT!$B$5:$L$5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extLst xmlns:c15="http://schemas.microsoft.com/office/drawing/2012/chart"/>
            </c:numRef>
          </c:cat>
          <c:val>
            <c:numRef>
              <c:f>IT!$B$20:$L$20</c:f>
              <c:numCache>
                <c:formatCode>_("$"* #,##0_);_("$"* \(#,##0\);_("$"* "-"??_);_(@_)</c:formatCode>
                <c:ptCount val="11"/>
              </c:numCache>
              <c:extLst xmlns:c15="http://schemas.microsoft.com/office/drawing/2012/chart"/>
            </c:numRef>
          </c:val>
          <c:smooth val="0"/>
          <c:extLst xmlns:c15="http://schemas.microsoft.com/office/drawing/2012/chart">
            <c:ext xmlns:c16="http://schemas.microsoft.com/office/drawing/2014/chart" uri="{C3380CC4-5D6E-409C-BE32-E72D297353CC}">
              <c16:uniqueId val="{00000003-2C57-41E7-859F-33621C9895C6}"/>
            </c:ext>
          </c:extLst>
        </c:ser>
        <c:dLbls>
          <c:showLegendKey val="0"/>
          <c:showVal val="0"/>
          <c:showCatName val="0"/>
          <c:showSerName val="0"/>
          <c:showPercent val="0"/>
          <c:showBubbleSize val="0"/>
        </c:dLbls>
        <c:smooth val="0"/>
        <c:axId val="759219384"/>
        <c:axId val="759220696"/>
        <c:extLst/>
      </c:lineChart>
      <c:catAx>
        <c:axId val="759219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220696"/>
        <c:crosses val="autoZero"/>
        <c:auto val="1"/>
        <c:lblAlgn val="ctr"/>
        <c:lblOffset val="100"/>
        <c:noMultiLvlLbl val="0"/>
      </c:catAx>
      <c:valAx>
        <c:axId val="75922069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219384"/>
        <c:crosses val="autoZero"/>
        <c:crossBetween val="between"/>
      </c:valAx>
    </c:plotArea>
    <c:legend>
      <c:legendPos val="b"/>
      <c:legendEntry>
        <c:idx val="1"/>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Library - Total Revenues</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Library!$A$7</c:f>
              <c:strCache>
                <c:ptCount val="1"/>
                <c:pt idx="0">
                  <c:v>General Fund</c:v>
                </c:pt>
              </c:strCache>
              <c:extLst xmlns:c15="http://schemas.microsoft.com/office/drawing/2012/chart"/>
            </c:strRef>
          </c:tx>
          <c:spPr>
            <a:ln w="28575" cap="rnd">
              <a:solidFill>
                <a:schemeClr val="tx1"/>
              </a:solidFill>
              <a:round/>
            </a:ln>
            <a:effectLst/>
          </c:spPr>
          <c:marker>
            <c:symbol val="none"/>
          </c:marker>
          <c:cat>
            <c:numRef>
              <c:f>Library!$B$5:$L$5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extLst xmlns:c15="http://schemas.microsoft.com/office/drawing/2012/chart"/>
            </c:numRef>
          </c:cat>
          <c:val>
            <c:numRef>
              <c:f>Library!$B$7:$L$7</c:f>
              <c:numCache>
                <c:formatCode>_("$"* #,##0_);_("$"* \(#,##0\);_("$"* "-"??_);_(@_)</c:formatCode>
                <c:ptCount val="11"/>
                <c:pt idx="0">
                  <c:v>270782</c:v>
                </c:pt>
                <c:pt idx="1">
                  <c:v>155502</c:v>
                </c:pt>
                <c:pt idx="2">
                  <c:v>149781</c:v>
                </c:pt>
                <c:pt idx="3">
                  <c:v>219459</c:v>
                </c:pt>
                <c:pt idx="4">
                  <c:v>153806</c:v>
                </c:pt>
                <c:pt idx="5">
                  <c:v>251530</c:v>
                </c:pt>
                <c:pt idx="6">
                  <c:v>146172</c:v>
                </c:pt>
                <c:pt idx="7">
                  <c:v>143449</c:v>
                </c:pt>
                <c:pt idx="8">
                  <c:v>104603</c:v>
                </c:pt>
                <c:pt idx="9">
                  <c:v>149644</c:v>
                </c:pt>
                <c:pt idx="10">
                  <c:v>94256</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139C-4ABA-ABE8-F8B160492168}"/>
            </c:ext>
          </c:extLst>
        </c:ser>
        <c:ser>
          <c:idx val="4"/>
          <c:order val="4"/>
          <c:tx>
            <c:strRef>
              <c:f>Library!$A$10</c:f>
              <c:strCache>
                <c:ptCount val="1"/>
                <c:pt idx="0">
                  <c:v>Special Revenue Funds</c:v>
                </c:pt>
              </c:strCache>
              <c:extLst xmlns:c15="http://schemas.microsoft.com/office/drawing/2012/chart"/>
            </c:strRef>
          </c:tx>
          <c:spPr>
            <a:ln w="28575" cap="rnd">
              <a:solidFill>
                <a:srgbClr val="996633"/>
              </a:solidFill>
              <a:round/>
            </a:ln>
            <a:effectLst/>
          </c:spPr>
          <c:marker>
            <c:symbol val="none"/>
          </c:marker>
          <c:cat>
            <c:numRef>
              <c:f>Library!$B$5:$L$5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extLst xmlns:c15="http://schemas.microsoft.com/office/drawing/2012/chart"/>
            </c:numRef>
          </c:cat>
          <c:val>
            <c:numRef>
              <c:f>Library!$B$10:$L$10</c:f>
              <c:numCache>
                <c:formatCode>_("$"* #,##0_);_("$"* \(#,##0\);_("$"* "-"??_);_(@_)</c:formatCode>
                <c:ptCount val="11"/>
                <c:pt idx="0">
                  <c:v>193038</c:v>
                </c:pt>
                <c:pt idx="1">
                  <c:v>128961</c:v>
                </c:pt>
                <c:pt idx="2">
                  <c:v>220484</c:v>
                </c:pt>
                <c:pt idx="3">
                  <c:v>209558</c:v>
                </c:pt>
                <c:pt idx="4">
                  <c:v>241796</c:v>
                </c:pt>
                <c:pt idx="5">
                  <c:v>265710</c:v>
                </c:pt>
                <c:pt idx="6">
                  <c:v>435818</c:v>
                </c:pt>
                <c:pt idx="7">
                  <c:v>439156</c:v>
                </c:pt>
                <c:pt idx="8">
                  <c:v>235607</c:v>
                </c:pt>
                <c:pt idx="9">
                  <c:v>459456</c:v>
                </c:pt>
                <c:pt idx="10">
                  <c:v>405207</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5-139C-4ABA-ABE8-F8B160492168}"/>
            </c:ext>
          </c:extLst>
        </c:ser>
        <c:ser>
          <c:idx val="6"/>
          <c:order val="6"/>
          <c:tx>
            <c:strRef>
              <c:f>Library!$A$12</c:f>
              <c:strCache>
                <c:ptCount val="1"/>
                <c:pt idx="0">
                  <c:v>Total City Budget Revenues</c:v>
                </c:pt>
              </c:strCache>
            </c:strRef>
          </c:tx>
          <c:spPr>
            <a:ln w="28575" cap="rnd">
              <a:solidFill>
                <a:srgbClr val="008000"/>
              </a:solidFill>
              <a:round/>
            </a:ln>
            <a:effectLst/>
          </c:spPr>
          <c:marker>
            <c:symbol val="none"/>
          </c:marker>
          <c:cat>
            <c:numRef>
              <c:f>Library!$B$5:$L$5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Library!$B$12:$L$12</c:f>
              <c:numCache>
                <c:formatCode>_("$"* #,##0_);_("$"* \(#,##0\);_("$"* "-"??_);_(@_)</c:formatCode>
                <c:ptCount val="11"/>
                <c:pt idx="0">
                  <c:v>463820</c:v>
                </c:pt>
                <c:pt idx="1">
                  <c:v>284463</c:v>
                </c:pt>
                <c:pt idx="2">
                  <c:v>370265</c:v>
                </c:pt>
                <c:pt idx="3">
                  <c:v>429017</c:v>
                </c:pt>
                <c:pt idx="4">
                  <c:v>395602</c:v>
                </c:pt>
                <c:pt idx="5">
                  <c:v>517240</c:v>
                </c:pt>
                <c:pt idx="6">
                  <c:v>581990</c:v>
                </c:pt>
                <c:pt idx="7">
                  <c:v>582605</c:v>
                </c:pt>
                <c:pt idx="8">
                  <c:v>340210</c:v>
                </c:pt>
                <c:pt idx="9">
                  <c:v>609100</c:v>
                </c:pt>
                <c:pt idx="10">
                  <c:v>499463</c:v>
                </c:pt>
              </c:numCache>
            </c:numRef>
          </c:val>
          <c:smooth val="0"/>
          <c:extLst>
            <c:ext xmlns:c16="http://schemas.microsoft.com/office/drawing/2014/chart" uri="{C3380CC4-5D6E-409C-BE32-E72D297353CC}">
              <c16:uniqueId val="{00000000-139C-4ABA-ABE8-F8B160492168}"/>
            </c:ext>
          </c:extLst>
        </c:ser>
        <c:dLbls>
          <c:showLegendKey val="0"/>
          <c:showVal val="0"/>
          <c:showCatName val="0"/>
          <c:showSerName val="0"/>
          <c:showPercent val="0"/>
          <c:showBubbleSize val="0"/>
        </c:dLbls>
        <c:smooth val="0"/>
        <c:axId val="596661840"/>
        <c:axId val="596662168"/>
        <c:extLst>
          <c:ext xmlns:c15="http://schemas.microsoft.com/office/drawing/2012/chart" uri="{02D57815-91ED-43cb-92C2-25804820EDAC}">
            <c15:filteredLineSeries>
              <c15:ser>
                <c:idx val="0"/>
                <c:order val="0"/>
                <c:tx>
                  <c:strRef>
                    <c:extLst>
                      <c:ext uri="{02D57815-91ED-43cb-92C2-25804820EDAC}">
                        <c15:formulaRef>
                          <c15:sqref>Library!$A$6</c15:sqref>
                        </c15:formulaRef>
                      </c:ext>
                    </c:extLst>
                    <c:strCache>
                      <c:ptCount val="1"/>
                      <c:pt idx="0">
                        <c:v>REVENUES</c:v>
                      </c:pt>
                    </c:strCache>
                  </c:strRef>
                </c:tx>
                <c:spPr>
                  <a:ln w="28575" cap="rnd">
                    <a:solidFill>
                      <a:schemeClr val="accent1"/>
                    </a:solidFill>
                    <a:round/>
                  </a:ln>
                  <a:effectLst/>
                </c:spPr>
                <c:marker>
                  <c:symbol val="none"/>
                </c:marker>
                <c:cat>
                  <c:numRef>
                    <c:extLst>
                      <c:ext uri="{02D57815-91ED-43cb-92C2-25804820EDAC}">
                        <c15:formulaRef>
                          <c15:sqref>Library!$B$5:$L$5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LIB!#REF!</c15:sqref>
                        </c15:formulaRef>
                      </c:ext>
                    </c:extLst>
                    <c:numCache>
                      <c:formatCode>General</c:formatCode>
                      <c:ptCount val="1"/>
                      <c:pt idx="0">
                        <c:v>1</c:v>
                      </c:pt>
                    </c:numCache>
                  </c:numRef>
                </c:val>
                <c:smooth val="0"/>
                <c:extLst>
                  <c:ext xmlns:c16="http://schemas.microsoft.com/office/drawing/2014/chart" uri="{C3380CC4-5D6E-409C-BE32-E72D297353CC}">
                    <c16:uniqueId val="{00000001-139C-4ABA-ABE8-F8B160492168}"/>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Library!$A$8</c15:sqref>
                        </c15:formulaRef>
                      </c:ext>
                    </c:extLst>
                    <c:strCache>
                      <c:ptCount val="1"/>
                      <c:pt idx="0">
                        <c:v>Internal Service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Library!$B$5:$L$5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Library!$B$8:$L$8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3-139C-4ABA-ABE8-F8B160492168}"/>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Library!$A$9</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Library!$B$5:$L$5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Library!$B$9:$L$9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4-139C-4ABA-ABE8-F8B160492168}"/>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Library!$A$11</c15:sqref>
                        </c15:formulaRef>
                      </c:ext>
                    </c:extLst>
                    <c:strCache>
                      <c:ptCount val="1"/>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Library!$B$5:$L$5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Library!$B$11:$L$11</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6-139C-4ABA-ABE8-F8B160492168}"/>
                  </c:ext>
                </c:extLst>
              </c15:ser>
            </c15:filteredLineSeries>
          </c:ext>
        </c:extLst>
      </c:lineChart>
      <c:catAx>
        <c:axId val="59666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6662168"/>
        <c:crosses val="autoZero"/>
        <c:auto val="1"/>
        <c:lblAlgn val="ctr"/>
        <c:lblOffset val="100"/>
        <c:noMultiLvlLbl val="0"/>
      </c:catAx>
      <c:valAx>
        <c:axId val="59666216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6661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ysClr val="window" lastClr="FFFFFF"/>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r>
              <a:rPr lang="en-US" sz="1600" b="1">
                <a:solidFill>
                  <a:schemeClr val="tx1">
                    <a:lumMod val="65000"/>
                    <a:lumOff val="35000"/>
                  </a:schemeClr>
                </a:solidFill>
              </a:rPr>
              <a:t>Total City -  Expenditures</a:t>
            </a:r>
            <a:r>
              <a:rPr lang="en-US" sz="1600" b="1">
                <a:solidFill>
                  <a:sysClr val="windowText" lastClr="000000"/>
                </a:solidFill>
              </a:rPr>
              <a:t> by Fund</a:t>
            </a:r>
          </a:p>
        </c:rich>
      </c:tx>
      <c:layout/>
      <c:overlay val="0"/>
      <c:spPr>
        <a:noFill/>
        <a:ln>
          <a:noFill/>
        </a:ln>
        <a:effectLst/>
      </c:spPr>
      <c:txPr>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1688236692867747"/>
          <c:y val="0.11451055690207397"/>
          <c:w val="0.86448672104083446"/>
          <c:h val="0.65860146993279878"/>
        </c:manualLayout>
      </c:layout>
      <c:lineChart>
        <c:grouping val="standard"/>
        <c:varyColors val="0"/>
        <c:ser>
          <c:idx val="0"/>
          <c:order val="0"/>
          <c:tx>
            <c:strRef>
              <c:f>'All Depts'!$A$50</c:f>
              <c:strCache>
                <c:ptCount val="1"/>
                <c:pt idx="0">
                  <c:v>General Fund</c:v>
                </c:pt>
              </c:strCache>
            </c:strRef>
          </c:tx>
          <c:spPr>
            <a:ln w="28575" cap="rnd">
              <a:solidFill>
                <a:schemeClr val="tx1"/>
              </a:solidFill>
              <a:round/>
            </a:ln>
            <a:effectLst/>
          </c:spPr>
          <c:marker>
            <c:symbol val="none"/>
          </c:marker>
          <c:cat>
            <c:numRef>
              <c:f>'All Depts'!$B$49:$L$49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Depts'!$B$50:$L$50</c:f>
              <c:numCache>
                <c:formatCode>_("$"* #,##0_);_("$"* \(#,##0\);_("$"* "-"??_);_(@_)</c:formatCode>
                <c:ptCount val="11"/>
                <c:pt idx="0">
                  <c:v>62642769</c:v>
                </c:pt>
                <c:pt idx="1">
                  <c:v>63403954</c:v>
                </c:pt>
                <c:pt idx="2">
                  <c:v>55123903</c:v>
                </c:pt>
                <c:pt idx="3">
                  <c:v>59343409</c:v>
                </c:pt>
                <c:pt idx="4">
                  <c:v>67908891</c:v>
                </c:pt>
                <c:pt idx="5">
                  <c:v>81211392</c:v>
                </c:pt>
                <c:pt idx="6">
                  <c:v>83844314</c:v>
                </c:pt>
                <c:pt idx="7">
                  <c:v>91440245</c:v>
                </c:pt>
                <c:pt idx="8">
                  <c:v>103990135</c:v>
                </c:pt>
                <c:pt idx="9">
                  <c:v>128815229</c:v>
                </c:pt>
                <c:pt idx="10">
                  <c:v>102049571</c:v>
                </c:pt>
              </c:numCache>
            </c:numRef>
          </c:val>
          <c:smooth val="0"/>
          <c:extLst>
            <c:ext xmlns:c16="http://schemas.microsoft.com/office/drawing/2014/chart" uri="{C3380CC4-5D6E-409C-BE32-E72D297353CC}">
              <c16:uniqueId val="{00000000-CAEE-410C-97C9-1D56F3983839}"/>
            </c:ext>
          </c:extLst>
        </c:ser>
        <c:ser>
          <c:idx val="1"/>
          <c:order val="1"/>
          <c:tx>
            <c:strRef>
              <c:f>'All Depts'!$A$51</c:f>
              <c:strCache>
                <c:ptCount val="1"/>
                <c:pt idx="0">
                  <c:v>Internal Service Funds</c:v>
                </c:pt>
              </c:strCache>
            </c:strRef>
          </c:tx>
          <c:spPr>
            <a:ln w="28575" cap="rnd">
              <a:solidFill>
                <a:schemeClr val="accent6"/>
              </a:solidFill>
              <a:round/>
            </a:ln>
            <a:effectLst/>
          </c:spPr>
          <c:marker>
            <c:symbol val="none"/>
          </c:marker>
          <c:cat>
            <c:numRef>
              <c:f>'All Depts'!$B$49:$L$49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Depts'!$B$51:$L$51</c:f>
              <c:numCache>
                <c:formatCode>_("$"* #,##0_);_("$"* \(#,##0\);_("$"* "-"??_);_(@_)</c:formatCode>
                <c:ptCount val="11"/>
                <c:pt idx="0">
                  <c:v>16078251</c:v>
                </c:pt>
                <c:pt idx="1">
                  <c:v>15322190</c:v>
                </c:pt>
                <c:pt idx="2">
                  <c:v>23896719</c:v>
                </c:pt>
                <c:pt idx="3">
                  <c:v>14646691</c:v>
                </c:pt>
                <c:pt idx="4">
                  <c:v>17533241</c:v>
                </c:pt>
                <c:pt idx="5">
                  <c:v>21537660</c:v>
                </c:pt>
                <c:pt idx="6">
                  <c:v>22752690</c:v>
                </c:pt>
                <c:pt idx="7">
                  <c:v>20668702</c:v>
                </c:pt>
                <c:pt idx="8">
                  <c:v>23000265</c:v>
                </c:pt>
                <c:pt idx="9">
                  <c:v>27019005</c:v>
                </c:pt>
                <c:pt idx="10">
                  <c:v>27953300</c:v>
                </c:pt>
              </c:numCache>
            </c:numRef>
          </c:val>
          <c:smooth val="0"/>
          <c:extLst>
            <c:ext xmlns:c16="http://schemas.microsoft.com/office/drawing/2014/chart" uri="{C3380CC4-5D6E-409C-BE32-E72D297353CC}">
              <c16:uniqueId val="{00000001-CAEE-410C-97C9-1D56F3983839}"/>
            </c:ext>
          </c:extLst>
        </c:ser>
        <c:ser>
          <c:idx val="2"/>
          <c:order val="2"/>
          <c:tx>
            <c:strRef>
              <c:f>'All Depts'!$A$52</c:f>
              <c:strCache>
                <c:ptCount val="1"/>
                <c:pt idx="0">
                  <c:v>Enterprise Funds</c:v>
                </c:pt>
              </c:strCache>
            </c:strRef>
          </c:tx>
          <c:spPr>
            <a:ln w="28575" cap="rnd">
              <a:solidFill>
                <a:srgbClr val="6666FF"/>
              </a:solidFill>
              <a:round/>
            </a:ln>
            <a:effectLst/>
          </c:spPr>
          <c:marker>
            <c:symbol val="none"/>
          </c:marker>
          <c:cat>
            <c:numRef>
              <c:f>'All Depts'!$B$49:$L$49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Depts'!$B$52:$L$52</c:f>
              <c:numCache>
                <c:formatCode>_("$"* #,##0_);_("$"* \(#,##0\);_("$"* "-"??_);_(@_)</c:formatCode>
                <c:ptCount val="11"/>
                <c:pt idx="0">
                  <c:v>77053475</c:v>
                </c:pt>
                <c:pt idx="1">
                  <c:v>76246930</c:v>
                </c:pt>
                <c:pt idx="2">
                  <c:v>92362539</c:v>
                </c:pt>
                <c:pt idx="3">
                  <c:v>87006375</c:v>
                </c:pt>
                <c:pt idx="4">
                  <c:v>102710060</c:v>
                </c:pt>
                <c:pt idx="5">
                  <c:v>125788199</c:v>
                </c:pt>
                <c:pt idx="6">
                  <c:v>143924076</c:v>
                </c:pt>
                <c:pt idx="7">
                  <c:v>138601594</c:v>
                </c:pt>
                <c:pt idx="8">
                  <c:v>149561040</c:v>
                </c:pt>
                <c:pt idx="9">
                  <c:v>202704817</c:v>
                </c:pt>
                <c:pt idx="10">
                  <c:v>199046694</c:v>
                </c:pt>
              </c:numCache>
            </c:numRef>
          </c:val>
          <c:smooth val="0"/>
          <c:extLst>
            <c:ext xmlns:c16="http://schemas.microsoft.com/office/drawing/2014/chart" uri="{C3380CC4-5D6E-409C-BE32-E72D297353CC}">
              <c16:uniqueId val="{00000002-CAEE-410C-97C9-1D56F3983839}"/>
            </c:ext>
          </c:extLst>
        </c:ser>
        <c:ser>
          <c:idx val="3"/>
          <c:order val="3"/>
          <c:tx>
            <c:strRef>
              <c:f>'All Depts'!$A$53</c:f>
              <c:strCache>
                <c:ptCount val="1"/>
                <c:pt idx="0">
                  <c:v>Special Revenue Funds</c:v>
                </c:pt>
              </c:strCache>
            </c:strRef>
          </c:tx>
          <c:spPr>
            <a:ln w="28575" cap="rnd">
              <a:solidFill>
                <a:srgbClr val="996633"/>
              </a:solidFill>
              <a:round/>
            </a:ln>
            <a:effectLst/>
          </c:spPr>
          <c:marker>
            <c:symbol val="none"/>
          </c:marker>
          <c:cat>
            <c:numRef>
              <c:f>'All Depts'!$B$49:$L$49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Depts'!$B$53:$L$53</c:f>
              <c:numCache>
                <c:formatCode>_("$"* #,##0_);_("$"* \(#,##0\);_("$"* "-"??_);_(@_)</c:formatCode>
                <c:ptCount val="11"/>
                <c:pt idx="0">
                  <c:v>20131676</c:v>
                </c:pt>
                <c:pt idx="1">
                  <c:v>36528746</c:v>
                </c:pt>
                <c:pt idx="2">
                  <c:v>36972962</c:v>
                </c:pt>
                <c:pt idx="3">
                  <c:v>23648549</c:v>
                </c:pt>
                <c:pt idx="4">
                  <c:v>33003645</c:v>
                </c:pt>
                <c:pt idx="5">
                  <c:v>54199760</c:v>
                </c:pt>
                <c:pt idx="6">
                  <c:v>35454838</c:v>
                </c:pt>
                <c:pt idx="7">
                  <c:v>37932162</c:v>
                </c:pt>
                <c:pt idx="8">
                  <c:v>65785531</c:v>
                </c:pt>
                <c:pt idx="9">
                  <c:v>129687606</c:v>
                </c:pt>
                <c:pt idx="10">
                  <c:v>56174434</c:v>
                </c:pt>
              </c:numCache>
            </c:numRef>
          </c:val>
          <c:smooth val="0"/>
          <c:extLst>
            <c:ext xmlns:c16="http://schemas.microsoft.com/office/drawing/2014/chart" uri="{C3380CC4-5D6E-409C-BE32-E72D297353CC}">
              <c16:uniqueId val="{00000003-CAEE-410C-97C9-1D56F3983839}"/>
            </c:ext>
          </c:extLst>
        </c:ser>
        <c:ser>
          <c:idx val="5"/>
          <c:order val="4"/>
          <c:tx>
            <c:strRef>
              <c:f>'All Depts'!$A$55</c:f>
              <c:strCache>
                <c:ptCount val="1"/>
                <c:pt idx="0">
                  <c:v>Total City Budget Expenses</c:v>
                </c:pt>
              </c:strCache>
            </c:strRef>
          </c:tx>
          <c:spPr>
            <a:ln w="28575" cap="rnd">
              <a:solidFill>
                <a:srgbClr val="FF0000"/>
              </a:solidFill>
              <a:round/>
            </a:ln>
            <a:effectLst/>
          </c:spPr>
          <c:marker>
            <c:symbol val="none"/>
          </c:marker>
          <c:cat>
            <c:numRef>
              <c:f>'All Depts'!$B$49:$L$49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Depts'!$B$55:$L$55</c:f>
              <c:numCache>
                <c:formatCode>_("$"* #,##0_);_("$"* \(#,##0\);_("$"* "-"??_);_(@_)</c:formatCode>
                <c:ptCount val="11"/>
                <c:pt idx="0">
                  <c:v>175906171</c:v>
                </c:pt>
                <c:pt idx="1">
                  <c:v>191501820</c:v>
                </c:pt>
                <c:pt idx="2">
                  <c:v>208356123</c:v>
                </c:pt>
                <c:pt idx="3">
                  <c:v>184645024</c:v>
                </c:pt>
                <c:pt idx="4">
                  <c:v>221155837</c:v>
                </c:pt>
                <c:pt idx="5">
                  <c:v>282737011</c:v>
                </c:pt>
                <c:pt idx="6">
                  <c:v>285975918</c:v>
                </c:pt>
                <c:pt idx="7">
                  <c:v>288642703</c:v>
                </c:pt>
                <c:pt idx="8">
                  <c:v>342336971</c:v>
                </c:pt>
                <c:pt idx="9">
                  <c:v>488226657</c:v>
                </c:pt>
                <c:pt idx="10">
                  <c:v>385223999</c:v>
                </c:pt>
              </c:numCache>
            </c:numRef>
          </c:val>
          <c:smooth val="0"/>
          <c:extLst>
            <c:ext xmlns:c16="http://schemas.microsoft.com/office/drawing/2014/chart" uri="{C3380CC4-5D6E-409C-BE32-E72D297353CC}">
              <c16:uniqueId val="{00000005-CAEE-410C-97C9-1D56F3983839}"/>
            </c:ext>
          </c:extLst>
        </c:ser>
        <c:dLbls>
          <c:showLegendKey val="0"/>
          <c:showVal val="0"/>
          <c:showCatName val="0"/>
          <c:showSerName val="0"/>
          <c:showPercent val="0"/>
          <c:showBubbleSize val="0"/>
        </c:dLbls>
        <c:smooth val="0"/>
        <c:axId val="347499240"/>
        <c:axId val="347500224"/>
      </c:lineChart>
      <c:catAx>
        <c:axId val="347499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7500224"/>
        <c:crosses val="autoZero"/>
        <c:auto val="1"/>
        <c:lblAlgn val="ctr"/>
        <c:lblOffset val="100"/>
        <c:noMultiLvlLbl val="0"/>
      </c:catAx>
      <c:valAx>
        <c:axId val="34750022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74992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userShapes r:id="rId3"/>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Library - Total Expenditures</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7"/>
          <c:order val="0"/>
          <c:tx>
            <c:strRef>
              <c:f>Library!$A$16</c:f>
              <c:strCache>
                <c:ptCount val="1"/>
                <c:pt idx="0">
                  <c:v>General Fund</c:v>
                </c:pt>
              </c:strCache>
            </c:strRef>
          </c:tx>
          <c:spPr>
            <a:ln w="28575" cap="rnd">
              <a:solidFill>
                <a:sysClr val="windowText" lastClr="000000"/>
              </a:solidFill>
              <a:round/>
            </a:ln>
            <a:effectLst/>
          </c:spPr>
          <c:marker>
            <c:symbol val="none"/>
          </c:marker>
          <c:cat>
            <c:numRef>
              <c:f>Library!$B$5:$L$5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Library!$B$16:$L$16</c:f>
              <c:numCache>
                <c:formatCode>_("$"* #,##0_);_("$"* \(#,##0\);_("$"* "-"??_);_(@_)</c:formatCode>
                <c:ptCount val="11"/>
                <c:pt idx="0">
                  <c:v>2705755</c:v>
                </c:pt>
                <c:pt idx="1">
                  <c:v>2394183</c:v>
                </c:pt>
                <c:pt idx="2">
                  <c:v>2318491</c:v>
                </c:pt>
                <c:pt idx="3">
                  <c:v>2408997</c:v>
                </c:pt>
                <c:pt idx="4">
                  <c:v>2799235</c:v>
                </c:pt>
                <c:pt idx="5">
                  <c:v>3065549</c:v>
                </c:pt>
                <c:pt idx="6">
                  <c:v>3158826</c:v>
                </c:pt>
                <c:pt idx="7">
                  <c:v>3283976</c:v>
                </c:pt>
                <c:pt idx="8">
                  <c:v>3762506</c:v>
                </c:pt>
                <c:pt idx="9">
                  <c:v>4389757</c:v>
                </c:pt>
                <c:pt idx="10">
                  <c:v>3230341</c:v>
                </c:pt>
              </c:numCache>
            </c:numRef>
          </c:val>
          <c:smooth val="0"/>
          <c:extLst>
            <c:ext xmlns:c16="http://schemas.microsoft.com/office/drawing/2014/chart" uri="{C3380CC4-5D6E-409C-BE32-E72D297353CC}">
              <c16:uniqueId val="{0000003E-3782-4017-8BB0-E0549BF00083}"/>
            </c:ext>
          </c:extLst>
        </c:ser>
        <c:ser>
          <c:idx val="12"/>
          <c:order val="1"/>
          <c:tx>
            <c:strRef>
              <c:f>Library!$A$21</c:f>
              <c:strCache>
                <c:ptCount val="1"/>
                <c:pt idx="0">
                  <c:v>Total City Budget Expenditures</c:v>
                </c:pt>
              </c:strCache>
            </c:strRef>
          </c:tx>
          <c:spPr>
            <a:ln w="28575" cap="rnd">
              <a:solidFill>
                <a:srgbClr val="FF0000"/>
              </a:solidFill>
              <a:round/>
            </a:ln>
            <a:effectLst/>
          </c:spPr>
          <c:marker>
            <c:symbol val="none"/>
          </c:marker>
          <c:cat>
            <c:numRef>
              <c:f>Library!$B$5:$L$5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Library!$B$21:$L$21</c:f>
              <c:numCache>
                <c:formatCode>_("$"* #,##0_);_("$"* \(#,##0\);_("$"* "-"??_);_(@_)</c:formatCode>
                <c:ptCount val="11"/>
                <c:pt idx="0">
                  <c:v>2905659</c:v>
                </c:pt>
                <c:pt idx="1">
                  <c:v>3723434</c:v>
                </c:pt>
                <c:pt idx="2">
                  <c:v>4913401</c:v>
                </c:pt>
                <c:pt idx="3">
                  <c:v>2658997</c:v>
                </c:pt>
                <c:pt idx="4">
                  <c:v>2809925</c:v>
                </c:pt>
                <c:pt idx="5">
                  <c:v>3068825</c:v>
                </c:pt>
                <c:pt idx="6">
                  <c:v>3158826</c:v>
                </c:pt>
                <c:pt idx="7">
                  <c:v>3283976</c:v>
                </c:pt>
                <c:pt idx="8">
                  <c:v>3762506</c:v>
                </c:pt>
                <c:pt idx="9">
                  <c:v>4464757</c:v>
                </c:pt>
                <c:pt idx="10">
                  <c:v>3230341</c:v>
                </c:pt>
              </c:numCache>
            </c:numRef>
          </c:val>
          <c:smooth val="0"/>
          <c:extLst>
            <c:ext xmlns:c16="http://schemas.microsoft.com/office/drawing/2014/chart" uri="{C3380CC4-5D6E-409C-BE32-E72D297353CC}">
              <c16:uniqueId val="{00000043-3782-4017-8BB0-E0549BF00083}"/>
            </c:ext>
          </c:extLst>
        </c:ser>
        <c:ser>
          <c:idx val="0"/>
          <c:order val="2"/>
          <c:tx>
            <c:strRef>
              <c:f>Library!$A$19</c:f>
              <c:strCache>
                <c:ptCount val="1"/>
                <c:pt idx="0">
                  <c:v>Special Revenue Funds</c:v>
                </c:pt>
              </c:strCache>
            </c:strRef>
          </c:tx>
          <c:spPr>
            <a:ln w="28575" cap="rnd">
              <a:solidFill>
                <a:srgbClr val="996633"/>
              </a:solidFill>
              <a:round/>
            </a:ln>
            <a:effectLst/>
          </c:spPr>
          <c:marker>
            <c:symbol val="none"/>
          </c:marker>
          <c:val>
            <c:numRef>
              <c:f>Library!$B$19:$L$19</c:f>
              <c:numCache>
                <c:formatCode>_("$"* #,##0_);_("$"* \(#,##0\);_("$"* "-"??_);_(@_)</c:formatCode>
                <c:ptCount val="11"/>
                <c:pt idx="0">
                  <c:v>199904</c:v>
                </c:pt>
                <c:pt idx="1">
                  <c:v>1329251</c:v>
                </c:pt>
                <c:pt idx="2">
                  <c:v>2594910</c:v>
                </c:pt>
                <c:pt idx="3">
                  <c:v>250000</c:v>
                </c:pt>
                <c:pt idx="4">
                  <c:v>10690</c:v>
                </c:pt>
                <c:pt idx="5">
                  <c:v>3276</c:v>
                </c:pt>
                <c:pt idx="6">
                  <c:v>0</c:v>
                </c:pt>
                <c:pt idx="7">
                  <c:v>0</c:v>
                </c:pt>
                <c:pt idx="8">
                  <c:v>0</c:v>
                </c:pt>
                <c:pt idx="9">
                  <c:v>75000</c:v>
                </c:pt>
                <c:pt idx="10">
                  <c:v>0</c:v>
                </c:pt>
              </c:numCache>
            </c:numRef>
          </c:val>
          <c:smooth val="0"/>
          <c:extLst>
            <c:ext xmlns:c16="http://schemas.microsoft.com/office/drawing/2014/chart" uri="{C3380CC4-5D6E-409C-BE32-E72D297353CC}">
              <c16:uniqueId val="{00000000-6253-4F62-8A27-F6FD9A5B2D60}"/>
            </c:ext>
          </c:extLst>
        </c:ser>
        <c:dLbls>
          <c:showLegendKey val="0"/>
          <c:showVal val="0"/>
          <c:showCatName val="0"/>
          <c:showSerName val="0"/>
          <c:showPercent val="0"/>
          <c:showBubbleSize val="0"/>
        </c:dLbls>
        <c:smooth val="0"/>
        <c:axId val="596661840"/>
        <c:axId val="596662168"/>
        <c:extLst/>
      </c:lineChart>
      <c:catAx>
        <c:axId val="59666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6662168"/>
        <c:crosses val="autoZero"/>
        <c:auto val="1"/>
        <c:lblAlgn val="ctr"/>
        <c:lblOffset val="100"/>
        <c:noMultiLvlLbl val="0"/>
      </c:catAx>
      <c:valAx>
        <c:axId val="59666216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6661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ysClr val="window" lastClr="FFFFFF"/>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Library - Expenditures per Capita</a:t>
            </a:r>
          </a:p>
        </c:rich>
      </c:tx>
      <c:overlay val="0"/>
      <c:spPr>
        <a:noFill/>
        <a:ln>
          <a:noFill/>
        </a:ln>
        <a:effectLst/>
      </c:spPr>
    </c:title>
    <c:autoTitleDeleted val="0"/>
    <c:plotArea>
      <c:layout/>
      <c:lineChart>
        <c:grouping val="standard"/>
        <c:varyColors val="0"/>
        <c:ser>
          <c:idx val="0"/>
          <c:order val="0"/>
          <c:tx>
            <c:strRef>
              <c:f>Library!$A$25</c:f>
              <c:strCache>
                <c:ptCount val="1"/>
                <c:pt idx="0">
                  <c:v>Expenditures per Capita</c:v>
                </c:pt>
              </c:strCache>
            </c:strRef>
          </c:tx>
          <c:spPr>
            <a:ln>
              <a:solidFill>
                <a:srgbClr val="FF0000"/>
              </a:solidFill>
            </a:ln>
          </c:spPr>
          <c:marker>
            <c:symbol val="none"/>
          </c:marker>
          <c:cat>
            <c:numRef>
              <c:f>Library!$B$24:$L$24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Library!$B$25:$L$25</c:f>
              <c:numCache>
                <c:formatCode>_("$"* #,##0.00_);_("$"* \(#,##0.00\);_("$"* "-"??_);_(@_)</c:formatCode>
                <c:ptCount val="11"/>
                <c:pt idx="0">
                  <c:v>42.838336341471141</c:v>
                </c:pt>
                <c:pt idx="1">
                  <c:v>35.342667768887836</c:v>
                </c:pt>
                <c:pt idx="2">
                  <c:v>33.718110556856359</c:v>
                </c:pt>
                <c:pt idx="3">
                  <c:v>34.741307451579871</c:v>
                </c:pt>
                <c:pt idx="4">
                  <c:v>39.778811993747333</c:v>
                </c:pt>
                <c:pt idx="5">
                  <c:v>43.160333394342999</c:v>
                </c:pt>
                <c:pt idx="6">
                  <c:v>43.024053391446472</c:v>
                </c:pt>
                <c:pt idx="7">
                  <c:v>44.148363245277949</c:v>
                </c:pt>
                <c:pt idx="8">
                  <c:v>49.611102320675109</c:v>
                </c:pt>
                <c:pt idx="9">
                  <c:v>56.816507468095573</c:v>
                </c:pt>
                <c:pt idx="10">
                  <c:v>40.900747024563181</c:v>
                </c:pt>
              </c:numCache>
            </c:numRef>
          </c:val>
          <c:smooth val="0"/>
          <c:extLst>
            <c:ext xmlns:c16="http://schemas.microsoft.com/office/drawing/2014/chart" uri="{C3380CC4-5D6E-409C-BE32-E72D297353CC}">
              <c16:uniqueId val="{00000004-9EAF-4E28-B9F9-92E32ADBD6B0}"/>
            </c:ext>
          </c:extLst>
        </c:ser>
        <c:dLbls>
          <c:showLegendKey val="0"/>
          <c:showVal val="0"/>
          <c:showCatName val="0"/>
          <c:showSerName val="0"/>
          <c:showPercent val="0"/>
          <c:showBubbleSize val="0"/>
        </c:dLbls>
        <c:smooth val="0"/>
        <c:axId val="596661840"/>
        <c:axId val="596662168"/>
        <c:extLst/>
      </c:lineChart>
      <c:catAx>
        <c:axId val="59666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6662168"/>
        <c:crosses val="autoZero"/>
        <c:auto val="1"/>
        <c:lblAlgn val="ctr"/>
        <c:lblOffset val="100"/>
        <c:noMultiLvlLbl val="0"/>
      </c:catAx>
      <c:valAx>
        <c:axId val="59666216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6661840"/>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Library - Expenditures per FTE</a:t>
            </a:r>
          </a:p>
        </c:rich>
      </c:tx>
      <c:overlay val="0"/>
      <c:spPr>
        <a:noFill/>
        <a:ln>
          <a:noFill/>
        </a:ln>
        <a:effectLst/>
      </c:spPr>
    </c:title>
    <c:autoTitleDeleted val="0"/>
    <c:plotArea>
      <c:layout/>
      <c:lineChart>
        <c:grouping val="standard"/>
        <c:varyColors val="0"/>
        <c:ser>
          <c:idx val="1"/>
          <c:order val="0"/>
          <c:tx>
            <c:strRef>
              <c:f>Library!$A$28</c:f>
              <c:strCache>
                <c:ptCount val="1"/>
                <c:pt idx="0">
                  <c:v>Expenditures per FTE</c:v>
                </c:pt>
              </c:strCache>
            </c:strRef>
          </c:tx>
          <c:spPr>
            <a:ln>
              <a:solidFill>
                <a:srgbClr val="FF0000"/>
              </a:solidFill>
            </a:ln>
          </c:spPr>
          <c:marker>
            <c:symbol val="none"/>
          </c:marker>
          <c:cat>
            <c:numRef>
              <c:f>Library!$B$24:$L$24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Library!$B$28:$L$28</c:f>
              <c:numCache>
                <c:formatCode>_("$"* #,##0_);_("$"* \(#,##0\);_("$"* "-"??_);_(@_)</c:formatCode>
                <c:ptCount val="11"/>
                <c:pt idx="0">
                  <c:v>98248.184458968783</c:v>
                </c:pt>
                <c:pt idx="1">
                  <c:v>86934.749455337689</c:v>
                </c:pt>
                <c:pt idx="2">
                  <c:v>77463.782158369533</c:v>
                </c:pt>
                <c:pt idx="3">
                  <c:v>79609.94712491738</c:v>
                </c:pt>
                <c:pt idx="4">
                  <c:v>90884.253246753244</c:v>
                </c:pt>
                <c:pt idx="5">
                  <c:v>99112.479793081147</c:v>
                </c:pt>
                <c:pt idx="6">
                  <c:v>99084.8808030113</c:v>
                </c:pt>
                <c:pt idx="7">
                  <c:v>102209.02583255526</c:v>
                </c:pt>
                <c:pt idx="8">
                  <c:v>114885.67938931298</c:v>
                </c:pt>
                <c:pt idx="9">
                  <c:v>134038.38167938931</c:v>
                </c:pt>
                <c:pt idx="10">
                  <c:v>97519.728301886789</c:v>
                </c:pt>
              </c:numCache>
            </c:numRef>
          </c:val>
          <c:smooth val="0"/>
          <c:extLst>
            <c:ext xmlns:c16="http://schemas.microsoft.com/office/drawing/2014/chart" uri="{C3380CC4-5D6E-409C-BE32-E72D297353CC}">
              <c16:uniqueId val="{00000002-0310-4447-920A-84A19E997771}"/>
            </c:ext>
          </c:extLst>
        </c:ser>
        <c:dLbls>
          <c:showLegendKey val="0"/>
          <c:showVal val="0"/>
          <c:showCatName val="0"/>
          <c:showSerName val="0"/>
          <c:showPercent val="0"/>
          <c:showBubbleSize val="0"/>
        </c:dLbls>
        <c:smooth val="0"/>
        <c:axId val="596661840"/>
        <c:axId val="596662168"/>
        <c:extLst/>
      </c:lineChart>
      <c:catAx>
        <c:axId val="59666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6662168"/>
        <c:crosses val="autoZero"/>
        <c:auto val="1"/>
        <c:lblAlgn val="ctr"/>
        <c:lblOffset val="100"/>
        <c:noMultiLvlLbl val="0"/>
      </c:catAx>
      <c:valAx>
        <c:axId val="59666216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6661840"/>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Parks &amp; Recreation - Total Revenues</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53265959865253"/>
          <c:y val="8.237089201877934E-2"/>
          <c:w val="0.84157629115258226"/>
          <c:h val="0.80478078444419798"/>
        </c:manualLayout>
      </c:layout>
      <c:lineChart>
        <c:grouping val="standard"/>
        <c:varyColors val="0"/>
        <c:ser>
          <c:idx val="1"/>
          <c:order val="1"/>
          <c:tx>
            <c:strRef>
              <c:f>'Parks &amp; Rec'!$A$7</c:f>
              <c:strCache>
                <c:ptCount val="1"/>
                <c:pt idx="0">
                  <c:v>General Fund</c:v>
                </c:pt>
              </c:strCache>
              <c:extLst xmlns:c15="http://schemas.microsoft.com/office/drawing/2012/chart"/>
            </c:strRef>
          </c:tx>
          <c:spPr>
            <a:ln w="28575" cap="rnd">
              <a:solidFill>
                <a:sysClr val="windowText" lastClr="000000"/>
              </a:solidFill>
              <a:round/>
            </a:ln>
            <a:effectLst/>
          </c:spPr>
          <c:marker>
            <c:symbol val="none"/>
          </c:marker>
          <c:cat>
            <c:numRef>
              <c:f>'Parks &amp; Rec'!$B$5:$L$5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'Parks &amp; Rec'!$B$7:$L$7</c:f>
              <c:numCache>
                <c:formatCode>_("$"* #,##0_);_("$"* \(#,##0\);_("$"* "-"??_);_(@_)</c:formatCode>
                <c:ptCount val="11"/>
                <c:pt idx="0">
                  <c:v>2352115</c:v>
                </c:pt>
                <c:pt idx="1">
                  <c:v>2527971</c:v>
                </c:pt>
                <c:pt idx="2">
                  <c:v>3055307</c:v>
                </c:pt>
                <c:pt idx="3">
                  <c:v>3385370</c:v>
                </c:pt>
                <c:pt idx="4">
                  <c:v>4938261</c:v>
                </c:pt>
                <c:pt idx="5">
                  <c:v>4321017</c:v>
                </c:pt>
                <c:pt idx="6">
                  <c:v>4461879</c:v>
                </c:pt>
                <c:pt idx="7">
                  <c:v>3951809</c:v>
                </c:pt>
                <c:pt idx="8">
                  <c:v>3745517</c:v>
                </c:pt>
                <c:pt idx="9">
                  <c:v>3859102</c:v>
                </c:pt>
                <c:pt idx="10">
                  <c:v>3782353</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99DA-4B93-ABFC-24D83B2FCFAD}"/>
            </c:ext>
          </c:extLst>
        </c:ser>
        <c:ser>
          <c:idx val="3"/>
          <c:order val="3"/>
          <c:tx>
            <c:strRef>
              <c:f>'Parks &amp; Rec'!$A$9</c:f>
              <c:strCache>
                <c:ptCount val="1"/>
                <c:pt idx="0">
                  <c:v>Enterprise Funds</c:v>
                </c:pt>
              </c:strCache>
              <c:extLst xmlns:c15="http://schemas.microsoft.com/office/drawing/2012/chart"/>
            </c:strRef>
          </c:tx>
          <c:spPr>
            <a:ln w="28575" cap="rnd">
              <a:solidFill>
                <a:srgbClr val="6666FF"/>
              </a:solidFill>
              <a:round/>
            </a:ln>
            <a:effectLst/>
          </c:spPr>
          <c:marker>
            <c:symbol val="none"/>
          </c:marker>
          <c:cat>
            <c:numRef>
              <c:f>'Parks &amp; Rec'!$B$5:$L$5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'Parks &amp; Rec'!$B$9:$L$9</c:f>
              <c:numCache>
                <c:formatCode>_("$"* #,##0_);_("$"* \(#,##0\);_("$"* "-"??_);_(@_)</c:formatCode>
                <c:ptCount val="11"/>
                <c:pt idx="0">
                  <c:v>3530693</c:v>
                </c:pt>
                <c:pt idx="1">
                  <c:v>3546107</c:v>
                </c:pt>
                <c:pt idx="2">
                  <c:v>3509743</c:v>
                </c:pt>
                <c:pt idx="3">
                  <c:v>3766712</c:v>
                </c:pt>
                <c:pt idx="4">
                  <c:v>3349296</c:v>
                </c:pt>
                <c:pt idx="5">
                  <c:v>3635697</c:v>
                </c:pt>
                <c:pt idx="6">
                  <c:v>4048723</c:v>
                </c:pt>
                <c:pt idx="7">
                  <c:v>3994433</c:v>
                </c:pt>
                <c:pt idx="8">
                  <c:v>3873351</c:v>
                </c:pt>
                <c:pt idx="9">
                  <c:v>3992869</c:v>
                </c:pt>
                <c:pt idx="10">
                  <c:v>4074782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99DA-4B93-ABFC-24D83B2FCFAD}"/>
            </c:ext>
          </c:extLst>
        </c:ser>
        <c:ser>
          <c:idx val="4"/>
          <c:order val="4"/>
          <c:tx>
            <c:strRef>
              <c:f>'Parks &amp; Rec'!$A$10</c:f>
              <c:strCache>
                <c:ptCount val="1"/>
                <c:pt idx="0">
                  <c:v>Special Revenue Funds</c:v>
                </c:pt>
              </c:strCache>
              <c:extLst xmlns:c15="http://schemas.microsoft.com/office/drawing/2012/chart"/>
            </c:strRef>
          </c:tx>
          <c:spPr>
            <a:ln w="28575" cap="rnd">
              <a:solidFill>
                <a:srgbClr val="996633"/>
              </a:solidFill>
              <a:round/>
            </a:ln>
            <a:effectLst/>
          </c:spPr>
          <c:marker>
            <c:symbol val="none"/>
          </c:marker>
          <c:cat>
            <c:numRef>
              <c:f>'Parks &amp; Rec'!$B$5:$L$5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'Parks &amp; Rec'!$B$10:$L$10</c:f>
              <c:numCache>
                <c:formatCode>_("$"* #,##0_);_("$"* \(#,##0\);_("$"* "-"??_);_(@_)</c:formatCode>
                <c:ptCount val="11"/>
                <c:pt idx="0">
                  <c:v>3736105</c:v>
                </c:pt>
                <c:pt idx="1">
                  <c:v>3428793</c:v>
                </c:pt>
                <c:pt idx="2">
                  <c:v>4755811</c:v>
                </c:pt>
                <c:pt idx="3">
                  <c:v>4668449</c:v>
                </c:pt>
                <c:pt idx="4">
                  <c:v>5231459</c:v>
                </c:pt>
                <c:pt idx="5">
                  <c:v>6406875</c:v>
                </c:pt>
                <c:pt idx="6">
                  <c:v>7802857</c:v>
                </c:pt>
                <c:pt idx="7">
                  <c:v>8498396</c:v>
                </c:pt>
                <c:pt idx="8">
                  <c:v>6053814</c:v>
                </c:pt>
                <c:pt idx="9">
                  <c:v>8975548</c:v>
                </c:pt>
                <c:pt idx="10">
                  <c:v>8221589</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99DA-4B93-ABFC-24D83B2FCFAD}"/>
            </c:ext>
          </c:extLst>
        </c:ser>
        <c:ser>
          <c:idx val="6"/>
          <c:order val="6"/>
          <c:tx>
            <c:strRef>
              <c:f>'Parks &amp; Rec'!$A$12</c:f>
              <c:strCache>
                <c:ptCount val="1"/>
                <c:pt idx="0">
                  <c:v>Total City Budget Revenues</c:v>
                </c:pt>
              </c:strCache>
            </c:strRef>
          </c:tx>
          <c:spPr>
            <a:ln w="28575" cap="rnd">
              <a:solidFill>
                <a:srgbClr val="008000"/>
              </a:solidFill>
              <a:round/>
            </a:ln>
            <a:effectLst/>
          </c:spPr>
          <c:marker>
            <c:symbol val="none"/>
          </c:marker>
          <c:cat>
            <c:numRef>
              <c:f>'Parks &amp; Rec'!$B$5:$L$5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'Parks &amp; Rec'!$B$12:$L$12</c:f>
              <c:numCache>
                <c:formatCode>_("$"* #,##0_);_("$"* \(#,##0\);_("$"* "-"??_);_(@_)</c:formatCode>
                <c:ptCount val="11"/>
                <c:pt idx="0">
                  <c:v>9618913</c:v>
                </c:pt>
                <c:pt idx="1">
                  <c:v>9502871</c:v>
                </c:pt>
                <c:pt idx="2">
                  <c:v>11320861</c:v>
                </c:pt>
                <c:pt idx="3">
                  <c:v>11820531</c:v>
                </c:pt>
                <c:pt idx="4">
                  <c:v>13519016</c:v>
                </c:pt>
                <c:pt idx="5">
                  <c:v>14363589</c:v>
                </c:pt>
                <c:pt idx="6">
                  <c:v>16313459</c:v>
                </c:pt>
                <c:pt idx="7">
                  <c:v>16444638</c:v>
                </c:pt>
                <c:pt idx="8">
                  <c:v>13672682</c:v>
                </c:pt>
                <c:pt idx="9">
                  <c:v>16827519</c:v>
                </c:pt>
                <c:pt idx="10">
                  <c:v>16078724</c:v>
                </c:pt>
              </c:numCache>
            </c:numRef>
          </c:val>
          <c:smooth val="0"/>
          <c:extLst>
            <c:ext xmlns:c16="http://schemas.microsoft.com/office/drawing/2014/chart" uri="{C3380CC4-5D6E-409C-BE32-E72D297353CC}">
              <c16:uniqueId val="{00000003-99DA-4B93-ABFC-24D83B2FCFAD}"/>
            </c:ext>
          </c:extLst>
        </c:ser>
        <c:dLbls>
          <c:showLegendKey val="0"/>
          <c:showVal val="0"/>
          <c:showCatName val="0"/>
          <c:showSerName val="0"/>
          <c:showPercent val="0"/>
          <c:showBubbleSize val="0"/>
        </c:dLbls>
        <c:smooth val="0"/>
        <c:axId val="596671024"/>
        <c:axId val="596672336"/>
        <c:extLst>
          <c:ext xmlns:c15="http://schemas.microsoft.com/office/drawing/2012/chart" uri="{02D57815-91ED-43cb-92C2-25804820EDAC}">
            <c15:filteredLineSeries>
              <c15:ser>
                <c:idx val="0"/>
                <c:order val="0"/>
                <c:tx>
                  <c:strRef>
                    <c:extLst>
                      <c:ext uri="{02D57815-91ED-43cb-92C2-25804820EDAC}">
                        <c15:formulaRef>
                          <c15:sqref>'Parks &amp; Rec'!$A$6</c15:sqref>
                        </c15:formulaRef>
                      </c:ext>
                    </c:extLst>
                    <c:strCache>
                      <c:ptCount val="1"/>
                      <c:pt idx="0">
                        <c:v>REVENUES</c:v>
                      </c:pt>
                    </c:strCache>
                  </c:strRef>
                </c:tx>
                <c:spPr>
                  <a:ln w="28575" cap="rnd">
                    <a:solidFill>
                      <a:schemeClr val="accent1"/>
                    </a:solidFill>
                    <a:round/>
                  </a:ln>
                  <a:effectLst/>
                </c:spPr>
                <c:marker>
                  <c:symbol val="none"/>
                </c:marker>
                <c:cat>
                  <c:numRef>
                    <c:extLst>
                      <c:ext uri="{02D57815-91ED-43cb-92C2-25804820EDAC}">
                        <c15:formulaRef>
                          <c15:sqref>'Parks &amp; Rec'!$B$5:$L$5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'P&amp;R'!#REF!</c15:sqref>
                        </c15:formulaRef>
                      </c:ext>
                    </c:extLst>
                    <c:numCache>
                      <c:formatCode>General</c:formatCode>
                      <c:ptCount val="1"/>
                      <c:pt idx="0">
                        <c:v>1</c:v>
                      </c:pt>
                    </c:numCache>
                  </c:numRef>
                </c:val>
                <c:smooth val="0"/>
                <c:extLst>
                  <c:ext xmlns:c16="http://schemas.microsoft.com/office/drawing/2014/chart" uri="{C3380CC4-5D6E-409C-BE32-E72D297353CC}">
                    <c16:uniqueId val="{00000004-99DA-4B93-ABFC-24D83B2FCFA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'Parks &amp; Rec'!$A$8</c15:sqref>
                        </c15:formulaRef>
                      </c:ext>
                    </c:extLst>
                    <c:strCache>
                      <c:ptCount val="1"/>
                      <c:pt idx="0">
                        <c:v>Internal Service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'Parks &amp; Rec'!$B$5:$L$5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'Parks &amp; Rec'!$B$8:$L$8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5-99DA-4B93-ABFC-24D83B2FCFAD}"/>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'Parks &amp; Rec'!$A$11</c15:sqref>
                        </c15:formulaRef>
                      </c:ext>
                    </c:extLst>
                    <c:strCache>
                      <c:ptCount val="1"/>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'Parks &amp; Rec'!$B$5:$L$5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'Parks &amp; Rec'!$B$11:$L$11</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6-99DA-4B93-ABFC-24D83B2FCFAD}"/>
                  </c:ext>
                </c:extLst>
              </c15:ser>
            </c15:filteredLineSeries>
          </c:ext>
        </c:extLst>
      </c:lineChart>
      <c:catAx>
        <c:axId val="596671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6672336"/>
        <c:crosses val="autoZero"/>
        <c:auto val="1"/>
        <c:lblAlgn val="ctr"/>
        <c:lblOffset val="100"/>
        <c:noMultiLvlLbl val="0"/>
      </c:catAx>
      <c:valAx>
        <c:axId val="59667233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6671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Parks &amp; Recreation -  Capital vs. O &amp; M</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'Parks &amp; Rec'!$A$134</c:f>
              <c:strCache>
                <c:ptCount val="1"/>
                <c:pt idx="0">
                  <c:v>Capital</c:v>
                </c:pt>
              </c:strCache>
            </c:strRef>
          </c:tx>
          <c:spPr>
            <a:solidFill>
              <a:schemeClr val="accent1"/>
            </a:solidFill>
            <a:ln>
              <a:noFill/>
            </a:ln>
            <a:effectLst/>
          </c:spPr>
          <c:invertIfNegative val="0"/>
          <c:cat>
            <c:numRef>
              <c:f>'Parks &amp; Rec'!$B$159:$L$159</c:f>
              <c:numCache>
                <c:formatCode>General</c:formatCode>
                <c:ptCount val="11"/>
                <c:pt idx="0">
                  <c:v>2008</c:v>
                </c:pt>
                <c:pt idx="1">
                  <c:v>2009</c:v>
                </c:pt>
                <c:pt idx="2">
                  <c:v>2010</c:v>
                </c:pt>
                <c:pt idx="3">
                  <c:v>2011</c:v>
                </c:pt>
                <c:pt idx="4">
                  <c:v>2012</c:v>
                </c:pt>
                <c:pt idx="5">
                  <c:v>2013</c:v>
                </c:pt>
                <c:pt idx="6">
                  <c:v>2014</c:v>
                </c:pt>
                <c:pt idx="7">
                  <c:v>2015</c:v>
                </c:pt>
                <c:pt idx="8">
                  <c:v>2016</c:v>
                </c:pt>
                <c:pt idx="10">
                  <c:v>2018</c:v>
                </c:pt>
              </c:numCache>
            </c:numRef>
          </c:cat>
          <c:val>
            <c:numRef>
              <c:f>'Parks &amp; Rec'!$B$134:$L$134</c:f>
              <c:numCache>
                <c:formatCode>_("$"* #,##0_);_("$"* \(#,##0\);_("$"* "-"??_);_(@_)</c:formatCode>
                <c:ptCount val="11"/>
                <c:pt idx="0">
                  <c:v>3375911</c:v>
                </c:pt>
                <c:pt idx="1">
                  <c:v>2332303</c:v>
                </c:pt>
                <c:pt idx="2">
                  <c:v>790795</c:v>
                </c:pt>
                <c:pt idx="3">
                  <c:v>1266138</c:v>
                </c:pt>
                <c:pt idx="4">
                  <c:v>1439875</c:v>
                </c:pt>
                <c:pt idx="5">
                  <c:v>5215278</c:v>
                </c:pt>
                <c:pt idx="6">
                  <c:v>4740307</c:v>
                </c:pt>
                <c:pt idx="7">
                  <c:v>7115764</c:v>
                </c:pt>
                <c:pt idx="8">
                  <c:v>6749998</c:v>
                </c:pt>
                <c:pt idx="10">
                  <c:v>9715623</c:v>
                </c:pt>
              </c:numCache>
            </c:numRef>
          </c:val>
          <c:extLst>
            <c:ext xmlns:c16="http://schemas.microsoft.com/office/drawing/2014/chart" uri="{C3380CC4-5D6E-409C-BE32-E72D297353CC}">
              <c16:uniqueId val="{00000000-AAFD-4CD7-9F0F-9108B8ADADE5}"/>
            </c:ext>
          </c:extLst>
        </c:ser>
        <c:ser>
          <c:idx val="1"/>
          <c:order val="1"/>
          <c:tx>
            <c:strRef>
              <c:f>'Parks &amp; Rec'!$A$135</c:f>
              <c:strCache>
                <c:ptCount val="1"/>
                <c:pt idx="0">
                  <c:v>O &amp; M</c:v>
                </c:pt>
              </c:strCache>
            </c:strRef>
          </c:tx>
          <c:spPr>
            <a:solidFill>
              <a:schemeClr val="accent2"/>
            </a:solidFill>
            <a:ln>
              <a:noFill/>
            </a:ln>
            <a:effectLst/>
          </c:spPr>
          <c:invertIfNegative val="0"/>
          <c:cat>
            <c:numRef>
              <c:f>'Parks &amp; Rec'!$B$159:$L$159</c:f>
              <c:numCache>
                <c:formatCode>General</c:formatCode>
                <c:ptCount val="11"/>
                <c:pt idx="0">
                  <c:v>2008</c:v>
                </c:pt>
                <c:pt idx="1">
                  <c:v>2009</c:v>
                </c:pt>
                <c:pt idx="2">
                  <c:v>2010</c:v>
                </c:pt>
                <c:pt idx="3">
                  <c:v>2011</c:v>
                </c:pt>
                <c:pt idx="4">
                  <c:v>2012</c:v>
                </c:pt>
                <c:pt idx="5">
                  <c:v>2013</c:v>
                </c:pt>
                <c:pt idx="6">
                  <c:v>2014</c:v>
                </c:pt>
                <c:pt idx="7">
                  <c:v>2015</c:v>
                </c:pt>
                <c:pt idx="8">
                  <c:v>2016</c:v>
                </c:pt>
                <c:pt idx="10">
                  <c:v>2018</c:v>
                </c:pt>
              </c:numCache>
            </c:numRef>
          </c:cat>
          <c:val>
            <c:numRef>
              <c:f>'Parks &amp; Rec'!$B$135:$L$135</c:f>
              <c:numCache>
                <c:formatCode>_("$"* #,##0_);_("$"* \(#,##0\);_("$"* "-"??_);_(@_)</c:formatCode>
                <c:ptCount val="11"/>
                <c:pt idx="0">
                  <c:v>11289520</c:v>
                </c:pt>
                <c:pt idx="1">
                  <c:v>16239720</c:v>
                </c:pt>
                <c:pt idx="2">
                  <c:v>11442943</c:v>
                </c:pt>
                <c:pt idx="3">
                  <c:v>12081084</c:v>
                </c:pt>
                <c:pt idx="4">
                  <c:v>16740194</c:v>
                </c:pt>
                <c:pt idx="5">
                  <c:v>19305485</c:v>
                </c:pt>
                <c:pt idx="6">
                  <c:v>17719969</c:v>
                </c:pt>
                <c:pt idx="7">
                  <c:v>16191201</c:v>
                </c:pt>
                <c:pt idx="8">
                  <c:v>16360409</c:v>
                </c:pt>
                <c:pt idx="10">
                  <c:v>18371894</c:v>
                </c:pt>
              </c:numCache>
            </c:numRef>
          </c:val>
          <c:extLst>
            <c:ext xmlns:c16="http://schemas.microsoft.com/office/drawing/2014/chart" uri="{C3380CC4-5D6E-409C-BE32-E72D297353CC}">
              <c16:uniqueId val="{00000001-AAFD-4CD7-9F0F-9108B8ADADE5}"/>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544982488"/>
        <c:axId val="544978880"/>
      </c:barChart>
      <c:catAx>
        <c:axId val="5449824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4978880"/>
        <c:crosses val="autoZero"/>
        <c:auto val="1"/>
        <c:lblAlgn val="ctr"/>
        <c:lblOffset val="100"/>
        <c:noMultiLvlLbl val="0"/>
      </c:catAx>
      <c:valAx>
        <c:axId val="54497888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4982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Parks &amp; Recreation - Total Expenditures</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'Parks &amp; Rec'!$A$16</c:f>
              <c:strCache>
                <c:ptCount val="1"/>
                <c:pt idx="0">
                  <c:v>General Fund</c:v>
                </c:pt>
              </c:strCache>
            </c:strRef>
          </c:tx>
          <c:spPr>
            <a:ln w="28575" cap="rnd">
              <a:solidFill>
                <a:schemeClr val="tx1"/>
              </a:solidFill>
              <a:round/>
            </a:ln>
            <a:effectLst/>
          </c:spPr>
          <c:marker>
            <c:symbol val="none"/>
          </c:marker>
          <c:cat>
            <c:numRef>
              <c:f>'Parks &amp; Rec'!$B$5:$L$5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'Parks &amp; Rec'!$B$16:$L$16</c:f>
              <c:numCache>
                <c:formatCode>_("$"* #,##0_);_("$"* \(#,##0\);_("$"* "-"??_);_(@_)</c:formatCode>
                <c:ptCount val="11"/>
                <c:pt idx="0">
                  <c:v>6924090</c:v>
                </c:pt>
                <c:pt idx="1">
                  <c:v>7551789</c:v>
                </c:pt>
                <c:pt idx="2">
                  <c:v>7789038</c:v>
                </c:pt>
                <c:pt idx="3">
                  <c:v>8209400</c:v>
                </c:pt>
                <c:pt idx="4">
                  <c:v>8639517</c:v>
                </c:pt>
                <c:pt idx="5">
                  <c:v>11449771</c:v>
                </c:pt>
                <c:pt idx="6">
                  <c:v>10457393</c:v>
                </c:pt>
                <c:pt idx="7">
                  <c:v>10372472</c:v>
                </c:pt>
                <c:pt idx="8">
                  <c:v>11803103</c:v>
                </c:pt>
                <c:pt idx="9">
                  <c:v>13214389</c:v>
                </c:pt>
                <c:pt idx="10">
                  <c:v>11891350</c:v>
                </c:pt>
              </c:numCache>
            </c:numRef>
          </c:val>
          <c:smooth val="0"/>
          <c:extLst>
            <c:ext xmlns:c16="http://schemas.microsoft.com/office/drawing/2014/chart" uri="{C3380CC4-5D6E-409C-BE32-E72D297353CC}">
              <c16:uniqueId val="{00000000-30A2-40EB-80D3-DE28A1584445}"/>
            </c:ext>
          </c:extLst>
        </c:ser>
        <c:ser>
          <c:idx val="2"/>
          <c:order val="2"/>
          <c:tx>
            <c:strRef>
              <c:f>'Parks &amp; Rec'!$A$18</c:f>
              <c:strCache>
                <c:ptCount val="1"/>
                <c:pt idx="0">
                  <c:v>Enterprise Funds</c:v>
                </c:pt>
              </c:strCache>
            </c:strRef>
          </c:tx>
          <c:spPr>
            <a:ln w="28575" cap="rnd">
              <a:solidFill>
                <a:srgbClr val="6666FF"/>
              </a:solidFill>
              <a:round/>
            </a:ln>
            <a:effectLst/>
          </c:spPr>
          <c:marker>
            <c:symbol val="none"/>
          </c:marker>
          <c:cat>
            <c:numRef>
              <c:f>'Parks &amp; Rec'!$B$5:$L$5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'Parks &amp; Rec'!$B$18:$L$18</c:f>
              <c:numCache>
                <c:formatCode>_("$"* #,##0_);_("$"* \(#,##0\);_("$"* "-"??_);_(@_)</c:formatCode>
                <c:ptCount val="11"/>
                <c:pt idx="0">
                  <c:v>5241595</c:v>
                </c:pt>
                <c:pt idx="1">
                  <c:v>3140781</c:v>
                </c:pt>
                <c:pt idx="2">
                  <c:v>2833380</c:v>
                </c:pt>
                <c:pt idx="3">
                  <c:v>3287046</c:v>
                </c:pt>
                <c:pt idx="4">
                  <c:v>2806142</c:v>
                </c:pt>
                <c:pt idx="5">
                  <c:v>3849000</c:v>
                </c:pt>
                <c:pt idx="6">
                  <c:v>3764678</c:v>
                </c:pt>
                <c:pt idx="7">
                  <c:v>4584652</c:v>
                </c:pt>
                <c:pt idx="8">
                  <c:v>4185637</c:v>
                </c:pt>
                <c:pt idx="9">
                  <c:v>4540987</c:v>
                </c:pt>
                <c:pt idx="10">
                  <c:v>4002992</c:v>
                </c:pt>
              </c:numCache>
            </c:numRef>
          </c:val>
          <c:smooth val="0"/>
          <c:extLst>
            <c:ext xmlns:c16="http://schemas.microsoft.com/office/drawing/2014/chart" uri="{C3380CC4-5D6E-409C-BE32-E72D297353CC}">
              <c16:uniqueId val="{00000002-30A2-40EB-80D3-DE28A1584445}"/>
            </c:ext>
          </c:extLst>
        </c:ser>
        <c:ser>
          <c:idx val="3"/>
          <c:order val="3"/>
          <c:tx>
            <c:strRef>
              <c:f>'Parks &amp; Rec'!$A$19</c:f>
              <c:strCache>
                <c:ptCount val="1"/>
                <c:pt idx="0">
                  <c:v>Special Revenue Funds</c:v>
                </c:pt>
              </c:strCache>
            </c:strRef>
          </c:tx>
          <c:spPr>
            <a:ln w="28575" cap="rnd">
              <a:solidFill>
                <a:srgbClr val="996633"/>
              </a:solidFill>
              <a:round/>
            </a:ln>
            <a:effectLst/>
          </c:spPr>
          <c:marker>
            <c:symbol val="none"/>
          </c:marker>
          <c:cat>
            <c:numRef>
              <c:f>'Parks &amp; Rec'!$B$5:$L$5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'Parks &amp; Rec'!$B$19:$L$19</c:f>
              <c:numCache>
                <c:formatCode>_("$"* #,##0_);_("$"* \(#,##0\);_("$"* "-"??_);_(@_)</c:formatCode>
                <c:ptCount val="11"/>
                <c:pt idx="0">
                  <c:v>2499746</c:v>
                </c:pt>
                <c:pt idx="1">
                  <c:v>7879453</c:v>
                </c:pt>
                <c:pt idx="2">
                  <c:v>1611320</c:v>
                </c:pt>
                <c:pt idx="3">
                  <c:v>1850776</c:v>
                </c:pt>
                <c:pt idx="4">
                  <c:v>6734410</c:v>
                </c:pt>
                <c:pt idx="5">
                  <c:v>9221992</c:v>
                </c:pt>
                <c:pt idx="6">
                  <c:v>8238205</c:v>
                </c:pt>
                <c:pt idx="7">
                  <c:v>8349841</c:v>
                </c:pt>
                <c:pt idx="8">
                  <c:v>7121667</c:v>
                </c:pt>
                <c:pt idx="9">
                  <c:v>14925815</c:v>
                </c:pt>
                <c:pt idx="10">
                  <c:v>12193175</c:v>
                </c:pt>
              </c:numCache>
            </c:numRef>
          </c:val>
          <c:smooth val="0"/>
          <c:extLst>
            <c:ext xmlns:c16="http://schemas.microsoft.com/office/drawing/2014/chart" uri="{C3380CC4-5D6E-409C-BE32-E72D297353CC}">
              <c16:uniqueId val="{00000003-30A2-40EB-80D3-DE28A1584445}"/>
            </c:ext>
          </c:extLst>
        </c:ser>
        <c:ser>
          <c:idx val="5"/>
          <c:order val="5"/>
          <c:tx>
            <c:strRef>
              <c:f>'Parks &amp; Rec'!$A$21</c:f>
              <c:strCache>
                <c:ptCount val="1"/>
                <c:pt idx="0">
                  <c:v>Total City Budget Expenditures</c:v>
                </c:pt>
              </c:strCache>
            </c:strRef>
          </c:tx>
          <c:spPr>
            <a:ln w="28575" cap="rnd">
              <a:solidFill>
                <a:srgbClr val="FF0000"/>
              </a:solidFill>
              <a:round/>
            </a:ln>
            <a:effectLst/>
          </c:spPr>
          <c:marker>
            <c:symbol val="none"/>
          </c:marker>
          <c:cat>
            <c:numRef>
              <c:f>'Parks &amp; Rec'!$B$5:$L$5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'Parks &amp; Rec'!$B$21:$L$21</c:f>
              <c:numCache>
                <c:formatCode>_("$"* #,##0_);_("$"* \(#,##0\);_("$"* "-"??_);_(@_)</c:formatCode>
                <c:ptCount val="11"/>
                <c:pt idx="0">
                  <c:v>14665431</c:v>
                </c:pt>
                <c:pt idx="1">
                  <c:v>18572023</c:v>
                </c:pt>
                <c:pt idx="2">
                  <c:v>12233738</c:v>
                </c:pt>
                <c:pt idx="3">
                  <c:v>13347222</c:v>
                </c:pt>
                <c:pt idx="4">
                  <c:v>18180069</c:v>
                </c:pt>
                <c:pt idx="5">
                  <c:v>24520763</c:v>
                </c:pt>
                <c:pt idx="6">
                  <c:v>22460276</c:v>
                </c:pt>
                <c:pt idx="7">
                  <c:v>23306965</c:v>
                </c:pt>
                <c:pt idx="8">
                  <c:v>23110407</c:v>
                </c:pt>
                <c:pt idx="9">
                  <c:v>32681191</c:v>
                </c:pt>
                <c:pt idx="10">
                  <c:v>28087517</c:v>
                </c:pt>
              </c:numCache>
            </c:numRef>
          </c:val>
          <c:smooth val="0"/>
          <c:extLst>
            <c:ext xmlns:c16="http://schemas.microsoft.com/office/drawing/2014/chart" uri="{C3380CC4-5D6E-409C-BE32-E72D297353CC}">
              <c16:uniqueId val="{00000005-30A2-40EB-80D3-DE28A1584445}"/>
            </c:ext>
          </c:extLst>
        </c:ser>
        <c:dLbls>
          <c:showLegendKey val="0"/>
          <c:showVal val="0"/>
          <c:showCatName val="0"/>
          <c:showSerName val="0"/>
          <c:showPercent val="0"/>
          <c:showBubbleSize val="0"/>
        </c:dLbls>
        <c:smooth val="0"/>
        <c:axId val="754049744"/>
        <c:axId val="754054008"/>
        <c:extLst>
          <c:ext xmlns:c15="http://schemas.microsoft.com/office/drawing/2012/chart" uri="{02D57815-91ED-43cb-92C2-25804820EDAC}">
            <c15:filteredLineSeries>
              <c15:ser>
                <c:idx val="1"/>
                <c:order val="1"/>
                <c:tx>
                  <c:strRef>
                    <c:extLst>
                      <c:ext uri="{02D57815-91ED-43cb-92C2-25804820EDAC}">
                        <c15:formulaRef>
                          <c15:sqref>'Parks &amp; Rec'!$A$17</c15:sqref>
                        </c15:formulaRef>
                      </c:ext>
                    </c:extLst>
                    <c:strCache>
                      <c:ptCount val="1"/>
                      <c:pt idx="0">
                        <c:v>Internal Service Funds</c:v>
                      </c:pt>
                    </c:strCache>
                  </c:strRef>
                </c:tx>
                <c:spPr>
                  <a:ln w="28575" cap="rnd">
                    <a:solidFill>
                      <a:schemeClr val="accent2"/>
                    </a:solidFill>
                    <a:round/>
                  </a:ln>
                  <a:effectLst/>
                </c:spPr>
                <c:marker>
                  <c:symbol val="none"/>
                </c:marker>
                <c:cat>
                  <c:numRef>
                    <c:extLst>
                      <c:ext uri="{02D57815-91ED-43cb-92C2-25804820EDAC}">
                        <c15:formulaRef>
                          <c15:sqref>'Parks &amp; Rec'!$B$5:$L$5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'Parks &amp; Rec'!$B$17:$L$17</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1-30A2-40EB-80D3-DE28A1584445}"/>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'Parks &amp; Rec'!$A$20</c15:sqref>
                        </c15:formulaRef>
                      </c:ext>
                    </c:extLst>
                    <c:strCache>
                      <c:ptCount val="1"/>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'Parks &amp; Rec'!$B$5:$L$5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'Parks &amp; Rec'!$B$20:$L$20</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4-30A2-40EB-80D3-DE28A1584445}"/>
                  </c:ext>
                </c:extLst>
              </c15:ser>
            </c15:filteredLineSeries>
          </c:ext>
        </c:extLst>
      </c:lineChart>
      <c:catAx>
        <c:axId val="75404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4054008"/>
        <c:crosses val="autoZero"/>
        <c:auto val="1"/>
        <c:lblAlgn val="ctr"/>
        <c:lblOffset val="100"/>
        <c:noMultiLvlLbl val="0"/>
      </c:catAx>
      <c:valAx>
        <c:axId val="75405400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4049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Parks &amp;</a:t>
            </a:r>
            <a:r>
              <a:rPr lang="en-US" sz="1800" b="1" baseline="0"/>
              <a:t> Recreation - </a:t>
            </a:r>
            <a:r>
              <a:rPr lang="en-US" sz="1800" b="1"/>
              <a:t>Expenditures</a:t>
            </a:r>
            <a:r>
              <a:rPr lang="en-US" sz="1800" b="1" baseline="0"/>
              <a:t> per Capita</a:t>
            </a:r>
            <a:endParaRPr lang="en-US" sz="1800" b="1"/>
          </a:p>
        </c:rich>
      </c:tx>
      <c:overlay val="0"/>
      <c:spPr>
        <a:noFill/>
        <a:ln>
          <a:noFill/>
        </a:ln>
        <a:effectLst/>
      </c:spPr>
    </c:title>
    <c:autoTitleDeleted val="0"/>
    <c:plotArea>
      <c:layout/>
      <c:lineChart>
        <c:grouping val="standard"/>
        <c:varyColors val="0"/>
        <c:ser>
          <c:idx val="6"/>
          <c:order val="0"/>
          <c:tx>
            <c:strRef>
              <c:f>'Parks &amp; Rec'!$A$25</c:f>
              <c:strCache>
                <c:ptCount val="1"/>
                <c:pt idx="0">
                  <c:v>Expenditures per Capita</c:v>
                </c:pt>
              </c:strCache>
            </c:strRef>
          </c:tx>
          <c:spPr>
            <a:ln>
              <a:solidFill>
                <a:srgbClr val="FF0000"/>
              </a:solidFill>
            </a:ln>
          </c:spPr>
          <c:marker>
            <c:symbol val="none"/>
          </c:marker>
          <c:cat>
            <c:numRef>
              <c:f>'Parks &amp; Rec'!$B$24:$L$24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'Parks &amp; Rec'!$B$25:$L$25</c:f>
              <c:numCache>
                <c:formatCode>_("$"* #,##0.00_);_("$"* \(#,##0.00\);_("$"* "-"??_);_(@_)</c:formatCode>
                <c:ptCount val="11"/>
                <c:pt idx="0">
                  <c:v>109.62429942053767</c:v>
                </c:pt>
                <c:pt idx="1">
                  <c:v>111.47868382982493</c:v>
                </c:pt>
                <c:pt idx="2">
                  <c:v>113.27697386599962</c:v>
                </c:pt>
                <c:pt idx="3">
                  <c:v>118.39171630060137</c:v>
                </c:pt>
                <c:pt idx="4">
                  <c:v>122.77272985647294</c:v>
                </c:pt>
                <c:pt idx="5">
                  <c:v>161.20307770284541</c:v>
                </c:pt>
                <c:pt idx="6">
                  <c:v>142.43248433669299</c:v>
                </c:pt>
                <c:pt idx="7">
                  <c:v>139.44305975667137</c:v>
                </c:pt>
                <c:pt idx="8">
                  <c:v>155.63163238396623</c:v>
                </c:pt>
                <c:pt idx="9">
                  <c:v>171.03348347182316</c:v>
                </c:pt>
                <c:pt idx="10">
                  <c:v>150.56153456571283</c:v>
                </c:pt>
              </c:numCache>
            </c:numRef>
          </c:val>
          <c:smooth val="0"/>
          <c:extLst>
            <c:ext xmlns:c16="http://schemas.microsoft.com/office/drawing/2014/chart" uri="{C3380CC4-5D6E-409C-BE32-E72D297353CC}">
              <c16:uniqueId val="{0000000C-7530-4BDC-AB47-49E0A4243AD3}"/>
            </c:ext>
          </c:extLst>
        </c:ser>
        <c:dLbls>
          <c:showLegendKey val="0"/>
          <c:showVal val="0"/>
          <c:showCatName val="0"/>
          <c:showSerName val="0"/>
          <c:showPercent val="0"/>
          <c:showBubbleSize val="0"/>
        </c:dLbls>
        <c:smooth val="0"/>
        <c:axId val="754049744"/>
        <c:axId val="754054008"/>
        <c:extLst/>
      </c:lineChart>
      <c:catAx>
        <c:axId val="75404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4054008"/>
        <c:crosses val="autoZero"/>
        <c:auto val="1"/>
        <c:lblAlgn val="ctr"/>
        <c:lblOffset val="100"/>
        <c:noMultiLvlLbl val="0"/>
      </c:catAx>
      <c:valAx>
        <c:axId val="75405400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4049744"/>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Parks &amp; Recreation</a:t>
            </a:r>
            <a:r>
              <a:rPr lang="en-US" sz="1800" b="1" baseline="0"/>
              <a:t> - </a:t>
            </a:r>
            <a:r>
              <a:rPr lang="en-US" sz="1800" b="1"/>
              <a:t>Expenditures</a:t>
            </a:r>
            <a:r>
              <a:rPr lang="en-US" sz="1800" b="1" baseline="0"/>
              <a:t> per FTE</a:t>
            </a:r>
            <a:endParaRPr lang="en-US" sz="1800" b="1"/>
          </a:p>
        </c:rich>
      </c:tx>
      <c:overlay val="0"/>
      <c:spPr>
        <a:noFill/>
        <a:ln>
          <a:noFill/>
        </a:ln>
        <a:effectLst/>
      </c:spPr>
    </c:title>
    <c:autoTitleDeleted val="0"/>
    <c:plotArea>
      <c:layout/>
      <c:lineChart>
        <c:grouping val="standard"/>
        <c:varyColors val="0"/>
        <c:ser>
          <c:idx val="0"/>
          <c:order val="0"/>
          <c:tx>
            <c:strRef>
              <c:f>'Parks &amp; Rec'!$A$28</c:f>
              <c:strCache>
                <c:ptCount val="1"/>
                <c:pt idx="0">
                  <c:v>Expenditures per FTE</c:v>
                </c:pt>
              </c:strCache>
            </c:strRef>
          </c:tx>
          <c:spPr>
            <a:ln>
              <a:solidFill>
                <a:srgbClr val="FF0000"/>
              </a:solidFill>
            </a:ln>
          </c:spPr>
          <c:marker>
            <c:symbol val="none"/>
          </c:marker>
          <c:cat>
            <c:numRef>
              <c:f>'Parks &amp; Rec'!$B$24:$L$24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'Parks &amp; Rec'!$B$28:$L$28</c:f>
              <c:numCache>
                <c:formatCode>_("$"* #,##0_);_("$"* \(#,##0\);_("$"* "-"??_);_(@_)</c:formatCode>
                <c:ptCount val="11"/>
                <c:pt idx="0">
                  <c:v>111642.85714285714</c:v>
                </c:pt>
                <c:pt idx="1">
                  <c:v>122753.39726918076</c:v>
                </c:pt>
                <c:pt idx="2">
                  <c:v>126465.95226497807</c:v>
                </c:pt>
                <c:pt idx="3">
                  <c:v>134956.43596909419</c:v>
                </c:pt>
                <c:pt idx="4">
                  <c:v>142027.23984875885</c:v>
                </c:pt>
                <c:pt idx="5">
                  <c:v>187424.63578327058</c:v>
                </c:pt>
                <c:pt idx="6">
                  <c:v>169350.4939271255</c:v>
                </c:pt>
                <c:pt idx="7">
                  <c:v>167568.20678513733</c:v>
                </c:pt>
                <c:pt idx="8">
                  <c:v>189608.08032128515</c:v>
                </c:pt>
                <c:pt idx="9">
                  <c:v>208923.1462450593</c:v>
                </c:pt>
                <c:pt idx="10">
                  <c:v>188751.58730158731</c:v>
                </c:pt>
              </c:numCache>
            </c:numRef>
          </c:val>
          <c:smooth val="0"/>
          <c:extLst>
            <c:ext xmlns:c16="http://schemas.microsoft.com/office/drawing/2014/chart" uri="{C3380CC4-5D6E-409C-BE32-E72D297353CC}">
              <c16:uniqueId val="{00000002-8E45-473E-8C8B-B38F24F2E36C}"/>
            </c:ext>
          </c:extLst>
        </c:ser>
        <c:dLbls>
          <c:showLegendKey val="0"/>
          <c:showVal val="0"/>
          <c:showCatName val="0"/>
          <c:showSerName val="0"/>
          <c:showPercent val="0"/>
          <c:showBubbleSize val="0"/>
        </c:dLbls>
        <c:smooth val="0"/>
        <c:axId val="754049744"/>
        <c:axId val="754054008"/>
        <c:extLst/>
      </c:lineChart>
      <c:catAx>
        <c:axId val="75404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4054008"/>
        <c:crosses val="autoZero"/>
        <c:auto val="1"/>
        <c:lblAlgn val="ctr"/>
        <c:lblOffset val="100"/>
        <c:noMultiLvlLbl val="0"/>
      </c:catAx>
      <c:valAx>
        <c:axId val="75405400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4049744"/>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Police - Total Revenues</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Police!$A$7</c:f>
              <c:strCache>
                <c:ptCount val="1"/>
                <c:pt idx="0">
                  <c:v>General Fund</c:v>
                </c:pt>
              </c:strCache>
              <c:extLst xmlns:c15="http://schemas.microsoft.com/office/drawing/2012/chart"/>
            </c:strRef>
          </c:tx>
          <c:spPr>
            <a:ln w="28575" cap="rnd">
              <a:solidFill>
                <a:sysClr val="windowText" lastClr="000000"/>
              </a:solidFill>
              <a:round/>
            </a:ln>
            <a:effectLst/>
          </c:spPr>
          <c:marker>
            <c:symbol val="none"/>
          </c:marker>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extLst xmlns:c15="http://schemas.microsoft.com/office/drawing/2012/chart"/>
            </c:numRef>
          </c:cat>
          <c:val>
            <c:numRef>
              <c:f>Police!$B$7:$L$7</c:f>
              <c:numCache>
                <c:formatCode>_("$"* #,##0_);_("$"* \(#,##0\);_("$"* "-"??_);_(@_)</c:formatCode>
                <c:ptCount val="11"/>
                <c:pt idx="0">
                  <c:v>649434</c:v>
                </c:pt>
                <c:pt idx="1">
                  <c:v>1380129</c:v>
                </c:pt>
                <c:pt idx="2">
                  <c:v>1312408</c:v>
                </c:pt>
                <c:pt idx="3">
                  <c:v>1208766</c:v>
                </c:pt>
                <c:pt idx="4">
                  <c:v>1216858</c:v>
                </c:pt>
                <c:pt idx="5">
                  <c:v>1492271</c:v>
                </c:pt>
                <c:pt idx="6">
                  <c:v>1514562</c:v>
                </c:pt>
                <c:pt idx="7">
                  <c:v>825398</c:v>
                </c:pt>
                <c:pt idx="8">
                  <c:v>1065288</c:v>
                </c:pt>
                <c:pt idx="9">
                  <c:v>946063</c:v>
                </c:pt>
                <c:pt idx="10">
                  <c:v>777468</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C01F-4D9E-B1D8-923AB1F7DB3A}"/>
            </c:ext>
          </c:extLst>
        </c:ser>
        <c:ser>
          <c:idx val="4"/>
          <c:order val="4"/>
          <c:tx>
            <c:strRef>
              <c:f>Police!$A$10</c:f>
              <c:strCache>
                <c:ptCount val="1"/>
                <c:pt idx="0">
                  <c:v>Special Revenue Funds</c:v>
                </c:pt>
              </c:strCache>
              <c:extLst xmlns:c15="http://schemas.microsoft.com/office/drawing/2012/chart"/>
            </c:strRef>
          </c:tx>
          <c:spPr>
            <a:ln w="28575" cap="rnd">
              <a:solidFill>
                <a:srgbClr val="996633"/>
              </a:solidFill>
              <a:round/>
            </a:ln>
            <a:effectLst/>
          </c:spPr>
          <c:marker>
            <c:symbol val="none"/>
          </c:marker>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extLst xmlns:c15="http://schemas.microsoft.com/office/drawing/2012/chart"/>
            </c:numRef>
          </c:cat>
          <c:val>
            <c:numRef>
              <c:f>Police!$B$10:$L$10</c:f>
              <c:numCache>
                <c:formatCode>_("$"* #,##0_);_("$"* \(#,##0\);_("$"* "-"??_);_(@_)</c:formatCode>
                <c:ptCount val="11"/>
                <c:pt idx="0">
                  <c:v>414766</c:v>
                </c:pt>
                <c:pt idx="1">
                  <c:v>435503</c:v>
                </c:pt>
                <c:pt idx="2">
                  <c:v>425412</c:v>
                </c:pt>
                <c:pt idx="3">
                  <c:v>420538</c:v>
                </c:pt>
                <c:pt idx="4">
                  <c:v>348043</c:v>
                </c:pt>
                <c:pt idx="5">
                  <c:v>533794</c:v>
                </c:pt>
                <c:pt idx="6">
                  <c:v>711085</c:v>
                </c:pt>
                <c:pt idx="7">
                  <c:v>687309</c:v>
                </c:pt>
                <c:pt idx="8">
                  <c:v>443426</c:v>
                </c:pt>
                <c:pt idx="9">
                  <c:v>687879</c:v>
                </c:pt>
                <c:pt idx="10">
                  <c:v>551052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5-C01F-4D9E-B1D8-923AB1F7DB3A}"/>
            </c:ext>
          </c:extLst>
        </c:ser>
        <c:ser>
          <c:idx val="6"/>
          <c:order val="6"/>
          <c:tx>
            <c:strRef>
              <c:f>Police!$A$12</c:f>
              <c:strCache>
                <c:ptCount val="1"/>
                <c:pt idx="0">
                  <c:v>Total City Budget Revenues</c:v>
                </c:pt>
              </c:strCache>
            </c:strRef>
          </c:tx>
          <c:spPr>
            <a:ln w="28575" cap="rnd">
              <a:solidFill>
                <a:srgbClr val="008000"/>
              </a:solidFill>
              <a:round/>
            </a:ln>
            <a:effectLst/>
          </c:spPr>
          <c:marker>
            <c:symbol val="none"/>
          </c:marker>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Police!$B$12:$L$12</c:f>
              <c:numCache>
                <c:formatCode>_("$"* #,##0_);_("$"* \(#,##0\);_("$"* "-"??_);_(@_)</c:formatCode>
                <c:ptCount val="11"/>
                <c:pt idx="0">
                  <c:v>1064200</c:v>
                </c:pt>
                <c:pt idx="1">
                  <c:v>1815632</c:v>
                </c:pt>
                <c:pt idx="2">
                  <c:v>1737820</c:v>
                </c:pt>
                <c:pt idx="3">
                  <c:v>1629304</c:v>
                </c:pt>
                <c:pt idx="4">
                  <c:v>1564901</c:v>
                </c:pt>
                <c:pt idx="5">
                  <c:v>2026065</c:v>
                </c:pt>
                <c:pt idx="6">
                  <c:v>2225647</c:v>
                </c:pt>
                <c:pt idx="7">
                  <c:v>1512707</c:v>
                </c:pt>
                <c:pt idx="8">
                  <c:v>1508714</c:v>
                </c:pt>
                <c:pt idx="9">
                  <c:v>1633942</c:v>
                </c:pt>
                <c:pt idx="10">
                  <c:v>1328520</c:v>
                </c:pt>
              </c:numCache>
            </c:numRef>
          </c:val>
          <c:smooth val="0"/>
          <c:extLst>
            <c:ext xmlns:c16="http://schemas.microsoft.com/office/drawing/2014/chart" uri="{C3380CC4-5D6E-409C-BE32-E72D297353CC}">
              <c16:uniqueId val="{00000000-C01F-4D9E-B1D8-923AB1F7DB3A}"/>
            </c:ext>
          </c:extLst>
        </c:ser>
        <c:dLbls>
          <c:showLegendKey val="0"/>
          <c:showVal val="0"/>
          <c:showCatName val="0"/>
          <c:showSerName val="0"/>
          <c:showPercent val="0"/>
          <c:showBubbleSize val="0"/>
        </c:dLbls>
        <c:smooth val="0"/>
        <c:axId val="596590008"/>
        <c:axId val="596594600"/>
        <c:extLst>
          <c:ext xmlns:c15="http://schemas.microsoft.com/office/drawing/2012/chart" uri="{02D57815-91ED-43cb-92C2-25804820EDAC}">
            <c15:filteredLineSeries>
              <c15:ser>
                <c:idx val="0"/>
                <c:order val="0"/>
                <c:tx>
                  <c:strRef>
                    <c:extLst>
                      <c:ext uri="{02D57815-91ED-43cb-92C2-25804820EDAC}">
                        <c15:formulaRef>
                          <c15:sqref>Police!$A$5</c15:sqref>
                        </c15:formulaRef>
                      </c:ext>
                    </c:extLst>
                    <c:strCache>
                      <c:ptCount val="1"/>
                    </c:strCache>
                  </c:strRef>
                </c:tx>
                <c:spPr>
                  <a:ln w="28575" cap="rnd">
                    <a:solidFill>
                      <a:schemeClr val="accent1"/>
                    </a:solidFill>
                    <a:round/>
                  </a:ln>
                  <a:effectLst/>
                </c:spPr>
                <c:marker>
                  <c:symbol val="none"/>
                </c:marker>
                <c:cat>
                  <c:numRef>
                    <c:extLst>
                      <c:ext uri="{02D57815-91ED-43cb-92C2-25804820EDAC}">
                        <c15:formulaRef>
                          <c15:sqref>Police!$B$5:$L$5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POL!#REF!</c15:sqref>
                        </c15:formulaRef>
                      </c:ext>
                    </c:extLst>
                    <c:numCache>
                      <c:formatCode>General</c:formatCode>
                      <c:ptCount val="1"/>
                      <c:pt idx="0">
                        <c:v>1</c:v>
                      </c:pt>
                    </c:numCache>
                  </c:numRef>
                </c:val>
                <c:smooth val="0"/>
                <c:extLst>
                  <c:ext xmlns:c16="http://schemas.microsoft.com/office/drawing/2014/chart" uri="{C3380CC4-5D6E-409C-BE32-E72D297353CC}">
                    <c16:uniqueId val="{00000001-C01F-4D9E-B1D8-923AB1F7DB3A}"/>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Police!$A$8</c15:sqref>
                        </c15:formulaRef>
                      </c:ext>
                    </c:extLst>
                    <c:strCache>
                      <c:ptCount val="1"/>
                      <c:pt idx="0">
                        <c:v>Internal Service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Police!$B$5:$L$5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Police!$B$8:$L$8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3-C01F-4D9E-B1D8-923AB1F7DB3A}"/>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Police!$A$9</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Police!$B$5:$L$5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Police!$B$9:$L$9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4-C01F-4D9E-B1D8-923AB1F7DB3A}"/>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Police!$A$11</c15:sqref>
                        </c15:formulaRef>
                      </c:ext>
                    </c:extLst>
                    <c:strCache>
                      <c:ptCount val="1"/>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Police!$B$5:$L$5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Police!$B$11:$L$11</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6-C01F-4D9E-B1D8-923AB1F7DB3A}"/>
                  </c:ext>
                </c:extLst>
              </c15:ser>
            </c15:filteredLineSeries>
          </c:ext>
        </c:extLst>
      </c:lineChart>
      <c:catAx>
        <c:axId val="596590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6594600"/>
        <c:crosses val="autoZero"/>
        <c:auto val="1"/>
        <c:lblAlgn val="ctr"/>
        <c:lblOffset val="100"/>
        <c:noMultiLvlLbl val="0"/>
      </c:catAx>
      <c:valAx>
        <c:axId val="59659460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6590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Police - Total</a:t>
            </a:r>
            <a:r>
              <a:rPr lang="en-US" sz="1800" b="1" baseline="0"/>
              <a:t> Expenditures</a:t>
            </a:r>
            <a:endParaRPr lang="en-US"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5"/>
          <c:order val="5"/>
          <c:tx>
            <c:strRef>
              <c:f>Police!$A$21</c:f>
              <c:strCache>
                <c:ptCount val="1"/>
                <c:pt idx="0">
                  <c:v>Total City Budget Expenditures</c:v>
                </c:pt>
              </c:strCache>
            </c:strRef>
          </c:tx>
          <c:spPr>
            <a:ln w="28575" cap="rnd">
              <a:solidFill>
                <a:srgbClr val="FF0000"/>
              </a:solidFill>
              <a:round/>
            </a:ln>
            <a:effectLst/>
          </c:spPr>
          <c:marker>
            <c:symbol val="none"/>
          </c:marker>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Police!$B$21:$L$21</c:f>
              <c:numCache>
                <c:formatCode>_("$"* #,##0_);_("$"* \(#,##0\);_("$"* "-"??_);_(@_)</c:formatCode>
                <c:ptCount val="11"/>
                <c:pt idx="0">
                  <c:v>15336941</c:v>
                </c:pt>
                <c:pt idx="1">
                  <c:v>15769246</c:v>
                </c:pt>
                <c:pt idx="2">
                  <c:v>16547158</c:v>
                </c:pt>
                <c:pt idx="3">
                  <c:v>16261900</c:v>
                </c:pt>
                <c:pt idx="4">
                  <c:v>17279083</c:v>
                </c:pt>
                <c:pt idx="5">
                  <c:v>18615593</c:v>
                </c:pt>
                <c:pt idx="6">
                  <c:v>19916383</c:v>
                </c:pt>
                <c:pt idx="7">
                  <c:v>21274268</c:v>
                </c:pt>
                <c:pt idx="8">
                  <c:v>24658271</c:v>
                </c:pt>
                <c:pt idx="9">
                  <c:v>33570313</c:v>
                </c:pt>
                <c:pt idx="10">
                  <c:v>24457482</c:v>
                </c:pt>
              </c:numCache>
            </c:numRef>
          </c:val>
          <c:smooth val="0"/>
          <c:extLst>
            <c:ext xmlns:c16="http://schemas.microsoft.com/office/drawing/2014/chart" uri="{C3380CC4-5D6E-409C-BE32-E72D297353CC}">
              <c16:uniqueId val="{00000005-E102-4A3C-BD73-1B3A53050849}"/>
            </c:ext>
          </c:extLst>
        </c:ser>
        <c:dLbls>
          <c:showLegendKey val="0"/>
          <c:showVal val="0"/>
          <c:showCatName val="0"/>
          <c:showSerName val="0"/>
          <c:showPercent val="0"/>
          <c:showBubbleSize val="0"/>
        </c:dLbls>
        <c:smooth val="0"/>
        <c:axId val="729869464"/>
        <c:axId val="729876024"/>
        <c:extLst>
          <c:ext xmlns:c15="http://schemas.microsoft.com/office/drawing/2012/chart" uri="{02D57815-91ED-43cb-92C2-25804820EDAC}">
            <c15:filteredLineSeries>
              <c15:ser>
                <c:idx val="0"/>
                <c:order val="0"/>
                <c:tx>
                  <c:strRef>
                    <c:extLst>
                      <c:ext uri="{02D57815-91ED-43cb-92C2-25804820EDAC}">
                        <c15:formulaRef>
                          <c15:sqref>Police!$A$16</c15:sqref>
                        </c15:formulaRef>
                      </c:ext>
                    </c:extLst>
                    <c:strCache>
                      <c:ptCount val="1"/>
                      <c:pt idx="0">
                        <c:v>General Fund</c:v>
                      </c:pt>
                    </c:strCache>
                  </c:strRef>
                </c:tx>
                <c:spPr>
                  <a:ln w="28575" cap="rnd">
                    <a:solidFill>
                      <a:schemeClr val="accent1"/>
                    </a:solidFill>
                    <a:round/>
                  </a:ln>
                  <a:effectLst/>
                </c:spPr>
                <c:marker>
                  <c:symbol val="none"/>
                </c:marker>
                <c:cat>
                  <c:numRef>
                    <c:extLst>
                      <c:ext uri="{02D57815-91ED-43cb-92C2-25804820EDAC}">
                        <c15:formulaRef>
                          <c15:sqref>Police!$B$5:$L$5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Police!$B$16:$L$16</c15:sqref>
                        </c15:formulaRef>
                      </c:ext>
                    </c:extLst>
                    <c:numCache>
                      <c:formatCode>_("$"* #,##0_);_("$"* \(#,##0\);_("$"* "-"??_);_(@_)</c:formatCode>
                      <c:ptCount val="11"/>
                      <c:pt idx="0">
                        <c:v>15281636</c:v>
                      </c:pt>
                      <c:pt idx="1">
                        <c:v>15707233</c:v>
                      </c:pt>
                      <c:pt idx="2">
                        <c:v>16496905</c:v>
                      </c:pt>
                      <c:pt idx="3">
                        <c:v>16174985</c:v>
                      </c:pt>
                      <c:pt idx="4">
                        <c:v>17097730</c:v>
                      </c:pt>
                      <c:pt idx="5">
                        <c:v>18444764</c:v>
                      </c:pt>
                      <c:pt idx="6">
                        <c:v>19758843</c:v>
                      </c:pt>
                      <c:pt idx="7">
                        <c:v>20829121</c:v>
                      </c:pt>
                      <c:pt idx="8">
                        <c:v>24480951</c:v>
                      </c:pt>
                      <c:pt idx="9">
                        <c:v>26765644</c:v>
                      </c:pt>
                      <c:pt idx="10">
                        <c:v>24457482</c:v>
                      </c:pt>
                    </c:numCache>
                  </c:numRef>
                </c:val>
                <c:smooth val="0"/>
                <c:extLst>
                  <c:ext xmlns:c16="http://schemas.microsoft.com/office/drawing/2014/chart" uri="{C3380CC4-5D6E-409C-BE32-E72D297353CC}">
                    <c16:uniqueId val="{00000000-E102-4A3C-BD73-1B3A53050849}"/>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Police!$A$17</c15:sqref>
                        </c15:formulaRef>
                      </c:ext>
                    </c:extLst>
                    <c:strCache>
                      <c:ptCount val="1"/>
                      <c:pt idx="0">
                        <c:v>Internal Service Funds</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Police!$B$5:$L$5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Police!$B$17:$L$17</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1-E102-4A3C-BD73-1B3A53050849}"/>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Police!$A$18</c15:sqref>
                        </c15:formulaRef>
                      </c:ext>
                    </c:extLst>
                    <c:strCache>
                      <c:ptCount val="1"/>
                      <c:pt idx="0">
                        <c:v>Enterprise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Police!$B$5:$L$5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Police!$B$18:$L$18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2-E102-4A3C-BD73-1B3A53050849}"/>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Police!$A$19</c15:sqref>
                        </c15:formulaRef>
                      </c:ext>
                    </c:extLst>
                    <c:strCache>
                      <c:ptCount val="1"/>
                      <c:pt idx="0">
                        <c:v>Special Revenue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Police!$B$5:$L$5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Police!$B$19:$L$19</c15:sqref>
                        </c15:formulaRef>
                      </c:ext>
                    </c:extLst>
                    <c:numCache>
                      <c:formatCode>_("$"* #,##0_);_("$"* \(#,##0\);_("$"* "-"??_);_(@_)</c:formatCode>
                      <c:ptCount val="11"/>
                      <c:pt idx="0">
                        <c:v>55305</c:v>
                      </c:pt>
                      <c:pt idx="1">
                        <c:v>62013</c:v>
                      </c:pt>
                      <c:pt idx="2">
                        <c:v>50253</c:v>
                      </c:pt>
                      <c:pt idx="3">
                        <c:v>86915</c:v>
                      </c:pt>
                      <c:pt idx="4">
                        <c:v>181353</c:v>
                      </c:pt>
                      <c:pt idx="5">
                        <c:v>170829</c:v>
                      </c:pt>
                      <c:pt idx="6">
                        <c:v>157540</c:v>
                      </c:pt>
                      <c:pt idx="7">
                        <c:v>445147</c:v>
                      </c:pt>
                      <c:pt idx="8">
                        <c:v>177320</c:v>
                      </c:pt>
                      <c:pt idx="9">
                        <c:v>6804669</c:v>
                      </c:pt>
                      <c:pt idx="10">
                        <c:v>0</c:v>
                      </c:pt>
                    </c:numCache>
                  </c:numRef>
                </c:val>
                <c:smooth val="0"/>
                <c:extLst xmlns:c15="http://schemas.microsoft.com/office/drawing/2012/chart">
                  <c:ext xmlns:c16="http://schemas.microsoft.com/office/drawing/2014/chart" uri="{C3380CC4-5D6E-409C-BE32-E72D297353CC}">
                    <c16:uniqueId val="{00000003-E102-4A3C-BD73-1B3A53050849}"/>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Police!$A$20</c15:sqref>
                        </c15:formulaRef>
                      </c:ext>
                    </c:extLst>
                    <c:strCache>
                      <c:ptCount val="1"/>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Police!$B$5:$L$5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Police!$B$20:$L$20</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4-E102-4A3C-BD73-1B3A53050849}"/>
                  </c:ext>
                </c:extLst>
              </c15:ser>
            </c15:filteredLineSeries>
          </c:ext>
        </c:extLst>
      </c:lineChart>
      <c:catAx>
        <c:axId val="729869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9876024"/>
        <c:crosses val="autoZero"/>
        <c:auto val="1"/>
        <c:lblAlgn val="ctr"/>
        <c:lblOffset val="100"/>
        <c:noMultiLvlLbl val="0"/>
      </c:catAx>
      <c:valAx>
        <c:axId val="72987602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9869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8.9251016002032002E-2"/>
          <c:y val="1.8749999999999999E-2"/>
          <c:w val="0.88655543561087102"/>
          <c:h val="0.79240772637795298"/>
        </c:manualLayout>
      </c:layout>
      <c:lineChart>
        <c:grouping val="standard"/>
        <c:varyColors val="0"/>
        <c:ser>
          <c:idx val="0"/>
          <c:order val="0"/>
          <c:tx>
            <c:strRef>
              <c:f>Police!$A$34</c:f>
              <c:strCache>
                <c:ptCount val="1"/>
              </c:strCache>
            </c:strRef>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Police!$B$34:$L$34</c:f>
            </c:numRef>
          </c:val>
          <c:smooth val="0"/>
          <c:extLst>
            <c:ext xmlns:c16="http://schemas.microsoft.com/office/drawing/2014/chart" uri="{C3380CC4-5D6E-409C-BE32-E72D297353CC}">
              <c16:uniqueId val="{00000000-1004-48D5-AD5A-33D0039AE5DA}"/>
            </c:ext>
          </c:extLst>
        </c:ser>
        <c:ser>
          <c:idx val="2"/>
          <c:order val="1"/>
          <c:tx>
            <c:strRef>
              <c:f>Police!$A$36</c:f>
              <c:strCache>
                <c:ptCount val="1"/>
                <c:pt idx="0">
                  <c:v>Admin</c:v>
                </c:pt>
              </c:strCache>
            </c:strRef>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Police!$B$36:$L$36</c:f>
              <c:numCache>
                <c:formatCode>_(* #,##0.00_);_(* \(#,##0.00\);_(* "-"??_);_(@_)</c:formatCode>
                <c:ptCount val="11"/>
                <c:pt idx="0">
                  <c:v>6</c:v>
                </c:pt>
                <c:pt idx="1">
                  <c:v>5</c:v>
                </c:pt>
                <c:pt idx="2">
                  <c:v>5</c:v>
                </c:pt>
                <c:pt idx="3">
                  <c:v>5</c:v>
                </c:pt>
                <c:pt idx="4">
                  <c:v>5</c:v>
                </c:pt>
                <c:pt idx="5">
                  <c:v>5</c:v>
                </c:pt>
                <c:pt idx="6" formatCode="_(* #,##0.0_);_(* \(#,##0.0\);_(* &quot;-&quot;??_);_(@_)">
                  <c:v>7</c:v>
                </c:pt>
                <c:pt idx="7" formatCode="_(* #,##0.0_);_(* \(#,##0.0\);_(* &quot;-&quot;??_);_(@_)">
                  <c:v>7</c:v>
                </c:pt>
                <c:pt idx="8" formatCode="_(* #,##0.0_);_(* \(#,##0.0\);_(* &quot;-&quot;??_);_(@_)">
                  <c:v>8</c:v>
                </c:pt>
                <c:pt idx="9" formatCode="_(* #,##0.0_);_(* \(#,##0.0\);_(* &quot;-&quot;??_);_(@_)">
                  <c:v>8</c:v>
                </c:pt>
                <c:pt idx="10" formatCode="_(* #,##0.0_);_(* \(#,##0.0\);_(* &quot;-&quot;??_);_(@_)">
                  <c:v>8</c:v>
                </c:pt>
              </c:numCache>
            </c:numRef>
          </c:val>
          <c:smooth val="0"/>
          <c:extLst>
            <c:ext xmlns:c16="http://schemas.microsoft.com/office/drawing/2014/chart" uri="{C3380CC4-5D6E-409C-BE32-E72D297353CC}">
              <c16:uniqueId val="{00000001-1004-48D5-AD5A-33D0039AE5DA}"/>
            </c:ext>
          </c:extLst>
        </c:ser>
        <c:ser>
          <c:idx val="4"/>
          <c:order val="2"/>
          <c:tx>
            <c:strRef>
              <c:f>Police!$A$37</c:f>
              <c:strCache>
                <c:ptCount val="1"/>
                <c:pt idx="0">
                  <c:v>Info Svc</c:v>
                </c:pt>
              </c:strCache>
            </c:strRef>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Police!$B$37:$L$37</c:f>
              <c:numCache>
                <c:formatCode>_(* #,##0.00_);_(* \(#,##0.00\);_(* "-"??_);_(@_)</c:formatCode>
                <c:ptCount val="11"/>
                <c:pt idx="0">
                  <c:v>33</c:v>
                </c:pt>
                <c:pt idx="1">
                  <c:v>31</c:v>
                </c:pt>
                <c:pt idx="2">
                  <c:v>31</c:v>
                </c:pt>
                <c:pt idx="3">
                  <c:v>31</c:v>
                </c:pt>
                <c:pt idx="4">
                  <c:v>31</c:v>
                </c:pt>
                <c:pt idx="5">
                  <c:v>33</c:v>
                </c:pt>
                <c:pt idx="6" formatCode="_(* #,##0.0_);_(* \(#,##0.0\);_(* &quot;-&quot;??_);_(@_)">
                  <c:v>34</c:v>
                </c:pt>
                <c:pt idx="7" formatCode="_(* #,##0.0_);_(* \(#,##0.0\);_(* &quot;-&quot;??_);_(@_)">
                  <c:v>35</c:v>
                </c:pt>
                <c:pt idx="8" formatCode="_(* #,##0.0_);_(* \(#,##0.0\);_(* &quot;-&quot;??_);_(@_)">
                  <c:v>36</c:v>
                </c:pt>
                <c:pt idx="9" formatCode="_(* #,##0.0_);_(* \(#,##0.0\);_(* &quot;-&quot;??_);_(@_)">
                  <c:v>36</c:v>
                </c:pt>
                <c:pt idx="10" formatCode="_(* #,##0.0_);_(* \(#,##0.0\);_(* &quot;-&quot;??_);_(@_)">
                  <c:v>36</c:v>
                </c:pt>
              </c:numCache>
            </c:numRef>
          </c:val>
          <c:smooth val="0"/>
          <c:extLst>
            <c:ext xmlns:c16="http://schemas.microsoft.com/office/drawing/2014/chart" uri="{C3380CC4-5D6E-409C-BE32-E72D297353CC}">
              <c16:uniqueId val="{00000002-1004-48D5-AD5A-33D0039AE5DA}"/>
            </c:ext>
          </c:extLst>
        </c:ser>
        <c:ser>
          <c:idx val="6"/>
          <c:order val="3"/>
          <c:tx>
            <c:strRef>
              <c:f>Police!$A$38</c:f>
              <c:strCache>
                <c:ptCount val="1"/>
                <c:pt idx="0">
                  <c:v>Ops</c:v>
                </c:pt>
              </c:strCache>
            </c:strRef>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Police!$B$38:$L$38</c:f>
              <c:numCache>
                <c:formatCode>_(* #,##0.00_);_(* \(#,##0.00\);_(* "-"??_);_(@_)</c:formatCode>
                <c:ptCount val="11"/>
                <c:pt idx="0">
                  <c:v>72</c:v>
                </c:pt>
                <c:pt idx="1">
                  <c:v>71</c:v>
                </c:pt>
                <c:pt idx="2">
                  <c:v>69</c:v>
                </c:pt>
                <c:pt idx="3">
                  <c:v>69</c:v>
                </c:pt>
                <c:pt idx="4">
                  <c:v>71</c:v>
                </c:pt>
                <c:pt idx="5">
                  <c:v>73</c:v>
                </c:pt>
                <c:pt idx="6" formatCode="_(* #,##0.0_);_(* \(#,##0.0\);_(* &quot;-&quot;??_);_(@_)">
                  <c:v>75</c:v>
                </c:pt>
                <c:pt idx="7" formatCode="_(* #,##0.0_);_(* \(#,##0.0\);_(* &quot;-&quot;??_);_(@_)">
                  <c:v>79</c:v>
                </c:pt>
                <c:pt idx="8" formatCode="_(* #,##0.0_);_(* \(#,##0.0\);_(* &quot;-&quot;??_);_(@_)">
                  <c:v>79</c:v>
                </c:pt>
                <c:pt idx="9" formatCode="_(* #,##0.0_);_(* \(#,##0.0\);_(* &quot;-&quot;??_);_(@_)">
                  <c:v>84</c:v>
                </c:pt>
                <c:pt idx="10" formatCode="_(* #,##0.0_);_(* \(#,##0.0\);_(* &quot;-&quot;??_);_(@_)">
                  <c:v>84</c:v>
                </c:pt>
              </c:numCache>
            </c:numRef>
          </c:val>
          <c:smooth val="0"/>
          <c:extLst>
            <c:ext xmlns:c16="http://schemas.microsoft.com/office/drawing/2014/chart" uri="{C3380CC4-5D6E-409C-BE32-E72D297353CC}">
              <c16:uniqueId val="{00000003-1004-48D5-AD5A-33D0039AE5DA}"/>
            </c:ext>
          </c:extLst>
        </c:ser>
        <c:dLbls>
          <c:showLegendKey val="0"/>
          <c:showVal val="0"/>
          <c:showCatName val="0"/>
          <c:showSerName val="0"/>
          <c:showPercent val="0"/>
          <c:showBubbleSize val="0"/>
        </c:dLbls>
        <c:marker val="1"/>
        <c:smooth val="0"/>
        <c:axId val="-2141878088"/>
        <c:axId val="-2141875160"/>
      </c:lineChart>
      <c:catAx>
        <c:axId val="-2141878088"/>
        <c:scaling>
          <c:orientation val="minMax"/>
        </c:scaling>
        <c:delete val="0"/>
        <c:axPos val="b"/>
        <c:numFmt formatCode="General" sourceLinked="1"/>
        <c:majorTickMark val="out"/>
        <c:minorTickMark val="none"/>
        <c:tickLblPos val="nextTo"/>
        <c:crossAx val="-2141875160"/>
        <c:crosses val="autoZero"/>
        <c:auto val="1"/>
        <c:lblAlgn val="ctr"/>
        <c:lblOffset val="100"/>
        <c:noMultiLvlLbl val="0"/>
      </c:catAx>
      <c:valAx>
        <c:axId val="-2141875160"/>
        <c:scaling>
          <c:orientation val="minMax"/>
        </c:scaling>
        <c:delete val="0"/>
        <c:axPos val="l"/>
        <c:majorGridlines/>
        <c:numFmt formatCode="_(* #,##0.00_);_(* \(#,##0.00\);_(* &quot;-&quot;??_);_(@_)" sourceLinked="1"/>
        <c:majorTickMark val="out"/>
        <c:minorTickMark val="none"/>
        <c:tickLblPos val="nextTo"/>
        <c:crossAx val="-2141878088"/>
        <c:crosses val="autoZero"/>
        <c:crossBetween val="between"/>
      </c:valAx>
      <c:spPr>
        <a:noFill/>
        <a:ln w="25400">
          <a:noFill/>
        </a:ln>
      </c:spPr>
    </c:plotArea>
    <c:legend>
      <c:legendPos val="b"/>
      <c:layout>
        <c:manualLayout>
          <c:xMode val="edge"/>
          <c:yMode val="edge"/>
          <c:x val="0.26985004317457101"/>
          <c:y val="0.89834479199613804"/>
          <c:w val="0.463557157146888"/>
          <c:h val="6.7828569526060797E-2"/>
        </c:manualLayout>
      </c:layout>
      <c:overlay val="0"/>
    </c:legend>
    <c:plotVisOnly val="1"/>
    <c:dispBlanksAs val="gap"/>
    <c:showDLblsOverMax val="0"/>
  </c:chart>
  <c:printSettings>
    <c:headerFooter/>
    <c:pageMargins b="1" l="0.75" r="0.75"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Police - Expenditures per Capita</a:t>
            </a:r>
          </a:p>
        </c:rich>
      </c:tx>
      <c:overlay val="0"/>
      <c:spPr>
        <a:noFill/>
        <a:ln>
          <a:noFill/>
        </a:ln>
        <a:effectLst/>
      </c:spPr>
    </c:title>
    <c:autoTitleDeleted val="0"/>
    <c:plotArea>
      <c:layout/>
      <c:lineChart>
        <c:grouping val="standard"/>
        <c:varyColors val="0"/>
        <c:ser>
          <c:idx val="6"/>
          <c:order val="0"/>
          <c:tx>
            <c:strRef>
              <c:f>Police!$A$25</c:f>
              <c:strCache>
                <c:ptCount val="1"/>
                <c:pt idx="0">
                  <c:v>Expenditures per Capita</c:v>
                </c:pt>
              </c:strCache>
            </c:strRef>
          </c:tx>
          <c:spPr>
            <a:ln>
              <a:solidFill>
                <a:srgbClr val="FF0000"/>
              </a:solidFill>
            </a:ln>
          </c:spPr>
          <c:marker>
            <c:symbol val="none"/>
          </c:marker>
          <c:cat>
            <c:numRef>
              <c:f>Police!$B$24:$L$24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Police!$B$25:$L$25</c:f>
              <c:numCache>
                <c:formatCode>_("$"* #,##0.00_);_("$"* \(#,##0.00\);_("$"* "-"??_);_(@_)</c:formatCode>
                <c:ptCount val="11"/>
                <c:pt idx="0">
                  <c:v>10.282036667616605</c:v>
                </c:pt>
                <c:pt idx="1">
                  <c:v>20.373313453987187</c:v>
                </c:pt>
                <c:pt idx="2">
                  <c:v>19.08651706636029</c:v>
                </c:pt>
                <c:pt idx="3">
                  <c:v>17.432197401248899</c:v>
                </c:pt>
                <c:pt idx="4">
                  <c:v>17.292283643598125</c:v>
                </c:pt>
                <c:pt idx="5">
                  <c:v>21.009911723710701</c:v>
                </c:pt>
                <c:pt idx="6">
                  <c:v>20.62873876327976</c:v>
                </c:pt>
                <c:pt idx="7">
                  <c:v>11.096296296296297</c:v>
                </c:pt>
                <c:pt idx="8">
                  <c:v>14.046518987341772</c:v>
                </c:pt>
                <c:pt idx="9">
                  <c:v>12.244868111102482</c:v>
                </c:pt>
                <c:pt idx="10">
                  <c:v>9.8438592048619906</c:v>
                </c:pt>
              </c:numCache>
            </c:numRef>
          </c:val>
          <c:smooth val="0"/>
          <c:extLst>
            <c:ext xmlns:c16="http://schemas.microsoft.com/office/drawing/2014/chart" uri="{C3380CC4-5D6E-409C-BE32-E72D297353CC}">
              <c16:uniqueId val="{0000000C-C416-4ECD-9083-405720C48411}"/>
            </c:ext>
          </c:extLst>
        </c:ser>
        <c:dLbls>
          <c:showLegendKey val="0"/>
          <c:showVal val="0"/>
          <c:showCatName val="0"/>
          <c:showSerName val="0"/>
          <c:showPercent val="0"/>
          <c:showBubbleSize val="0"/>
        </c:dLbls>
        <c:smooth val="0"/>
        <c:axId val="729869464"/>
        <c:axId val="729876024"/>
        <c:extLst/>
      </c:lineChart>
      <c:catAx>
        <c:axId val="729869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9876024"/>
        <c:crosses val="autoZero"/>
        <c:auto val="1"/>
        <c:lblAlgn val="ctr"/>
        <c:lblOffset val="100"/>
        <c:noMultiLvlLbl val="0"/>
      </c:catAx>
      <c:valAx>
        <c:axId val="72987602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9869464"/>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Police - Expenditures per FTE</a:t>
            </a:r>
          </a:p>
        </c:rich>
      </c:tx>
      <c:overlay val="0"/>
      <c:spPr>
        <a:noFill/>
        <a:ln>
          <a:noFill/>
        </a:ln>
        <a:effectLst/>
      </c:spPr>
    </c:title>
    <c:autoTitleDeleted val="0"/>
    <c:plotArea>
      <c:layout/>
      <c:lineChart>
        <c:grouping val="standard"/>
        <c:varyColors val="0"/>
        <c:ser>
          <c:idx val="0"/>
          <c:order val="0"/>
          <c:tx>
            <c:strRef>
              <c:f>Police!$A$28</c:f>
              <c:strCache>
                <c:ptCount val="1"/>
                <c:pt idx="0">
                  <c:v>Expenditures per FTE</c:v>
                </c:pt>
              </c:strCache>
            </c:strRef>
          </c:tx>
          <c:spPr>
            <a:ln>
              <a:solidFill>
                <a:srgbClr val="FF0000"/>
              </a:solidFill>
            </a:ln>
          </c:spPr>
          <c:marker>
            <c:symbol val="none"/>
          </c:marker>
          <c:cat>
            <c:numRef>
              <c:f>Police!$B$15:$L$15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Police!$B$28:$L$28</c:f>
              <c:numCache>
                <c:formatCode>_("$"* #,##0_);_("$"* \(#,##0\);_("$"* "-"??_);_(@_)</c:formatCode>
                <c:ptCount val="11"/>
                <c:pt idx="0">
                  <c:v>112364.9705882353</c:v>
                </c:pt>
                <c:pt idx="1">
                  <c:v>117218.15671641791</c:v>
                </c:pt>
                <c:pt idx="2">
                  <c:v>123111.23134328358</c:v>
                </c:pt>
                <c:pt idx="3">
                  <c:v>120934.46728971963</c:v>
                </c:pt>
                <c:pt idx="4">
                  <c:v>126884.82374768089</c:v>
                </c:pt>
                <c:pt idx="5">
                  <c:v>131748.3142857143</c:v>
                </c:pt>
                <c:pt idx="6">
                  <c:v>135334.54109589042</c:v>
                </c:pt>
                <c:pt idx="7">
                  <c:v>135254.03246753247</c:v>
                </c:pt>
                <c:pt idx="8">
                  <c:v>154453.94952681387</c:v>
                </c:pt>
                <c:pt idx="9">
                  <c:v>162709.0820668693</c:v>
                </c:pt>
                <c:pt idx="10">
                  <c:v>148677.70212765958</c:v>
                </c:pt>
              </c:numCache>
            </c:numRef>
          </c:val>
          <c:smooth val="0"/>
          <c:extLst>
            <c:ext xmlns:c16="http://schemas.microsoft.com/office/drawing/2014/chart" uri="{C3380CC4-5D6E-409C-BE32-E72D297353CC}">
              <c16:uniqueId val="{00000002-1D0E-4B1F-96E9-D81A173ED3DF}"/>
            </c:ext>
          </c:extLst>
        </c:ser>
        <c:dLbls>
          <c:showLegendKey val="0"/>
          <c:showVal val="0"/>
          <c:showCatName val="0"/>
          <c:showSerName val="0"/>
          <c:showPercent val="0"/>
          <c:showBubbleSize val="0"/>
        </c:dLbls>
        <c:smooth val="0"/>
        <c:axId val="729869464"/>
        <c:axId val="729876024"/>
        <c:extLst/>
      </c:lineChart>
      <c:catAx>
        <c:axId val="729869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9876024"/>
        <c:crosses val="autoZero"/>
        <c:auto val="1"/>
        <c:lblAlgn val="ctr"/>
        <c:lblOffset val="100"/>
        <c:noMultiLvlLbl val="0"/>
      </c:catAx>
      <c:valAx>
        <c:axId val="72987602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9869464"/>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Public Works - Total</a:t>
            </a:r>
            <a:r>
              <a:rPr lang="en-US" sz="1800" b="1" baseline="0"/>
              <a:t> Revenues</a:t>
            </a:r>
            <a:endParaRPr lang="en-US" sz="1800" b="1"/>
          </a:p>
        </c:rich>
      </c:tx>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'Public Works'!$A$7</c:f>
              <c:strCache>
                <c:ptCount val="1"/>
                <c:pt idx="0">
                  <c:v>General Fund</c:v>
                </c:pt>
              </c:strCache>
              <c:extLst xmlns:c15="http://schemas.microsoft.com/office/drawing/2012/chart"/>
            </c:strRef>
          </c:tx>
          <c:spPr>
            <a:ln w="28575" cap="rnd">
              <a:solidFill>
                <a:sysClr val="windowText" lastClr="000000"/>
              </a:solidFill>
              <a:round/>
            </a:ln>
            <a:effectLst/>
          </c:spPr>
          <c:marker>
            <c:symbol val="none"/>
          </c:marker>
          <c:cat>
            <c:numRef>
              <c:f>'Public Works'!$B$6:$L$6</c:f>
              <c:numCache>
                <c:formatCode>General</c:formatCode>
                <c:ptCount val="11"/>
              </c:numCache>
            </c:numRef>
          </c:cat>
          <c:val>
            <c:numRef>
              <c:f>'Public Works'!$B$7:$L$7</c:f>
              <c:numCache>
                <c:formatCode>_("$"* #,##0_);_("$"* \(#,##0\);_("$"* "-"??_);_(@_)</c:formatCode>
                <c:ptCount val="11"/>
                <c:pt idx="0">
                  <c:v>3549788</c:v>
                </c:pt>
                <c:pt idx="1">
                  <c:v>3379815</c:v>
                </c:pt>
                <c:pt idx="2">
                  <c:v>779523</c:v>
                </c:pt>
                <c:pt idx="3">
                  <c:v>703795</c:v>
                </c:pt>
                <c:pt idx="4">
                  <c:v>3752777</c:v>
                </c:pt>
                <c:pt idx="5">
                  <c:v>3657354</c:v>
                </c:pt>
                <c:pt idx="6">
                  <c:v>3736689</c:v>
                </c:pt>
                <c:pt idx="7">
                  <c:v>3293932</c:v>
                </c:pt>
                <c:pt idx="8">
                  <c:v>4022487</c:v>
                </c:pt>
                <c:pt idx="9">
                  <c:v>5554491</c:v>
                </c:pt>
                <c:pt idx="10">
                  <c:v>305000</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20CB-4D34-B122-9F5D2F4DB4EB}"/>
            </c:ext>
          </c:extLst>
        </c:ser>
        <c:ser>
          <c:idx val="2"/>
          <c:order val="2"/>
          <c:tx>
            <c:strRef>
              <c:f>'Public Works'!$A$8</c:f>
              <c:strCache>
                <c:ptCount val="1"/>
                <c:pt idx="0">
                  <c:v>Internal Service Funds</c:v>
                </c:pt>
              </c:strCache>
              <c:extLst xmlns:c15="http://schemas.microsoft.com/office/drawing/2012/chart"/>
            </c:strRef>
          </c:tx>
          <c:spPr>
            <a:ln w="28575" cap="rnd">
              <a:solidFill>
                <a:schemeClr val="accent6"/>
              </a:solidFill>
              <a:round/>
            </a:ln>
            <a:effectLst/>
          </c:spPr>
          <c:marker>
            <c:symbol val="none"/>
          </c:marker>
          <c:cat>
            <c:numRef>
              <c:f>'Public Works'!$B$6:$L$6</c:f>
              <c:numCache>
                <c:formatCode>General</c:formatCode>
                <c:ptCount val="11"/>
              </c:numCache>
            </c:numRef>
          </c:cat>
          <c:val>
            <c:numRef>
              <c:f>'Public Works'!$B$8:$L$8</c:f>
              <c:numCache>
                <c:formatCode>_("$"* #,##0_);_("$"* \(#,##0\);_("$"* "-"??_);_(@_)</c:formatCode>
                <c:ptCount val="11"/>
                <c:pt idx="0">
                  <c:v>4692267</c:v>
                </c:pt>
                <c:pt idx="1">
                  <c:v>4802684</c:v>
                </c:pt>
                <c:pt idx="2">
                  <c:v>4858193</c:v>
                </c:pt>
                <c:pt idx="3">
                  <c:v>4709810</c:v>
                </c:pt>
                <c:pt idx="4">
                  <c:v>4722785</c:v>
                </c:pt>
                <c:pt idx="5">
                  <c:v>5317137</c:v>
                </c:pt>
                <c:pt idx="6">
                  <c:v>5335828</c:v>
                </c:pt>
                <c:pt idx="7">
                  <c:v>6097037</c:v>
                </c:pt>
                <c:pt idx="8">
                  <c:v>6855623</c:v>
                </c:pt>
                <c:pt idx="9">
                  <c:v>8380610</c:v>
                </c:pt>
                <c:pt idx="10">
                  <c:v>8949723</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20CB-4D34-B122-9F5D2F4DB4EB}"/>
            </c:ext>
          </c:extLst>
        </c:ser>
        <c:ser>
          <c:idx val="3"/>
          <c:order val="3"/>
          <c:tx>
            <c:strRef>
              <c:f>'Public Works'!$A$9</c:f>
              <c:strCache>
                <c:ptCount val="1"/>
                <c:pt idx="0">
                  <c:v>Enterprise Funds</c:v>
                </c:pt>
              </c:strCache>
              <c:extLst xmlns:c15="http://schemas.microsoft.com/office/drawing/2012/chart"/>
            </c:strRef>
          </c:tx>
          <c:spPr>
            <a:ln w="28575" cap="rnd">
              <a:solidFill>
                <a:srgbClr val="6666FF"/>
              </a:solidFill>
              <a:round/>
            </a:ln>
            <a:effectLst/>
          </c:spPr>
          <c:marker>
            <c:symbol val="none"/>
          </c:marker>
          <c:cat>
            <c:numRef>
              <c:f>'Public Works'!$B$6:$L$6</c:f>
              <c:numCache>
                <c:formatCode>General</c:formatCode>
                <c:ptCount val="11"/>
              </c:numCache>
            </c:numRef>
          </c:cat>
          <c:val>
            <c:numRef>
              <c:f>'Public Works'!$B$9:$L$9</c:f>
              <c:numCache>
                <c:formatCode>_("$"* #,##0_);_("$"* \(#,##0\);_("$"* "-"??_);_(@_)</c:formatCode>
                <c:ptCount val="11"/>
                <c:pt idx="0">
                  <c:v>10060312</c:v>
                </c:pt>
                <c:pt idx="1">
                  <c:v>10904128</c:v>
                </c:pt>
                <c:pt idx="2">
                  <c:v>10625240</c:v>
                </c:pt>
                <c:pt idx="3">
                  <c:v>10514459</c:v>
                </c:pt>
                <c:pt idx="4">
                  <c:v>10292817</c:v>
                </c:pt>
                <c:pt idx="5">
                  <c:v>12864791</c:v>
                </c:pt>
                <c:pt idx="6">
                  <c:v>13649921</c:v>
                </c:pt>
                <c:pt idx="7">
                  <c:v>15896991</c:v>
                </c:pt>
                <c:pt idx="8">
                  <c:v>15549801</c:v>
                </c:pt>
                <c:pt idx="9">
                  <c:v>15057723</c:v>
                </c:pt>
                <c:pt idx="10">
                  <c:v>16084682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20CB-4D34-B122-9F5D2F4DB4EB}"/>
            </c:ext>
          </c:extLst>
        </c:ser>
        <c:ser>
          <c:idx val="4"/>
          <c:order val="4"/>
          <c:tx>
            <c:strRef>
              <c:f>'Public Works'!$A$10</c:f>
              <c:strCache>
                <c:ptCount val="1"/>
                <c:pt idx="0">
                  <c:v>Special Revenue Funds</c:v>
                </c:pt>
              </c:strCache>
              <c:extLst xmlns:c15="http://schemas.microsoft.com/office/drawing/2012/chart"/>
            </c:strRef>
          </c:tx>
          <c:spPr>
            <a:ln w="28575" cap="rnd">
              <a:solidFill>
                <a:srgbClr val="996633"/>
              </a:solidFill>
              <a:round/>
            </a:ln>
            <a:effectLst/>
          </c:spPr>
          <c:marker>
            <c:symbol val="none"/>
          </c:marker>
          <c:cat>
            <c:numRef>
              <c:f>'Public Works'!$B$6:$L$6</c:f>
              <c:numCache>
                <c:formatCode>General</c:formatCode>
                <c:ptCount val="11"/>
              </c:numCache>
            </c:numRef>
          </c:cat>
          <c:val>
            <c:numRef>
              <c:f>'Public Works'!$B$10:$L$10</c:f>
              <c:numCache>
                <c:formatCode>_("$"* #,##0_);_("$"* \(#,##0\);_("$"* "-"??_);_(@_)</c:formatCode>
                <c:ptCount val="11"/>
                <c:pt idx="0">
                  <c:v>1996838</c:v>
                </c:pt>
                <c:pt idx="1">
                  <c:v>968432</c:v>
                </c:pt>
                <c:pt idx="2">
                  <c:v>15197884</c:v>
                </c:pt>
                <c:pt idx="3">
                  <c:v>14270893</c:v>
                </c:pt>
                <c:pt idx="4">
                  <c:v>14764050</c:v>
                </c:pt>
                <c:pt idx="5">
                  <c:v>10849332</c:v>
                </c:pt>
                <c:pt idx="6">
                  <c:v>17995375</c:v>
                </c:pt>
                <c:pt idx="7">
                  <c:v>21611665</c:v>
                </c:pt>
                <c:pt idx="8">
                  <c:v>26468966</c:v>
                </c:pt>
                <c:pt idx="9">
                  <c:v>51769120</c:v>
                </c:pt>
                <c:pt idx="10">
                  <c:v>34912502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3-20CB-4D34-B122-9F5D2F4DB4EB}"/>
            </c:ext>
          </c:extLst>
        </c:ser>
        <c:ser>
          <c:idx val="6"/>
          <c:order val="6"/>
          <c:tx>
            <c:strRef>
              <c:f>'Public Works'!$A$12</c:f>
              <c:strCache>
                <c:ptCount val="1"/>
                <c:pt idx="0">
                  <c:v>Total City Budget Revenues</c:v>
                </c:pt>
              </c:strCache>
            </c:strRef>
          </c:tx>
          <c:spPr>
            <a:ln w="28575" cap="rnd">
              <a:solidFill>
                <a:srgbClr val="008000"/>
              </a:solidFill>
              <a:round/>
            </a:ln>
            <a:effectLst/>
          </c:spPr>
          <c:marker>
            <c:symbol val="none"/>
          </c:marker>
          <c:cat>
            <c:numRef>
              <c:f>'Public Works'!$B$6:$L$6</c:f>
              <c:numCache>
                <c:formatCode>General</c:formatCode>
                <c:ptCount val="11"/>
              </c:numCache>
            </c:numRef>
          </c:cat>
          <c:val>
            <c:numRef>
              <c:f>'Public Works'!$B$12:$L$12</c:f>
              <c:numCache>
                <c:formatCode>_("$"* #,##0_);_("$"* \(#,##0\);_("$"* "-"??_);_(@_)</c:formatCode>
                <c:ptCount val="11"/>
                <c:pt idx="0">
                  <c:v>20299205</c:v>
                </c:pt>
                <c:pt idx="1">
                  <c:v>20055059</c:v>
                </c:pt>
                <c:pt idx="2">
                  <c:v>31460840</c:v>
                </c:pt>
                <c:pt idx="3">
                  <c:v>30198957</c:v>
                </c:pt>
                <c:pt idx="4">
                  <c:v>33532429</c:v>
                </c:pt>
                <c:pt idx="5">
                  <c:v>32688614</c:v>
                </c:pt>
                <c:pt idx="6">
                  <c:v>40717813</c:v>
                </c:pt>
                <c:pt idx="7">
                  <c:v>46899625</c:v>
                </c:pt>
                <c:pt idx="8">
                  <c:v>52896877</c:v>
                </c:pt>
                <c:pt idx="9">
                  <c:v>80761944</c:v>
                </c:pt>
                <c:pt idx="10">
                  <c:v>60251907</c:v>
                </c:pt>
              </c:numCache>
            </c:numRef>
          </c:val>
          <c:smooth val="0"/>
          <c:extLst>
            <c:ext xmlns:c16="http://schemas.microsoft.com/office/drawing/2014/chart" uri="{C3380CC4-5D6E-409C-BE32-E72D297353CC}">
              <c16:uniqueId val="{00000004-20CB-4D34-B122-9F5D2F4DB4EB}"/>
            </c:ext>
          </c:extLst>
        </c:ser>
        <c:dLbls>
          <c:showLegendKey val="0"/>
          <c:showVal val="0"/>
          <c:showCatName val="0"/>
          <c:showSerName val="0"/>
          <c:showPercent val="0"/>
          <c:showBubbleSize val="0"/>
        </c:dLbls>
        <c:smooth val="0"/>
        <c:axId val="595993320"/>
        <c:axId val="595992008"/>
        <c:extLst>
          <c:ext xmlns:c15="http://schemas.microsoft.com/office/drawing/2012/chart" uri="{02D57815-91ED-43cb-92C2-25804820EDAC}">
            <c15:filteredLineSeries>
              <c15:ser>
                <c:idx val="0"/>
                <c:order val="0"/>
                <c:tx>
                  <c:strRef>
                    <c:extLst>
                      <c:ext uri="{02D57815-91ED-43cb-92C2-25804820EDAC}">
                        <c15:formulaRef>
                          <c15:sqref>'Public Works'!$A$6</c15:sqref>
                        </c15:formulaRef>
                      </c:ext>
                    </c:extLst>
                    <c:strCache>
                      <c:ptCount val="1"/>
                      <c:pt idx="0">
                        <c:v>REVENUES</c:v>
                      </c:pt>
                    </c:strCache>
                  </c:strRef>
                </c:tx>
                <c:spPr>
                  <a:ln w="28575" cap="rnd">
                    <a:solidFill>
                      <a:schemeClr val="accent1"/>
                    </a:solidFill>
                    <a:round/>
                  </a:ln>
                  <a:effectLst/>
                </c:spPr>
                <c:marker>
                  <c:symbol val="none"/>
                </c:marker>
                <c:cat>
                  <c:numRef>
                    <c:extLst>
                      <c:ext uri="{02D57815-91ED-43cb-92C2-25804820EDAC}">
                        <c15:formulaRef>
                          <c15:sqref>'Public Works'!$B$6:$L$6</c15:sqref>
                        </c15:formulaRef>
                      </c:ext>
                    </c:extLst>
                    <c:numCache>
                      <c:formatCode>General</c:formatCode>
                      <c:ptCount val="11"/>
                    </c:numCache>
                  </c:numRef>
                </c:cat>
                <c:val>
                  <c:numRef>
                    <c:extLst>
                      <c:ext uri="{02D57815-91ED-43cb-92C2-25804820EDAC}">
                        <c15:formulaRef>
                          <c15:sqref>PW!#REF!</c15:sqref>
                        </c15:formulaRef>
                      </c:ext>
                    </c:extLst>
                    <c:numCache>
                      <c:formatCode>General</c:formatCode>
                      <c:ptCount val="1"/>
                      <c:pt idx="0">
                        <c:v>1</c:v>
                      </c:pt>
                    </c:numCache>
                  </c:numRef>
                </c:val>
                <c:smooth val="0"/>
                <c:extLst>
                  <c:ext xmlns:c16="http://schemas.microsoft.com/office/drawing/2014/chart" uri="{C3380CC4-5D6E-409C-BE32-E72D297353CC}">
                    <c16:uniqueId val="{00000005-20CB-4D34-B122-9F5D2F4DB4EB}"/>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'Public Works'!$A$11</c15:sqref>
                        </c15:formulaRef>
                      </c:ext>
                    </c:extLst>
                    <c:strCache>
                      <c:ptCount val="1"/>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'Public Works'!$B$6:$L$6</c15:sqref>
                        </c15:formulaRef>
                      </c:ext>
                    </c:extLst>
                    <c:numCache>
                      <c:formatCode>General</c:formatCode>
                      <c:ptCount val="11"/>
                    </c:numCache>
                  </c:numRef>
                </c:cat>
                <c:val>
                  <c:numRef>
                    <c:extLst xmlns:c15="http://schemas.microsoft.com/office/drawing/2012/chart">
                      <c:ext xmlns:c15="http://schemas.microsoft.com/office/drawing/2012/chart" uri="{02D57815-91ED-43cb-92C2-25804820EDAC}">
                        <c15:formulaRef>
                          <c15:sqref>'Public Works'!$B$11:$L$11</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6-20CB-4D34-B122-9F5D2F4DB4EB}"/>
                  </c:ext>
                </c:extLst>
              </c15:ser>
            </c15:filteredLineSeries>
          </c:ext>
        </c:extLst>
      </c:lineChart>
      <c:catAx>
        <c:axId val="595993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5992008"/>
        <c:crosses val="autoZero"/>
        <c:auto val="1"/>
        <c:lblAlgn val="ctr"/>
        <c:lblOffset val="100"/>
        <c:noMultiLvlLbl val="0"/>
      </c:catAx>
      <c:valAx>
        <c:axId val="59599200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59933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ysClr val="window" lastClr="FFFFFF"/>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Public Works - Total Expenditures</a:t>
            </a:r>
          </a:p>
        </c:rich>
      </c:tx>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714345966201989"/>
          <c:y val="0.12504361433704544"/>
          <c:w val="0.90554079331632842"/>
          <c:h val="0.69495332490550465"/>
        </c:manualLayout>
      </c:layout>
      <c:lineChart>
        <c:grouping val="standard"/>
        <c:varyColors val="0"/>
        <c:ser>
          <c:idx val="0"/>
          <c:order val="0"/>
          <c:tx>
            <c:strRef>
              <c:f>'Public Works'!$A$16</c:f>
              <c:strCache>
                <c:ptCount val="1"/>
                <c:pt idx="0">
                  <c:v>General Fund</c:v>
                </c:pt>
              </c:strCache>
            </c:strRef>
          </c:tx>
          <c:spPr>
            <a:ln w="28575" cap="rnd">
              <a:solidFill>
                <a:schemeClr val="tx1"/>
              </a:solidFill>
              <a:round/>
            </a:ln>
            <a:effectLst/>
          </c:spPr>
          <c:marker>
            <c:symbol val="none"/>
          </c:marker>
          <c:cat>
            <c:numRef>
              <c:f>'Public Works'!$B$6:$L$6</c:f>
              <c:numCache>
                <c:formatCode>General</c:formatCode>
                <c:ptCount val="11"/>
              </c:numCache>
            </c:numRef>
          </c:cat>
          <c:val>
            <c:numRef>
              <c:f>'Public Works'!$B$16:$L$16</c:f>
              <c:numCache>
                <c:formatCode>_("$"* #,##0_);_("$"* \(#,##0\);_("$"* "-"??_);_(@_)</c:formatCode>
                <c:ptCount val="11"/>
                <c:pt idx="0">
                  <c:v>10062502</c:v>
                </c:pt>
                <c:pt idx="1">
                  <c:v>10673095</c:v>
                </c:pt>
                <c:pt idx="2">
                  <c:v>4455067</c:v>
                </c:pt>
                <c:pt idx="3">
                  <c:v>4619343</c:v>
                </c:pt>
                <c:pt idx="4">
                  <c:v>5178065</c:v>
                </c:pt>
                <c:pt idx="5">
                  <c:v>5507029</c:v>
                </c:pt>
                <c:pt idx="6">
                  <c:v>5314453</c:v>
                </c:pt>
                <c:pt idx="7">
                  <c:v>5437058</c:v>
                </c:pt>
                <c:pt idx="8">
                  <c:v>5801294</c:v>
                </c:pt>
                <c:pt idx="9">
                  <c:v>7061778</c:v>
                </c:pt>
                <c:pt idx="10">
                  <c:v>5641211</c:v>
                </c:pt>
              </c:numCache>
            </c:numRef>
          </c:val>
          <c:smooth val="0"/>
          <c:extLst>
            <c:ext xmlns:c16="http://schemas.microsoft.com/office/drawing/2014/chart" uri="{C3380CC4-5D6E-409C-BE32-E72D297353CC}">
              <c16:uniqueId val="{00000000-25BE-4659-A7CC-36B21E6FD97F}"/>
            </c:ext>
          </c:extLst>
        </c:ser>
        <c:ser>
          <c:idx val="1"/>
          <c:order val="1"/>
          <c:tx>
            <c:strRef>
              <c:f>'Public Works'!$A$17</c:f>
              <c:strCache>
                <c:ptCount val="1"/>
                <c:pt idx="0">
                  <c:v>Internal Service Funds</c:v>
                </c:pt>
              </c:strCache>
            </c:strRef>
          </c:tx>
          <c:spPr>
            <a:ln w="28575" cap="rnd">
              <a:solidFill>
                <a:schemeClr val="accent6"/>
              </a:solidFill>
              <a:round/>
            </a:ln>
            <a:effectLst/>
          </c:spPr>
          <c:marker>
            <c:symbol val="none"/>
          </c:marker>
          <c:cat>
            <c:numRef>
              <c:f>'Public Works'!$B$6:$L$6</c:f>
              <c:numCache>
                <c:formatCode>General</c:formatCode>
                <c:ptCount val="11"/>
              </c:numCache>
            </c:numRef>
          </c:cat>
          <c:val>
            <c:numRef>
              <c:f>'Public Works'!$B$17:$L$17</c:f>
              <c:numCache>
                <c:formatCode>_("$"* #,##0_);_("$"* \(#,##0\);_("$"* "-"??_);_(@_)</c:formatCode>
                <c:ptCount val="11"/>
                <c:pt idx="0">
                  <c:v>4962185</c:v>
                </c:pt>
                <c:pt idx="1">
                  <c:v>4246892</c:v>
                </c:pt>
                <c:pt idx="2">
                  <c:v>4160986</c:v>
                </c:pt>
                <c:pt idx="3">
                  <c:v>4106438</c:v>
                </c:pt>
                <c:pt idx="4">
                  <c:v>4854971</c:v>
                </c:pt>
                <c:pt idx="5">
                  <c:v>7456697</c:v>
                </c:pt>
                <c:pt idx="6">
                  <c:v>5029718</c:v>
                </c:pt>
                <c:pt idx="7">
                  <c:v>4774416</c:v>
                </c:pt>
                <c:pt idx="8">
                  <c:v>8648324</c:v>
                </c:pt>
                <c:pt idx="9">
                  <c:v>8003967</c:v>
                </c:pt>
                <c:pt idx="10">
                  <c:v>7653673</c:v>
                </c:pt>
              </c:numCache>
            </c:numRef>
          </c:val>
          <c:smooth val="0"/>
          <c:extLst>
            <c:ext xmlns:c16="http://schemas.microsoft.com/office/drawing/2014/chart" uri="{C3380CC4-5D6E-409C-BE32-E72D297353CC}">
              <c16:uniqueId val="{00000001-25BE-4659-A7CC-36B21E6FD97F}"/>
            </c:ext>
          </c:extLst>
        </c:ser>
        <c:ser>
          <c:idx val="2"/>
          <c:order val="2"/>
          <c:tx>
            <c:strRef>
              <c:f>'Public Works'!$A$18</c:f>
              <c:strCache>
                <c:ptCount val="1"/>
                <c:pt idx="0">
                  <c:v>Enterprise Funds</c:v>
                </c:pt>
              </c:strCache>
            </c:strRef>
          </c:tx>
          <c:spPr>
            <a:ln w="28575" cap="rnd">
              <a:solidFill>
                <a:srgbClr val="6666FF"/>
              </a:solidFill>
              <a:round/>
            </a:ln>
            <a:effectLst/>
          </c:spPr>
          <c:marker>
            <c:symbol val="none"/>
          </c:marker>
          <c:cat>
            <c:numRef>
              <c:f>'Public Works'!$B$6:$L$6</c:f>
              <c:numCache>
                <c:formatCode>General</c:formatCode>
                <c:ptCount val="11"/>
              </c:numCache>
            </c:numRef>
          </c:cat>
          <c:val>
            <c:numRef>
              <c:f>'Public Works'!$B$18:$L$18</c:f>
              <c:numCache>
                <c:formatCode>_("$"* #,##0_);_("$"* \(#,##0\);_("$"* "-"??_);_(@_)</c:formatCode>
                <c:ptCount val="11"/>
                <c:pt idx="0">
                  <c:v>9372269</c:v>
                </c:pt>
                <c:pt idx="1">
                  <c:v>10890833</c:v>
                </c:pt>
                <c:pt idx="2">
                  <c:v>10022460</c:v>
                </c:pt>
                <c:pt idx="3">
                  <c:v>8823433</c:v>
                </c:pt>
                <c:pt idx="4">
                  <c:v>11594610</c:v>
                </c:pt>
                <c:pt idx="5">
                  <c:v>15637201</c:v>
                </c:pt>
                <c:pt idx="6">
                  <c:v>10852994</c:v>
                </c:pt>
                <c:pt idx="7">
                  <c:v>13826489</c:v>
                </c:pt>
                <c:pt idx="8">
                  <c:v>14289214</c:v>
                </c:pt>
                <c:pt idx="9">
                  <c:v>21678756</c:v>
                </c:pt>
                <c:pt idx="10">
                  <c:v>19000299</c:v>
                </c:pt>
              </c:numCache>
            </c:numRef>
          </c:val>
          <c:smooth val="0"/>
          <c:extLst>
            <c:ext xmlns:c16="http://schemas.microsoft.com/office/drawing/2014/chart" uri="{C3380CC4-5D6E-409C-BE32-E72D297353CC}">
              <c16:uniqueId val="{00000002-25BE-4659-A7CC-36B21E6FD97F}"/>
            </c:ext>
          </c:extLst>
        </c:ser>
        <c:ser>
          <c:idx val="3"/>
          <c:order val="3"/>
          <c:tx>
            <c:strRef>
              <c:f>'Public Works'!$A$19</c:f>
              <c:strCache>
                <c:ptCount val="1"/>
                <c:pt idx="0">
                  <c:v>Special Revenue Funds</c:v>
                </c:pt>
              </c:strCache>
            </c:strRef>
          </c:tx>
          <c:spPr>
            <a:ln w="28575" cap="rnd">
              <a:solidFill>
                <a:srgbClr val="996633"/>
              </a:solidFill>
              <a:round/>
            </a:ln>
            <a:effectLst/>
          </c:spPr>
          <c:marker>
            <c:symbol val="none"/>
          </c:marker>
          <c:cat>
            <c:numRef>
              <c:f>'Public Works'!$B$6:$L$6</c:f>
              <c:numCache>
                <c:formatCode>General</c:formatCode>
                <c:ptCount val="11"/>
              </c:numCache>
            </c:numRef>
          </c:cat>
          <c:val>
            <c:numRef>
              <c:f>'Public Works'!$B$19:$L$19</c:f>
              <c:numCache>
                <c:formatCode>_("$"* #,##0_);_("$"* \(#,##0\);_("$"* "-"??_);_(@_)</c:formatCode>
                <c:ptCount val="11"/>
                <c:pt idx="0">
                  <c:v>3627144</c:v>
                </c:pt>
                <c:pt idx="1">
                  <c:v>3842683</c:v>
                </c:pt>
                <c:pt idx="2">
                  <c:v>15790863</c:v>
                </c:pt>
                <c:pt idx="3">
                  <c:v>14197544</c:v>
                </c:pt>
                <c:pt idx="4">
                  <c:v>14015154</c:v>
                </c:pt>
                <c:pt idx="5">
                  <c:v>16393632</c:v>
                </c:pt>
                <c:pt idx="6">
                  <c:v>16828687</c:v>
                </c:pt>
                <c:pt idx="7">
                  <c:v>21296351</c:v>
                </c:pt>
                <c:pt idx="8">
                  <c:v>25123268</c:v>
                </c:pt>
                <c:pt idx="9">
                  <c:v>55148059</c:v>
                </c:pt>
                <c:pt idx="10">
                  <c:v>37536193</c:v>
                </c:pt>
              </c:numCache>
            </c:numRef>
          </c:val>
          <c:smooth val="0"/>
          <c:extLst>
            <c:ext xmlns:c16="http://schemas.microsoft.com/office/drawing/2014/chart" uri="{C3380CC4-5D6E-409C-BE32-E72D297353CC}">
              <c16:uniqueId val="{00000003-25BE-4659-A7CC-36B21E6FD97F}"/>
            </c:ext>
          </c:extLst>
        </c:ser>
        <c:ser>
          <c:idx val="5"/>
          <c:order val="5"/>
          <c:tx>
            <c:strRef>
              <c:f>'Public Works'!$A$21</c:f>
              <c:strCache>
                <c:ptCount val="1"/>
                <c:pt idx="0">
                  <c:v>Total City Budget Expenditures</c:v>
                </c:pt>
              </c:strCache>
            </c:strRef>
          </c:tx>
          <c:spPr>
            <a:ln w="28575" cap="rnd">
              <a:solidFill>
                <a:srgbClr val="FF0000"/>
              </a:solidFill>
              <a:round/>
            </a:ln>
            <a:effectLst/>
          </c:spPr>
          <c:marker>
            <c:symbol val="none"/>
          </c:marker>
          <c:cat>
            <c:numRef>
              <c:f>'Public Works'!$B$6:$L$6</c:f>
              <c:numCache>
                <c:formatCode>General</c:formatCode>
                <c:ptCount val="11"/>
              </c:numCache>
            </c:numRef>
          </c:cat>
          <c:val>
            <c:numRef>
              <c:f>'Public Works'!$B$21:$L$21</c:f>
              <c:numCache>
                <c:formatCode>_("$"* #,##0_);_("$"* \(#,##0\);_("$"* "-"??_);_(@_)</c:formatCode>
                <c:ptCount val="11"/>
                <c:pt idx="0">
                  <c:v>28024100</c:v>
                </c:pt>
                <c:pt idx="1">
                  <c:v>29653503</c:v>
                </c:pt>
                <c:pt idx="2">
                  <c:v>34429376</c:v>
                </c:pt>
                <c:pt idx="3">
                  <c:v>31746758</c:v>
                </c:pt>
                <c:pt idx="4">
                  <c:v>35642800</c:v>
                </c:pt>
                <c:pt idx="5">
                  <c:v>44994559</c:v>
                </c:pt>
                <c:pt idx="6">
                  <c:v>38025852</c:v>
                </c:pt>
                <c:pt idx="7">
                  <c:v>45334314</c:v>
                </c:pt>
                <c:pt idx="8">
                  <c:v>53862100</c:v>
                </c:pt>
                <c:pt idx="9">
                  <c:v>91892560</c:v>
                </c:pt>
                <c:pt idx="10">
                  <c:v>69831376</c:v>
                </c:pt>
              </c:numCache>
            </c:numRef>
          </c:val>
          <c:smooth val="0"/>
          <c:extLst>
            <c:ext xmlns:c16="http://schemas.microsoft.com/office/drawing/2014/chart" uri="{C3380CC4-5D6E-409C-BE32-E72D297353CC}">
              <c16:uniqueId val="{00000005-25BE-4659-A7CC-36B21E6FD97F}"/>
            </c:ext>
          </c:extLst>
        </c:ser>
        <c:dLbls>
          <c:showLegendKey val="0"/>
          <c:showVal val="0"/>
          <c:showCatName val="0"/>
          <c:showSerName val="0"/>
          <c:showPercent val="0"/>
          <c:showBubbleSize val="0"/>
        </c:dLbls>
        <c:smooth val="0"/>
        <c:axId val="733594392"/>
        <c:axId val="733598000"/>
        <c:extLst>
          <c:ext xmlns:c15="http://schemas.microsoft.com/office/drawing/2012/chart" uri="{02D57815-91ED-43cb-92C2-25804820EDAC}">
            <c15:filteredLineSeries>
              <c15:ser>
                <c:idx val="4"/>
                <c:order val="4"/>
                <c:tx>
                  <c:strRef>
                    <c:extLst>
                      <c:ext uri="{02D57815-91ED-43cb-92C2-25804820EDAC}">
                        <c15:formulaRef>
                          <c15:sqref>'Public Works'!$A$20</c15:sqref>
                        </c15:formulaRef>
                      </c:ext>
                    </c:extLst>
                    <c:strCache>
                      <c:ptCount val="1"/>
                    </c:strCache>
                  </c:strRef>
                </c:tx>
                <c:spPr>
                  <a:ln w="28575" cap="rnd">
                    <a:solidFill>
                      <a:schemeClr val="accent5"/>
                    </a:solidFill>
                    <a:round/>
                  </a:ln>
                  <a:effectLst/>
                </c:spPr>
                <c:marker>
                  <c:symbol val="none"/>
                </c:marker>
                <c:cat>
                  <c:numRef>
                    <c:extLst>
                      <c:ext uri="{02D57815-91ED-43cb-92C2-25804820EDAC}">
                        <c15:formulaRef>
                          <c15:sqref>'Public Works'!$B$6:$L$6</c15:sqref>
                        </c15:formulaRef>
                      </c:ext>
                    </c:extLst>
                    <c:numCache>
                      <c:formatCode>General</c:formatCode>
                      <c:ptCount val="11"/>
                    </c:numCache>
                  </c:numRef>
                </c:cat>
                <c:val>
                  <c:numRef>
                    <c:extLst>
                      <c:ext uri="{02D57815-91ED-43cb-92C2-25804820EDAC}">
                        <c15:formulaRef>
                          <c15:sqref>'Public Works'!$B$20:$L$20</c15:sqref>
                        </c15:formulaRef>
                      </c:ext>
                    </c:extLst>
                    <c:numCache>
                      <c:formatCode>_("$"* #,##0_);_("$"* \(#,##0\);_("$"* "-"??_);_(@_)</c:formatCode>
                      <c:ptCount val="11"/>
                    </c:numCache>
                  </c:numRef>
                </c:val>
                <c:smooth val="0"/>
                <c:extLst>
                  <c:ext xmlns:c16="http://schemas.microsoft.com/office/drawing/2014/chart" uri="{C3380CC4-5D6E-409C-BE32-E72D297353CC}">
                    <c16:uniqueId val="{00000004-25BE-4659-A7CC-36B21E6FD97F}"/>
                  </c:ext>
                </c:extLst>
              </c15:ser>
            </c15:filteredLineSeries>
          </c:ext>
        </c:extLst>
      </c:lineChart>
      <c:catAx>
        <c:axId val="733594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3598000"/>
        <c:crosses val="autoZero"/>
        <c:auto val="1"/>
        <c:lblAlgn val="ctr"/>
        <c:lblOffset val="100"/>
        <c:noMultiLvlLbl val="0"/>
      </c:catAx>
      <c:valAx>
        <c:axId val="73359800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3594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Public Works - Expenditures</a:t>
            </a:r>
            <a:r>
              <a:rPr lang="en-US" sz="1800" b="1" baseline="0"/>
              <a:t> per Capita</a:t>
            </a:r>
            <a:endParaRPr lang="en-US" sz="1800" b="1"/>
          </a:p>
        </c:rich>
      </c:tx>
      <c:layout/>
      <c:overlay val="0"/>
      <c:spPr>
        <a:noFill/>
        <a:ln>
          <a:noFill/>
        </a:ln>
        <a:effectLst/>
      </c:spPr>
    </c:title>
    <c:autoTitleDeleted val="0"/>
    <c:plotArea>
      <c:layout>
        <c:manualLayout>
          <c:layoutTarget val="inner"/>
          <c:xMode val="edge"/>
          <c:yMode val="edge"/>
          <c:x val="8.3191601049868766E-2"/>
          <c:y val="0.12504350382790363"/>
          <c:w val="0.90554079331632842"/>
          <c:h val="0.69495332490550465"/>
        </c:manualLayout>
      </c:layout>
      <c:lineChart>
        <c:grouping val="standard"/>
        <c:varyColors val="0"/>
        <c:ser>
          <c:idx val="6"/>
          <c:order val="0"/>
          <c:tx>
            <c:strRef>
              <c:f>'Public Works'!$A$25</c:f>
              <c:strCache>
                <c:ptCount val="1"/>
                <c:pt idx="0">
                  <c:v>Expenditures per Capita</c:v>
                </c:pt>
              </c:strCache>
            </c:strRef>
          </c:tx>
          <c:spPr>
            <a:ln>
              <a:solidFill>
                <a:srgbClr val="FF0000"/>
              </a:solidFill>
            </a:ln>
          </c:spPr>
          <c:marker>
            <c:symbol val="none"/>
          </c:marker>
          <c:cat>
            <c:numRef>
              <c:f>'Public Works'!$B$24:$L$24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'Public Works'!$B$25:$L$25</c:f>
              <c:numCache>
                <c:formatCode>"$"#,##0_);\("$"#,##0\)</c:formatCode>
                <c:ptCount val="11"/>
                <c:pt idx="0">
                  <c:v>159.31259301478738</c:v>
                </c:pt>
                <c:pt idx="1">
                  <c:v>157.55506185232204</c:v>
                </c:pt>
                <c:pt idx="2">
                  <c:v>64.790608048166845</c:v>
                </c:pt>
                <c:pt idx="3">
                  <c:v>66.617773034712513</c:v>
                </c:pt>
                <c:pt idx="4">
                  <c:v>73.583416228506465</c:v>
                </c:pt>
                <c:pt idx="5">
                  <c:v>77.534303856280005</c:v>
                </c:pt>
                <c:pt idx="6">
                  <c:v>72.384268591664394</c:v>
                </c:pt>
                <c:pt idx="7">
                  <c:v>73.093473146467701</c:v>
                </c:pt>
                <c:pt idx="8">
                  <c:v>76.493855485232061</c:v>
                </c:pt>
                <c:pt idx="9">
                  <c:v>91.400403820765703</c:v>
                </c:pt>
                <c:pt idx="10">
                  <c:v>71.425816662446195</c:v>
                </c:pt>
              </c:numCache>
            </c:numRef>
          </c:val>
          <c:smooth val="0"/>
          <c:extLst>
            <c:ext xmlns:c16="http://schemas.microsoft.com/office/drawing/2014/chart" uri="{C3380CC4-5D6E-409C-BE32-E72D297353CC}">
              <c16:uniqueId val="{0000000C-8570-4E67-B151-37F775B62DC5}"/>
            </c:ext>
          </c:extLst>
        </c:ser>
        <c:dLbls>
          <c:showLegendKey val="0"/>
          <c:showVal val="0"/>
          <c:showCatName val="0"/>
          <c:showSerName val="0"/>
          <c:showPercent val="0"/>
          <c:showBubbleSize val="0"/>
        </c:dLbls>
        <c:smooth val="0"/>
        <c:axId val="733594392"/>
        <c:axId val="733598000"/>
        <c:extLst/>
      </c:lineChart>
      <c:catAx>
        <c:axId val="733594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3598000"/>
        <c:crosses val="autoZero"/>
        <c:auto val="1"/>
        <c:lblAlgn val="ctr"/>
        <c:lblOffset val="100"/>
        <c:noMultiLvlLbl val="0"/>
      </c:catAx>
      <c:valAx>
        <c:axId val="73359800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3594392"/>
        <c:crosses val="autoZero"/>
        <c:crossBetween val="between"/>
      </c:valAx>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ln>
      <a:solidFill>
        <a:schemeClr val="bg1">
          <a:lumMod val="85000"/>
        </a:schemeClr>
      </a:solidFill>
    </a:ln>
  </c:spPr>
  <c:txPr>
    <a:bodyPr/>
    <a:lstStyle/>
    <a:p>
      <a:pPr>
        <a:defRPr/>
      </a:pPr>
      <a:endParaRPr lang="en-US"/>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Public Works - Expenditures</a:t>
            </a:r>
            <a:r>
              <a:rPr lang="en-US" sz="1800" b="1" baseline="0"/>
              <a:t> per FTE</a:t>
            </a:r>
            <a:endParaRPr lang="en-US" sz="1800" b="1"/>
          </a:p>
        </c:rich>
      </c:tx>
      <c:layout/>
      <c:overlay val="0"/>
      <c:spPr>
        <a:noFill/>
        <a:ln>
          <a:noFill/>
        </a:ln>
        <a:effectLst/>
      </c:spPr>
    </c:title>
    <c:autoTitleDeleted val="0"/>
    <c:plotArea>
      <c:layout>
        <c:manualLayout>
          <c:layoutTarget val="inner"/>
          <c:xMode val="edge"/>
          <c:yMode val="edge"/>
          <c:x val="8.3191601049868766E-2"/>
          <c:y val="0.12504350382790363"/>
          <c:w val="0.90554079331632842"/>
          <c:h val="0.69495332490550465"/>
        </c:manualLayout>
      </c:layout>
      <c:lineChart>
        <c:grouping val="standard"/>
        <c:varyColors val="0"/>
        <c:ser>
          <c:idx val="0"/>
          <c:order val="0"/>
          <c:tx>
            <c:strRef>
              <c:f>'Public Works'!$A$28</c:f>
              <c:strCache>
                <c:ptCount val="1"/>
                <c:pt idx="0">
                  <c:v>Expenditures per FTE</c:v>
                </c:pt>
              </c:strCache>
            </c:strRef>
          </c:tx>
          <c:spPr>
            <a:ln>
              <a:solidFill>
                <a:srgbClr val="FF0000"/>
              </a:solidFill>
            </a:ln>
          </c:spPr>
          <c:marker>
            <c:symbol val="none"/>
          </c:marker>
          <c:cat>
            <c:numRef>
              <c:f>'Public Works'!$B$24:$L$24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'Public Works'!$B$28:$L$28</c:f>
              <c:numCache>
                <c:formatCode>"$"#,##0_);\("$"#,##0\)</c:formatCode>
                <c:ptCount val="11"/>
                <c:pt idx="0">
                  <c:v>130715.79631073006</c:v>
                </c:pt>
                <c:pt idx="1">
                  <c:v>141402.95442501325</c:v>
                </c:pt>
                <c:pt idx="2">
                  <c:v>68666.260789149208</c:v>
                </c:pt>
                <c:pt idx="3">
                  <c:v>71473.665480427051</c:v>
                </c:pt>
                <c:pt idx="4">
                  <c:v>77713.717544649568</c:v>
                </c:pt>
                <c:pt idx="5">
                  <c:v>82650.892991145141</c:v>
                </c:pt>
                <c:pt idx="6">
                  <c:v>77211.288682260638</c:v>
                </c:pt>
                <c:pt idx="7">
                  <c:v>78706.687898089178</c:v>
                </c:pt>
                <c:pt idx="8">
                  <c:v>203019.91251093615</c:v>
                </c:pt>
                <c:pt idx="9">
                  <c:v>247131.33858267718</c:v>
                </c:pt>
                <c:pt idx="10">
                  <c:v>197417.70778652668</c:v>
                </c:pt>
              </c:numCache>
            </c:numRef>
          </c:val>
          <c:smooth val="0"/>
          <c:extLst>
            <c:ext xmlns:c16="http://schemas.microsoft.com/office/drawing/2014/chart" uri="{C3380CC4-5D6E-409C-BE32-E72D297353CC}">
              <c16:uniqueId val="{00000002-0C5A-4106-B376-B2AB012BC73C}"/>
            </c:ext>
          </c:extLst>
        </c:ser>
        <c:dLbls>
          <c:showLegendKey val="0"/>
          <c:showVal val="0"/>
          <c:showCatName val="0"/>
          <c:showSerName val="0"/>
          <c:showPercent val="0"/>
          <c:showBubbleSize val="0"/>
        </c:dLbls>
        <c:smooth val="0"/>
        <c:axId val="733594392"/>
        <c:axId val="733598000"/>
        <c:extLst/>
      </c:lineChart>
      <c:catAx>
        <c:axId val="733594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3598000"/>
        <c:crosses val="autoZero"/>
        <c:auto val="1"/>
        <c:lblAlgn val="ctr"/>
        <c:lblOffset val="100"/>
        <c:noMultiLvlLbl val="0"/>
      </c:catAx>
      <c:valAx>
        <c:axId val="73359800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3594392"/>
        <c:crosses val="autoZero"/>
        <c:crossBetween val="between"/>
      </c:valAx>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ln>
      <a:solidFill>
        <a:schemeClr val="bg1">
          <a:lumMod val="85000"/>
        </a:schemeClr>
      </a:solidFill>
    </a:ln>
  </c:spPr>
  <c:txPr>
    <a:bodyPr/>
    <a:lstStyle/>
    <a:p>
      <a:pPr>
        <a:defRPr/>
      </a:pPr>
      <a:endParaRPr lang="en-US"/>
    </a:p>
  </c:txPr>
  <c:printSettings>
    <c:headerFooter/>
    <c:pageMargins b="0.75" l="0.7" r="0.7" t="0.75" header="0.3" footer="0.3"/>
    <c:pageSetup orientation="portrait"/>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Water &amp; Power - Total Revenues</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995972850948807"/>
          <c:y val="0.12878468701206067"/>
          <c:w val="0.84449119709660825"/>
          <c:h val="0.71123832260544551"/>
        </c:manualLayout>
      </c:layout>
      <c:lineChart>
        <c:grouping val="standard"/>
        <c:varyColors val="0"/>
        <c:ser>
          <c:idx val="3"/>
          <c:order val="3"/>
          <c:tx>
            <c:strRef>
              <c:f>'Water &amp; Power'!$A$9</c:f>
              <c:strCache>
                <c:ptCount val="1"/>
                <c:pt idx="0">
                  <c:v>Enterprise Funds</c:v>
                </c:pt>
              </c:strCache>
              <c:extLst xmlns:c15="http://schemas.microsoft.com/office/drawing/2012/chart"/>
            </c:strRef>
          </c:tx>
          <c:spPr>
            <a:ln w="28575" cap="rnd">
              <a:solidFill>
                <a:srgbClr val="6666FF"/>
              </a:solidFill>
              <a:round/>
            </a:ln>
            <a:effectLst/>
          </c:spPr>
          <c:marker>
            <c:symbol val="none"/>
          </c:marker>
          <c:cat>
            <c:numRef>
              <c:f>'Water &amp; Power'!$B$5:$L$5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'Water &amp; Power'!$B$9:$L$9</c:f>
              <c:numCache>
                <c:formatCode>_("$"* #,##0_);_("$"* \(#,##0\);_("$"* "-"??_);_(@_)</c:formatCode>
                <c:ptCount val="11"/>
                <c:pt idx="0">
                  <c:v>62534597</c:v>
                </c:pt>
                <c:pt idx="1">
                  <c:v>64214587</c:v>
                </c:pt>
                <c:pt idx="2">
                  <c:v>76457322</c:v>
                </c:pt>
                <c:pt idx="3">
                  <c:v>75684871</c:v>
                </c:pt>
                <c:pt idx="4">
                  <c:v>86938731</c:v>
                </c:pt>
                <c:pt idx="5">
                  <c:v>95211554</c:v>
                </c:pt>
                <c:pt idx="6">
                  <c:v>113505237</c:v>
                </c:pt>
                <c:pt idx="7">
                  <c:v>112522578</c:v>
                </c:pt>
                <c:pt idx="8">
                  <c:v>125033890</c:v>
                </c:pt>
                <c:pt idx="9">
                  <c:v>140421277</c:v>
                </c:pt>
                <c:pt idx="10">
                  <c:v>156624788</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3-FFE8-4D1A-B96F-9EC4DEA726C5}"/>
            </c:ext>
          </c:extLst>
        </c:ser>
        <c:dLbls>
          <c:showLegendKey val="0"/>
          <c:showVal val="0"/>
          <c:showCatName val="0"/>
          <c:showSerName val="0"/>
          <c:showPercent val="0"/>
          <c:showBubbleSize val="0"/>
        </c:dLbls>
        <c:smooth val="0"/>
        <c:axId val="596621168"/>
        <c:axId val="596621496"/>
        <c:extLst>
          <c:ext xmlns:c15="http://schemas.microsoft.com/office/drawing/2012/chart" uri="{02D57815-91ED-43cb-92C2-25804820EDAC}">
            <c15:filteredLineSeries>
              <c15:ser>
                <c:idx val="0"/>
                <c:order val="0"/>
                <c:tx>
                  <c:strRef>
                    <c:extLst>
                      <c:ext uri="{02D57815-91ED-43cb-92C2-25804820EDAC}">
                        <c15:formulaRef>
                          <c15:sqref>'Water &amp; Power'!$A$5</c15:sqref>
                        </c15:formulaRef>
                      </c:ext>
                    </c:extLst>
                    <c:strCache>
                      <c:ptCount val="1"/>
                    </c:strCache>
                  </c:strRef>
                </c:tx>
                <c:spPr>
                  <a:ln w="28575" cap="rnd">
                    <a:solidFill>
                      <a:schemeClr val="accent1"/>
                    </a:solidFill>
                    <a:round/>
                  </a:ln>
                  <a:effectLst/>
                </c:spPr>
                <c:marker>
                  <c:symbol val="none"/>
                </c:marker>
                <c:cat>
                  <c:numRef>
                    <c:extLst>
                      <c:ext uri="{02D57815-91ED-43cb-92C2-25804820EDAC}">
                        <c15:formulaRef>
                          <c15:sqref>'Water &amp; Power'!$B$5:$L$5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'W&amp;P'!#REF!</c15:sqref>
                        </c15:formulaRef>
                      </c:ext>
                    </c:extLst>
                    <c:numCache>
                      <c:formatCode>General</c:formatCode>
                      <c:ptCount val="1"/>
                      <c:pt idx="0">
                        <c:v>1</c:v>
                      </c:pt>
                    </c:numCache>
                  </c:numRef>
                </c:val>
                <c:smooth val="0"/>
                <c:extLst>
                  <c:ext xmlns:c16="http://schemas.microsoft.com/office/drawing/2014/chart" uri="{C3380CC4-5D6E-409C-BE32-E72D297353CC}">
                    <c16:uniqueId val="{00000000-FFE8-4D1A-B96F-9EC4DEA726C5}"/>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'Water &amp; Power'!$A$7</c15:sqref>
                        </c15:formulaRef>
                      </c:ext>
                    </c:extLst>
                    <c:strCache>
                      <c:ptCount val="1"/>
                      <c:pt idx="0">
                        <c:v>General Fund</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'Water &amp; Power'!$B$5:$L$5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'Water &amp; Power'!$B$7:$L$7</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1-FFE8-4D1A-B96F-9EC4DEA726C5}"/>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'Water &amp; Power'!$A$8</c15:sqref>
                        </c15:formulaRef>
                      </c:ext>
                    </c:extLst>
                    <c:strCache>
                      <c:ptCount val="1"/>
                      <c:pt idx="0">
                        <c:v>Internal Service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'Water &amp; Power'!$B$5:$L$5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'Water &amp; Power'!$B$8:$L$8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2-FFE8-4D1A-B96F-9EC4DEA726C5}"/>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'Water &amp; Power'!$A$10</c15:sqref>
                        </c15:formulaRef>
                      </c:ext>
                    </c:extLst>
                    <c:strCache>
                      <c:ptCount val="1"/>
                      <c:pt idx="0">
                        <c:v>Special Revenue Funds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'Water &amp; Power'!$B$5:$L$5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'Water &amp; Power'!$B$10:$L$10</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4-FFE8-4D1A-B96F-9EC4DEA726C5}"/>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'Water &amp; Power'!$A$11</c15:sqref>
                        </c15:formulaRef>
                      </c:ext>
                    </c:extLst>
                    <c:strCache>
                      <c:ptCount val="1"/>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'Water &amp; Power'!$B$5:$L$5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'Water &amp; Power'!$B$11:$L$11</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5-FFE8-4D1A-B96F-9EC4DEA726C5}"/>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'Water &amp; Power'!$A$12</c15:sqref>
                        </c15:formulaRef>
                      </c:ext>
                    </c:extLst>
                    <c:strCache>
                      <c:ptCount val="1"/>
                      <c:pt idx="0">
                        <c:v>Total City Budget Revenues</c:v>
                      </c:pt>
                    </c:strCache>
                  </c:strRef>
                </c:tx>
                <c:spPr>
                  <a:ln w="28575" cap="rnd">
                    <a:solidFill>
                      <a:schemeClr val="accent1">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'Water &amp; Power'!$B$5:$L$5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'Water &amp; Power'!$B$12:$L$12</c15:sqref>
                        </c15:formulaRef>
                      </c:ext>
                    </c:extLst>
                    <c:numCache>
                      <c:formatCode>_("$"* #,##0_);_("$"* \(#,##0\);_("$"* "-"??_);_(@_)</c:formatCode>
                      <c:ptCount val="11"/>
                      <c:pt idx="0">
                        <c:v>62534597</c:v>
                      </c:pt>
                      <c:pt idx="1">
                        <c:v>64214587</c:v>
                      </c:pt>
                      <c:pt idx="2">
                        <c:v>76457322</c:v>
                      </c:pt>
                      <c:pt idx="3">
                        <c:v>75684871</c:v>
                      </c:pt>
                      <c:pt idx="4">
                        <c:v>86938731</c:v>
                      </c:pt>
                      <c:pt idx="5">
                        <c:v>95211554</c:v>
                      </c:pt>
                      <c:pt idx="6">
                        <c:v>113505237</c:v>
                      </c:pt>
                      <c:pt idx="7">
                        <c:v>112522578</c:v>
                      </c:pt>
                      <c:pt idx="8">
                        <c:v>125033890</c:v>
                      </c:pt>
                      <c:pt idx="9">
                        <c:v>140421277</c:v>
                      </c:pt>
                      <c:pt idx="10">
                        <c:v>156624788</c:v>
                      </c:pt>
                    </c:numCache>
                  </c:numRef>
                </c:val>
                <c:smooth val="0"/>
                <c:extLst xmlns:c15="http://schemas.microsoft.com/office/drawing/2012/chart">
                  <c:ext xmlns:c16="http://schemas.microsoft.com/office/drawing/2014/chart" uri="{C3380CC4-5D6E-409C-BE32-E72D297353CC}">
                    <c16:uniqueId val="{00000006-FFE8-4D1A-B96F-9EC4DEA726C5}"/>
                  </c:ext>
                </c:extLst>
              </c15:ser>
            </c15:filteredLineSeries>
          </c:ext>
        </c:extLst>
      </c:lineChart>
      <c:catAx>
        <c:axId val="596621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6621496"/>
        <c:crosses val="autoZero"/>
        <c:auto val="1"/>
        <c:lblAlgn val="ctr"/>
        <c:lblOffset val="100"/>
        <c:noMultiLvlLbl val="0"/>
      </c:catAx>
      <c:valAx>
        <c:axId val="59662149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6621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Water &amp;</a:t>
            </a:r>
            <a:r>
              <a:rPr lang="en-US" sz="1800" b="1" baseline="0"/>
              <a:t> Power - Total Expenditures</a:t>
            </a:r>
            <a:endParaRPr lang="en-US"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2"/>
          <c:order val="2"/>
          <c:tx>
            <c:strRef>
              <c:f>'Water &amp; Power'!$A$18</c:f>
              <c:strCache>
                <c:ptCount val="1"/>
                <c:pt idx="0">
                  <c:v>Enterprise Funds</c:v>
                </c:pt>
              </c:strCache>
            </c:strRef>
          </c:tx>
          <c:spPr>
            <a:ln w="28575" cap="rnd">
              <a:solidFill>
                <a:srgbClr val="6666FF"/>
              </a:solidFill>
              <a:round/>
            </a:ln>
            <a:effectLst/>
          </c:spPr>
          <c:marker>
            <c:symbol val="none"/>
          </c:marker>
          <c:cat>
            <c:numRef>
              <c:f>'Water &amp; Power'!$B$5:$L$5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'Water &amp; Power'!$B$18:$L$18</c:f>
              <c:numCache>
                <c:formatCode>_("$"* #,##0_);_("$"* \(#,##0\);_("$"* "-"??_);_(@_)</c:formatCode>
                <c:ptCount val="11"/>
                <c:pt idx="0">
                  <c:v>60470566</c:v>
                </c:pt>
                <c:pt idx="1">
                  <c:v>60363532</c:v>
                </c:pt>
                <c:pt idx="2">
                  <c:v>79506699</c:v>
                </c:pt>
                <c:pt idx="3">
                  <c:v>74895896</c:v>
                </c:pt>
                <c:pt idx="4">
                  <c:v>88309308</c:v>
                </c:pt>
                <c:pt idx="5">
                  <c:v>106301998</c:v>
                </c:pt>
                <c:pt idx="6">
                  <c:v>129306404</c:v>
                </c:pt>
                <c:pt idx="7">
                  <c:v>120190453</c:v>
                </c:pt>
                <c:pt idx="8">
                  <c:v>131086189</c:v>
                </c:pt>
                <c:pt idx="9">
                  <c:v>176485074</c:v>
                </c:pt>
                <c:pt idx="10">
                  <c:v>176043403</c:v>
                </c:pt>
              </c:numCache>
            </c:numRef>
          </c:val>
          <c:smooth val="0"/>
          <c:extLst>
            <c:ext xmlns:c16="http://schemas.microsoft.com/office/drawing/2014/chart" uri="{C3380CC4-5D6E-409C-BE32-E72D297353CC}">
              <c16:uniqueId val="{00000002-043C-4280-9E05-D322D938737C}"/>
            </c:ext>
          </c:extLst>
        </c:ser>
        <c:dLbls>
          <c:showLegendKey val="0"/>
          <c:showVal val="0"/>
          <c:showCatName val="0"/>
          <c:showSerName val="0"/>
          <c:showPercent val="0"/>
          <c:showBubbleSize val="0"/>
        </c:dLbls>
        <c:smooth val="0"/>
        <c:axId val="820160072"/>
        <c:axId val="820154168"/>
        <c:extLst>
          <c:ext xmlns:c15="http://schemas.microsoft.com/office/drawing/2012/chart" uri="{02D57815-91ED-43cb-92C2-25804820EDAC}">
            <c15:filteredLineSeries>
              <c15:ser>
                <c:idx val="0"/>
                <c:order val="0"/>
                <c:tx>
                  <c:strRef>
                    <c:extLst>
                      <c:ext uri="{02D57815-91ED-43cb-92C2-25804820EDAC}">
                        <c15:formulaRef>
                          <c15:sqref>'Water &amp; Power'!$A$16</c15:sqref>
                        </c15:formulaRef>
                      </c:ext>
                    </c:extLst>
                    <c:strCache>
                      <c:ptCount val="1"/>
                      <c:pt idx="0">
                        <c:v>General Fund</c:v>
                      </c:pt>
                    </c:strCache>
                  </c:strRef>
                </c:tx>
                <c:spPr>
                  <a:ln w="28575" cap="rnd">
                    <a:solidFill>
                      <a:schemeClr val="accent1"/>
                    </a:solidFill>
                    <a:round/>
                  </a:ln>
                  <a:effectLst/>
                </c:spPr>
                <c:marker>
                  <c:symbol val="none"/>
                </c:marker>
                <c:cat>
                  <c:numRef>
                    <c:extLst>
                      <c:ext uri="{02D57815-91ED-43cb-92C2-25804820EDAC}">
                        <c15:formulaRef>
                          <c15:sqref>'Water &amp; Power'!$B$5:$L$5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'Water &amp; Power'!$B$16:$L$16</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0-043C-4280-9E05-D322D938737C}"/>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'Water &amp; Power'!$A$17</c15:sqref>
                        </c15:formulaRef>
                      </c:ext>
                    </c:extLst>
                    <c:strCache>
                      <c:ptCount val="1"/>
                      <c:pt idx="0">
                        <c:v>Internal Service Funds</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'Water &amp; Power'!$B$5:$L$5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'Water &amp; Power'!$B$17:$L$17</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1-043C-4280-9E05-D322D938737C}"/>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'Water &amp; Power'!$A$19</c15:sqref>
                        </c15:formulaRef>
                      </c:ext>
                    </c:extLst>
                    <c:strCache>
                      <c:ptCount val="1"/>
                      <c:pt idx="0">
                        <c:v>Special Revenue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'Water &amp; Power'!$B$5:$L$5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'Water &amp; Power'!$B$19:$L$19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3-043C-4280-9E05-D322D938737C}"/>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'Water &amp; Power'!$A$20</c15:sqref>
                        </c15:formulaRef>
                      </c:ext>
                    </c:extLst>
                    <c:strCache>
                      <c:ptCount val="1"/>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'Water &amp; Power'!$B$5:$L$5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'Water &amp; Power'!$B$20:$L$20</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4-043C-4280-9E05-D322D938737C}"/>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'Water &amp; Power'!$A$21</c15:sqref>
                        </c15:formulaRef>
                      </c:ext>
                    </c:extLst>
                    <c:strCache>
                      <c:ptCount val="1"/>
                      <c:pt idx="0">
                        <c:v>Total City Budget Expenditures</c:v>
                      </c:pt>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'Water &amp; Power'!$B$5:$L$5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'Water &amp; Power'!$B$21:$L$21</c15:sqref>
                        </c15:formulaRef>
                      </c:ext>
                    </c:extLst>
                    <c:numCache>
                      <c:formatCode>_("$"* #,##0_);_("$"* \(#,##0\);_("$"* "-"??_);_(@_)</c:formatCode>
                      <c:ptCount val="11"/>
                      <c:pt idx="0">
                        <c:v>60470566</c:v>
                      </c:pt>
                      <c:pt idx="1">
                        <c:v>60363532</c:v>
                      </c:pt>
                      <c:pt idx="2">
                        <c:v>79506699</c:v>
                      </c:pt>
                      <c:pt idx="3">
                        <c:v>74895896</c:v>
                      </c:pt>
                      <c:pt idx="4">
                        <c:v>88309308</c:v>
                      </c:pt>
                      <c:pt idx="5">
                        <c:v>106301998</c:v>
                      </c:pt>
                      <c:pt idx="6">
                        <c:v>129306404</c:v>
                      </c:pt>
                      <c:pt idx="7">
                        <c:v>120190453</c:v>
                      </c:pt>
                      <c:pt idx="8">
                        <c:v>131086189</c:v>
                      </c:pt>
                      <c:pt idx="9">
                        <c:v>176485074</c:v>
                      </c:pt>
                      <c:pt idx="10">
                        <c:v>176043403</c:v>
                      </c:pt>
                    </c:numCache>
                  </c:numRef>
                </c:val>
                <c:smooth val="0"/>
                <c:extLst xmlns:c15="http://schemas.microsoft.com/office/drawing/2012/chart">
                  <c:ext xmlns:c16="http://schemas.microsoft.com/office/drawing/2014/chart" uri="{C3380CC4-5D6E-409C-BE32-E72D297353CC}">
                    <c16:uniqueId val="{00000005-043C-4280-9E05-D322D938737C}"/>
                  </c:ext>
                </c:extLst>
              </c15:ser>
            </c15:filteredLineSeries>
          </c:ext>
        </c:extLst>
      </c:lineChart>
      <c:catAx>
        <c:axId val="820160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154168"/>
        <c:crosses val="autoZero"/>
        <c:auto val="1"/>
        <c:lblAlgn val="ctr"/>
        <c:lblOffset val="100"/>
        <c:noMultiLvlLbl val="0"/>
      </c:catAx>
      <c:valAx>
        <c:axId val="82015416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160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Water &amp;</a:t>
            </a:r>
            <a:r>
              <a:rPr lang="en-US" sz="1800" b="1" baseline="0"/>
              <a:t> Power - Expenditures per Capita</a:t>
            </a:r>
            <a:endParaRPr lang="en-US" sz="1800" b="1"/>
          </a:p>
        </c:rich>
      </c:tx>
      <c:overlay val="0"/>
      <c:spPr>
        <a:noFill/>
        <a:ln>
          <a:noFill/>
        </a:ln>
        <a:effectLst/>
      </c:spPr>
    </c:title>
    <c:autoTitleDeleted val="0"/>
    <c:plotArea>
      <c:layout/>
      <c:lineChart>
        <c:grouping val="standard"/>
        <c:varyColors val="0"/>
        <c:ser>
          <c:idx val="6"/>
          <c:order val="0"/>
          <c:tx>
            <c:strRef>
              <c:f>'Water &amp; Power'!$A$25</c:f>
              <c:strCache>
                <c:ptCount val="1"/>
                <c:pt idx="0">
                  <c:v>Expenditures per Capita</c:v>
                </c:pt>
              </c:strCache>
            </c:strRef>
          </c:tx>
          <c:spPr>
            <a:ln>
              <a:solidFill>
                <a:srgbClr val="FF0000"/>
              </a:solidFill>
            </a:ln>
          </c:spPr>
          <c:marker>
            <c:symbol val="none"/>
          </c:marker>
          <c:cat>
            <c:numRef>
              <c:f>'Water &amp; Power'!$B$24:$L$24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'Water &amp; Power'!$B$25:$L$25</c:f>
              <c:numCache>
                <c:formatCode>"$"#,##0_);\("$"#,##0\)</c:formatCode>
                <c:ptCount val="11"/>
                <c:pt idx="0">
                  <c:v>990.06676482695286</c:v>
                </c:pt>
                <c:pt idx="1">
                  <c:v>947.92871482979535</c:v>
                </c:pt>
                <c:pt idx="2">
                  <c:v>1111.9285932432629</c:v>
                </c:pt>
                <c:pt idx="3">
                  <c:v>1091.4880229589996</c:v>
                </c:pt>
                <c:pt idx="4">
                  <c:v>1235.4516271138268</c:v>
                </c:pt>
                <c:pt idx="5">
                  <c:v>1340.4980359581568</c:v>
                </c:pt>
                <c:pt idx="6">
                  <c:v>1545.971628983928</c:v>
                </c:pt>
                <c:pt idx="7">
                  <c:v>1512.705222827183</c:v>
                </c:pt>
                <c:pt idx="8">
                  <c:v>1648.6536128691982</c:v>
                </c:pt>
                <c:pt idx="9">
                  <c:v>1817.4688333203903</c:v>
                </c:pt>
                <c:pt idx="10">
                  <c:v>1983.0943023550267</c:v>
                </c:pt>
              </c:numCache>
            </c:numRef>
          </c:val>
          <c:smooth val="0"/>
          <c:extLst>
            <c:ext xmlns:c16="http://schemas.microsoft.com/office/drawing/2014/chart" uri="{C3380CC4-5D6E-409C-BE32-E72D297353CC}">
              <c16:uniqueId val="{0000000C-D9F3-4522-8EED-C61B46C54FAD}"/>
            </c:ext>
          </c:extLst>
        </c:ser>
        <c:dLbls>
          <c:showLegendKey val="0"/>
          <c:showVal val="0"/>
          <c:showCatName val="0"/>
          <c:showSerName val="0"/>
          <c:showPercent val="0"/>
          <c:showBubbleSize val="0"/>
        </c:dLbls>
        <c:smooth val="0"/>
        <c:axId val="820160072"/>
        <c:axId val="820154168"/>
        <c:extLst>
          <c:ext xmlns:c15="http://schemas.microsoft.com/office/drawing/2012/chart" uri="{02D57815-91ED-43cb-92C2-25804820EDAC}">
            <c15:filteredLineSeries>
              <c15:ser>
                <c:idx val="0"/>
                <c:order val="1"/>
                <c:tx>
                  <c:strRef>
                    <c:extLst>
                      <c:ext uri="{02D57815-91ED-43cb-92C2-25804820EDAC}">
                        <c15:formulaRef>
                          <c15:sqref>'Water &amp; Power'!$A$16</c15:sqref>
                        </c15:formulaRef>
                      </c:ext>
                    </c:extLst>
                    <c:strCache>
                      <c:ptCount val="1"/>
                      <c:pt idx="0">
                        <c:v>General Fund</c:v>
                      </c:pt>
                    </c:strCache>
                  </c:strRef>
                </c:tx>
                <c:spPr>
                  <a:ln w="28575" cap="rnd">
                    <a:solidFill>
                      <a:schemeClr val="accent1"/>
                    </a:solidFill>
                    <a:round/>
                  </a:ln>
                  <a:effectLst/>
                </c:spPr>
                <c:marker>
                  <c:symbol val="none"/>
                </c:marker>
                <c:cat>
                  <c:numRef>
                    <c:extLst>
                      <c:ext uri="{02D57815-91ED-43cb-92C2-25804820EDAC}">
                        <c15:formulaRef>
                          <c15:sqref>'Water &amp; Power'!$B$5:$L$5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'Water &amp; Power'!$B$16:$L$16</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3-D9F3-4522-8EED-C61B46C54FAD}"/>
                  </c:ext>
                </c:extLst>
              </c15:ser>
            </c15:filteredLineSeries>
            <c15:filteredLineSeries>
              <c15:ser>
                <c:idx val="1"/>
                <c:order val="2"/>
                <c:tx>
                  <c:strRef>
                    <c:extLst xmlns:c15="http://schemas.microsoft.com/office/drawing/2012/chart">
                      <c:ext xmlns:c15="http://schemas.microsoft.com/office/drawing/2012/chart" uri="{02D57815-91ED-43cb-92C2-25804820EDAC}">
                        <c15:formulaRef>
                          <c15:sqref>'Water &amp; Power'!$A$17</c15:sqref>
                        </c15:formulaRef>
                      </c:ext>
                    </c:extLst>
                    <c:strCache>
                      <c:ptCount val="1"/>
                      <c:pt idx="0">
                        <c:v>Internal Service Funds</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'Water &amp; Power'!$B$5:$L$5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'Water &amp; Power'!$B$17:$L$17</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5-D9F3-4522-8EED-C61B46C54FAD}"/>
                  </c:ext>
                </c:extLst>
              </c15:ser>
            </c15:filteredLineSeries>
            <c15:filteredLineSeries>
              <c15:ser>
                <c:idx val="2"/>
                <c:order val="3"/>
                <c:tx>
                  <c:strRef>
                    <c:extLst xmlns:c15="http://schemas.microsoft.com/office/drawing/2012/chart">
                      <c:ext xmlns:c15="http://schemas.microsoft.com/office/drawing/2012/chart" uri="{02D57815-91ED-43cb-92C2-25804820EDAC}">
                        <c15:formulaRef>
                          <c15:sqref>'Water &amp; Power'!$A$18</c15:sqref>
                        </c15:formulaRef>
                      </c:ext>
                    </c:extLst>
                    <c:strCache>
                      <c:ptCount val="1"/>
                      <c:pt idx="0">
                        <c:v>Enterprise Funds</c:v>
                      </c:pt>
                    </c:strCache>
                  </c:strRef>
                </c:tx>
                <c:spPr>
                  <a:ln w="28575" cap="rnd">
                    <a:solidFill>
                      <a:srgbClr val="6666FF"/>
                    </a:solidFill>
                    <a:round/>
                  </a:ln>
                  <a:effectLst/>
                </c:spPr>
                <c:marker>
                  <c:symbol val="none"/>
                </c:marker>
                <c:cat>
                  <c:numRef>
                    <c:extLst xmlns:c15="http://schemas.microsoft.com/office/drawing/2012/chart">
                      <c:ext xmlns:c15="http://schemas.microsoft.com/office/drawing/2012/chart" uri="{02D57815-91ED-43cb-92C2-25804820EDAC}">
                        <c15:formulaRef>
                          <c15:sqref>'Water &amp; Power'!$B$5:$L$5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'Water &amp; Power'!$B$18:$L$18</c15:sqref>
                        </c15:formulaRef>
                      </c:ext>
                    </c:extLst>
                    <c:numCache>
                      <c:formatCode>_("$"* #,##0_);_("$"* \(#,##0\);_("$"* "-"??_);_(@_)</c:formatCode>
                      <c:ptCount val="11"/>
                      <c:pt idx="0">
                        <c:v>60470566</c:v>
                      </c:pt>
                      <c:pt idx="1">
                        <c:v>60363532</c:v>
                      </c:pt>
                      <c:pt idx="2">
                        <c:v>79506699</c:v>
                      </c:pt>
                      <c:pt idx="3">
                        <c:v>74895896</c:v>
                      </c:pt>
                      <c:pt idx="4">
                        <c:v>88309308</c:v>
                      </c:pt>
                      <c:pt idx="5">
                        <c:v>106301998</c:v>
                      </c:pt>
                      <c:pt idx="6">
                        <c:v>129306404</c:v>
                      </c:pt>
                      <c:pt idx="7">
                        <c:v>120190453</c:v>
                      </c:pt>
                      <c:pt idx="8">
                        <c:v>131086189</c:v>
                      </c:pt>
                      <c:pt idx="9">
                        <c:v>176485074</c:v>
                      </c:pt>
                      <c:pt idx="10">
                        <c:v>176043403</c:v>
                      </c:pt>
                    </c:numCache>
                  </c:numRef>
                </c:val>
                <c:smooth val="0"/>
                <c:extLst xmlns:c15="http://schemas.microsoft.com/office/drawing/2012/chart">
                  <c:ext xmlns:c16="http://schemas.microsoft.com/office/drawing/2014/chart" uri="{C3380CC4-5D6E-409C-BE32-E72D297353CC}">
                    <c16:uniqueId val="{00000001-D9F3-4522-8EED-C61B46C54FAD}"/>
                  </c:ext>
                </c:extLst>
              </c15:ser>
            </c15:filteredLineSeries>
            <c15:filteredLineSeries>
              <c15:ser>
                <c:idx val="3"/>
                <c:order val="4"/>
                <c:tx>
                  <c:strRef>
                    <c:extLst xmlns:c15="http://schemas.microsoft.com/office/drawing/2012/chart">
                      <c:ext xmlns:c15="http://schemas.microsoft.com/office/drawing/2012/chart" uri="{02D57815-91ED-43cb-92C2-25804820EDAC}">
                        <c15:formulaRef>
                          <c15:sqref>'Water &amp; Power'!$A$19</c15:sqref>
                        </c15:formulaRef>
                      </c:ext>
                    </c:extLst>
                    <c:strCache>
                      <c:ptCount val="1"/>
                      <c:pt idx="0">
                        <c:v>Special Revenue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'Water &amp; Power'!$B$5:$L$5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'Water &amp; Power'!$B$19:$L$19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7-D9F3-4522-8EED-C61B46C54FAD}"/>
                  </c:ext>
                </c:extLst>
              </c15:ser>
            </c15:filteredLineSeries>
            <c15:filteredLineSeries>
              <c15:ser>
                <c:idx val="4"/>
                <c:order val="5"/>
                <c:tx>
                  <c:strRef>
                    <c:extLst xmlns:c15="http://schemas.microsoft.com/office/drawing/2012/chart">
                      <c:ext xmlns:c15="http://schemas.microsoft.com/office/drawing/2012/chart" uri="{02D57815-91ED-43cb-92C2-25804820EDAC}">
                        <c15:formulaRef>
                          <c15:sqref>'Water &amp; Power'!$A$20</c15:sqref>
                        </c15:formulaRef>
                      </c:ext>
                    </c:extLst>
                    <c:strCache>
                      <c:ptCount val="1"/>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'Water &amp; Power'!$B$5:$L$5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'Water &amp; Power'!$B$20:$L$20</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9-D9F3-4522-8EED-C61B46C54FAD}"/>
                  </c:ext>
                </c:extLst>
              </c15:ser>
            </c15:filteredLineSeries>
          </c:ext>
        </c:extLst>
      </c:lineChart>
      <c:catAx>
        <c:axId val="820160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154168"/>
        <c:crosses val="autoZero"/>
        <c:auto val="1"/>
        <c:lblAlgn val="ctr"/>
        <c:lblOffset val="100"/>
        <c:noMultiLvlLbl val="0"/>
      </c:catAx>
      <c:valAx>
        <c:axId val="82015416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160072"/>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Water &amp;</a:t>
            </a:r>
            <a:r>
              <a:rPr lang="en-US" sz="1800" b="1" baseline="0"/>
              <a:t> Power - Expenditures per FTE</a:t>
            </a:r>
            <a:endParaRPr lang="en-US" sz="1800" b="1"/>
          </a:p>
        </c:rich>
      </c:tx>
      <c:overlay val="0"/>
      <c:spPr>
        <a:noFill/>
        <a:ln>
          <a:noFill/>
        </a:ln>
        <a:effectLst/>
      </c:spPr>
    </c:title>
    <c:autoTitleDeleted val="0"/>
    <c:plotArea>
      <c:layout/>
      <c:lineChart>
        <c:grouping val="standard"/>
        <c:varyColors val="0"/>
        <c:ser>
          <c:idx val="5"/>
          <c:order val="0"/>
          <c:tx>
            <c:strRef>
              <c:f>'Water &amp; Power'!$A$28</c:f>
              <c:strCache>
                <c:ptCount val="1"/>
                <c:pt idx="0">
                  <c:v>Expenditures per FTE</c:v>
                </c:pt>
              </c:strCache>
            </c:strRef>
          </c:tx>
          <c:spPr>
            <a:ln>
              <a:solidFill>
                <a:srgbClr val="FF0000"/>
              </a:solidFill>
            </a:ln>
          </c:spPr>
          <c:marker>
            <c:symbol val="none"/>
          </c:marker>
          <c:cat>
            <c:numRef>
              <c:f>'Water &amp; Power'!$B$24:$L$24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'Water &amp; Power'!$B$28:$L$28</c:f>
              <c:numCache>
                <c:formatCode>"$"#,##0_);\("$"#,##0\)</c:formatCode>
                <c:ptCount val="11"/>
                <c:pt idx="0">
                  <c:v>489640.21052631584</c:v>
                </c:pt>
                <c:pt idx="1">
                  <c:v>530668.41318681324</c:v>
                </c:pt>
                <c:pt idx="2">
                  <c:v>700499.55066079297</c:v>
                </c:pt>
                <c:pt idx="3">
                  <c:v>638335.42998380633</c:v>
                </c:pt>
                <c:pt idx="4">
                  <c:v>788616.78871227009</c:v>
                </c:pt>
                <c:pt idx="5">
                  <c:v>874337.86807040626</c:v>
                </c:pt>
                <c:pt idx="6">
                  <c:v>1000436.3945841392</c:v>
                </c:pt>
                <c:pt idx="7">
                  <c:v>908812.49905482039</c:v>
                </c:pt>
                <c:pt idx="8">
                  <c:v>959284.22246615437</c:v>
                </c:pt>
                <c:pt idx="9">
                  <c:v>1228576.9161155587</c:v>
                </c:pt>
                <c:pt idx="10">
                  <c:v>1203509.8478892497</c:v>
                </c:pt>
              </c:numCache>
            </c:numRef>
          </c:val>
          <c:smooth val="0"/>
          <c:extLst>
            <c:ext xmlns:c16="http://schemas.microsoft.com/office/drawing/2014/chart" uri="{C3380CC4-5D6E-409C-BE32-E72D297353CC}">
              <c16:uniqueId val="{0000000C-D42D-431E-B9E3-9EDC7410E25B}"/>
            </c:ext>
          </c:extLst>
        </c:ser>
        <c:dLbls>
          <c:showLegendKey val="0"/>
          <c:showVal val="0"/>
          <c:showCatName val="0"/>
          <c:showSerName val="0"/>
          <c:showPercent val="0"/>
          <c:showBubbleSize val="0"/>
        </c:dLbls>
        <c:smooth val="0"/>
        <c:axId val="820160072"/>
        <c:axId val="820154168"/>
        <c:extLst>
          <c:ext xmlns:c15="http://schemas.microsoft.com/office/drawing/2012/chart" uri="{02D57815-91ED-43cb-92C2-25804820EDAC}">
            <c15:filteredLineSeries>
              <c15:ser>
                <c:idx val="6"/>
                <c:order val="1"/>
                <c:tx>
                  <c:strRef>
                    <c:extLst>
                      <c:ext uri="{02D57815-91ED-43cb-92C2-25804820EDAC}">
                        <c15:formulaRef>
                          <c15:sqref>'Water &amp; Power'!$A$25</c15:sqref>
                        </c15:formulaRef>
                      </c:ext>
                    </c:extLst>
                    <c:strCache>
                      <c:ptCount val="1"/>
                      <c:pt idx="0">
                        <c:v>Expenditures per Capita</c:v>
                      </c:pt>
                    </c:strCache>
                  </c:strRef>
                </c:tx>
                <c:spPr>
                  <a:ln>
                    <a:solidFill>
                      <a:srgbClr val="FF0000"/>
                    </a:solidFill>
                  </a:ln>
                </c:spPr>
                <c:marker>
                  <c:symbol val="none"/>
                </c:marker>
                <c:cat>
                  <c:numRef>
                    <c:extLst>
                      <c:ext uri="{02D57815-91ED-43cb-92C2-25804820EDAC}">
                        <c15:formulaRef>
                          <c15:sqref>'Water &amp; Power'!$B$24:$L$24</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'Water &amp; Power'!$B$25:$L$25</c15:sqref>
                        </c15:formulaRef>
                      </c:ext>
                    </c:extLst>
                    <c:numCache>
                      <c:formatCode>"$"#,##0_);\("$"#,##0\)</c:formatCode>
                      <c:ptCount val="11"/>
                      <c:pt idx="0">
                        <c:v>990.06676482695286</c:v>
                      </c:pt>
                      <c:pt idx="1">
                        <c:v>947.92871482979535</c:v>
                      </c:pt>
                      <c:pt idx="2">
                        <c:v>1111.9285932432629</c:v>
                      </c:pt>
                      <c:pt idx="3">
                        <c:v>1091.4880229589996</c:v>
                      </c:pt>
                      <c:pt idx="4">
                        <c:v>1235.4516271138268</c:v>
                      </c:pt>
                      <c:pt idx="5">
                        <c:v>1340.4980359581568</c:v>
                      </c:pt>
                      <c:pt idx="6">
                        <c:v>1545.971628983928</c:v>
                      </c:pt>
                      <c:pt idx="7">
                        <c:v>1512.705222827183</c:v>
                      </c:pt>
                      <c:pt idx="8">
                        <c:v>1648.6536128691982</c:v>
                      </c:pt>
                      <c:pt idx="9">
                        <c:v>1817.4688333203903</c:v>
                      </c:pt>
                      <c:pt idx="10">
                        <c:v>1983.0943023550267</c:v>
                      </c:pt>
                    </c:numCache>
                  </c:numRef>
                </c:val>
                <c:smooth val="0"/>
                <c:extLst>
                  <c:ext xmlns:c16="http://schemas.microsoft.com/office/drawing/2014/chart" uri="{C3380CC4-5D6E-409C-BE32-E72D297353CC}">
                    <c16:uniqueId val="{00000001-D42D-431E-B9E3-9EDC7410E25B}"/>
                  </c:ext>
                </c:extLst>
              </c15:ser>
            </c15:filteredLineSeries>
            <c15:filteredLineSeries>
              <c15:ser>
                <c:idx val="0"/>
                <c:order val="2"/>
                <c:tx>
                  <c:strRef>
                    <c:extLst xmlns:c15="http://schemas.microsoft.com/office/drawing/2012/chart">
                      <c:ext xmlns:c15="http://schemas.microsoft.com/office/drawing/2012/chart" uri="{02D57815-91ED-43cb-92C2-25804820EDAC}">
                        <c15:formulaRef>
                          <c15:sqref>'Water &amp; Power'!$A$16</c15:sqref>
                        </c15:formulaRef>
                      </c:ext>
                    </c:extLst>
                    <c:strCache>
                      <c:ptCount val="1"/>
                      <c:pt idx="0">
                        <c:v>General Fund</c:v>
                      </c:pt>
                    </c:strCache>
                  </c:strRef>
                </c:tx>
                <c:spPr>
                  <a:ln w="28575" cap="rnd">
                    <a:solidFill>
                      <a:schemeClr val="accent1"/>
                    </a:solidFill>
                    <a:round/>
                  </a:ln>
                  <a:effectLst/>
                </c:spPr>
                <c:marker>
                  <c:symbol val="none"/>
                </c:marker>
                <c:cat>
                  <c:numRef>
                    <c:extLst xmlns:c15="http://schemas.microsoft.com/office/drawing/2012/chart">
                      <c:ext xmlns:c15="http://schemas.microsoft.com/office/drawing/2012/chart" uri="{02D57815-91ED-43cb-92C2-25804820EDAC}">
                        <c15:formulaRef>
                          <c15:sqref>'Water &amp; Power'!$B$5:$L$5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'Water &amp; Power'!$B$16:$L$16</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3-D42D-431E-B9E3-9EDC7410E25B}"/>
                  </c:ext>
                </c:extLst>
              </c15:ser>
            </c15:filteredLineSeries>
            <c15:filteredLineSeries>
              <c15:ser>
                <c:idx val="1"/>
                <c:order val="3"/>
                <c:tx>
                  <c:strRef>
                    <c:extLst xmlns:c15="http://schemas.microsoft.com/office/drawing/2012/chart">
                      <c:ext xmlns:c15="http://schemas.microsoft.com/office/drawing/2012/chart" uri="{02D57815-91ED-43cb-92C2-25804820EDAC}">
                        <c15:formulaRef>
                          <c15:sqref>'Water &amp; Power'!$A$17</c15:sqref>
                        </c15:formulaRef>
                      </c:ext>
                    </c:extLst>
                    <c:strCache>
                      <c:ptCount val="1"/>
                      <c:pt idx="0">
                        <c:v>Internal Service Funds</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'Water &amp; Power'!$B$5:$L$5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'Water &amp; Power'!$B$17:$L$17</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5-D42D-431E-B9E3-9EDC7410E25B}"/>
                  </c:ext>
                </c:extLst>
              </c15:ser>
            </c15:filteredLineSeries>
            <c15:filteredLineSeries>
              <c15:ser>
                <c:idx val="2"/>
                <c:order val="4"/>
                <c:tx>
                  <c:strRef>
                    <c:extLst xmlns:c15="http://schemas.microsoft.com/office/drawing/2012/chart">
                      <c:ext xmlns:c15="http://schemas.microsoft.com/office/drawing/2012/chart" uri="{02D57815-91ED-43cb-92C2-25804820EDAC}">
                        <c15:formulaRef>
                          <c15:sqref>'Water &amp; Power'!$A$18</c15:sqref>
                        </c15:formulaRef>
                      </c:ext>
                    </c:extLst>
                    <c:strCache>
                      <c:ptCount val="1"/>
                      <c:pt idx="0">
                        <c:v>Enterprise Funds</c:v>
                      </c:pt>
                    </c:strCache>
                  </c:strRef>
                </c:tx>
                <c:spPr>
                  <a:ln w="28575" cap="rnd">
                    <a:solidFill>
                      <a:srgbClr val="6666FF"/>
                    </a:solidFill>
                    <a:round/>
                  </a:ln>
                  <a:effectLst/>
                </c:spPr>
                <c:marker>
                  <c:symbol val="none"/>
                </c:marker>
                <c:cat>
                  <c:numRef>
                    <c:extLst xmlns:c15="http://schemas.microsoft.com/office/drawing/2012/chart">
                      <c:ext xmlns:c15="http://schemas.microsoft.com/office/drawing/2012/chart" uri="{02D57815-91ED-43cb-92C2-25804820EDAC}">
                        <c15:formulaRef>
                          <c15:sqref>'Water &amp; Power'!$B$5:$L$5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'Water &amp; Power'!$B$18:$L$18</c15:sqref>
                        </c15:formulaRef>
                      </c:ext>
                    </c:extLst>
                    <c:numCache>
                      <c:formatCode>_("$"* #,##0_);_("$"* \(#,##0\);_("$"* "-"??_);_(@_)</c:formatCode>
                      <c:ptCount val="11"/>
                      <c:pt idx="0">
                        <c:v>60470566</c:v>
                      </c:pt>
                      <c:pt idx="1">
                        <c:v>60363532</c:v>
                      </c:pt>
                      <c:pt idx="2">
                        <c:v>79506699</c:v>
                      </c:pt>
                      <c:pt idx="3">
                        <c:v>74895896</c:v>
                      </c:pt>
                      <c:pt idx="4">
                        <c:v>88309308</c:v>
                      </c:pt>
                      <c:pt idx="5">
                        <c:v>106301998</c:v>
                      </c:pt>
                      <c:pt idx="6">
                        <c:v>129306404</c:v>
                      </c:pt>
                      <c:pt idx="7">
                        <c:v>120190453</c:v>
                      </c:pt>
                      <c:pt idx="8">
                        <c:v>131086189</c:v>
                      </c:pt>
                      <c:pt idx="9">
                        <c:v>176485074</c:v>
                      </c:pt>
                      <c:pt idx="10">
                        <c:v>176043403</c:v>
                      </c:pt>
                    </c:numCache>
                  </c:numRef>
                </c:val>
                <c:smooth val="0"/>
                <c:extLst xmlns:c15="http://schemas.microsoft.com/office/drawing/2012/chart">
                  <c:ext xmlns:c16="http://schemas.microsoft.com/office/drawing/2014/chart" uri="{C3380CC4-5D6E-409C-BE32-E72D297353CC}">
                    <c16:uniqueId val="{00000007-D42D-431E-B9E3-9EDC7410E25B}"/>
                  </c:ext>
                </c:extLst>
              </c15:ser>
            </c15:filteredLineSeries>
            <c15:filteredLineSeries>
              <c15:ser>
                <c:idx val="3"/>
                <c:order val="5"/>
                <c:tx>
                  <c:strRef>
                    <c:extLst xmlns:c15="http://schemas.microsoft.com/office/drawing/2012/chart">
                      <c:ext xmlns:c15="http://schemas.microsoft.com/office/drawing/2012/chart" uri="{02D57815-91ED-43cb-92C2-25804820EDAC}">
                        <c15:formulaRef>
                          <c15:sqref>'Water &amp; Power'!$A$19</c15:sqref>
                        </c15:formulaRef>
                      </c:ext>
                    </c:extLst>
                    <c:strCache>
                      <c:ptCount val="1"/>
                      <c:pt idx="0">
                        <c:v>Special Revenue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'Water &amp; Power'!$B$5:$L$5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'Water &amp; Power'!$B$19:$L$19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9-D42D-431E-B9E3-9EDC7410E25B}"/>
                  </c:ext>
                </c:extLst>
              </c15:ser>
            </c15:filteredLineSeries>
            <c15:filteredLineSeries>
              <c15:ser>
                <c:idx val="4"/>
                <c:order val="6"/>
                <c:tx>
                  <c:strRef>
                    <c:extLst xmlns:c15="http://schemas.microsoft.com/office/drawing/2012/chart">
                      <c:ext xmlns:c15="http://schemas.microsoft.com/office/drawing/2012/chart" uri="{02D57815-91ED-43cb-92C2-25804820EDAC}">
                        <c15:formulaRef>
                          <c15:sqref>'Water &amp; Power'!$A$20</c15:sqref>
                        </c15:formulaRef>
                      </c:ext>
                    </c:extLst>
                    <c:strCache>
                      <c:ptCount val="1"/>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'Water &amp; Power'!$B$5:$L$5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'Water &amp; Power'!$B$20:$L$20</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B-D42D-431E-B9E3-9EDC7410E25B}"/>
                  </c:ext>
                </c:extLst>
              </c15:ser>
            </c15:filteredLineSeries>
          </c:ext>
        </c:extLst>
      </c:lineChart>
      <c:catAx>
        <c:axId val="820160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154168"/>
        <c:crosses val="autoZero"/>
        <c:auto val="1"/>
        <c:lblAlgn val="ctr"/>
        <c:lblOffset val="100"/>
        <c:noMultiLvlLbl val="0"/>
      </c:catAx>
      <c:valAx>
        <c:axId val="82015416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160072"/>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v>Admin</c:v>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Police!$B$52:$L$52</c:f>
              <c:numCache>
                <c:formatCode>_(* #,##0.00_);_(* \(#,##0.00\);_(* "-"??_);_(@_)</c:formatCode>
                <c:ptCount val="11"/>
              </c:numCache>
            </c:numRef>
          </c:val>
          <c:smooth val="0"/>
          <c:extLst>
            <c:ext xmlns:c16="http://schemas.microsoft.com/office/drawing/2014/chart" uri="{C3380CC4-5D6E-409C-BE32-E72D297353CC}">
              <c16:uniqueId val="{00000000-8F12-40AA-B3AE-98595CAC5893}"/>
            </c:ext>
          </c:extLst>
        </c:ser>
        <c:ser>
          <c:idx val="1"/>
          <c:order val="1"/>
          <c:tx>
            <c:v>Info Svc</c:v>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Police!$B$53:$L$53</c:f>
              <c:numCache>
                <c:formatCode>_(* #,##0.00_);_(* \(#,##0.00\);_(* "-"??_);_(@_)</c:formatCode>
                <c:ptCount val="11"/>
              </c:numCache>
            </c:numRef>
          </c:val>
          <c:smooth val="0"/>
          <c:extLst>
            <c:ext xmlns:c16="http://schemas.microsoft.com/office/drawing/2014/chart" uri="{C3380CC4-5D6E-409C-BE32-E72D297353CC}">
              <c16:uniqueId val="{00000001-8F12-40AA-B3AE-98595CAC5893}"/>
            </c:ext>
          </c:extLst>
        </c:ser>
        <c:ser>
          <c:idx val="2"/>
          <c:order val="2"/>
          <c:tx>
            <c:v>Ops</c:v>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Police!$B$54:$L$54</c:f>
              <c:numCache>
                <c:formatCode>_(* #,##0.00_);_(* \(#,##0.00\);_(* "-"??_);_(@_)</c:formatCode>
                <c:ptCount val="11"/>
              </c:numCache>
            </c:numRef>
          </c:val>
          <c:smooth val="0"/>
          <c:extLst>
            <c:ext xmlns:c16="http://schemas.microsoft.com/office/drawing/2014/chart" uri="{C3380CC4-5D6E-409C-BE32-E72D297353CC}">
              <c16:uniqueId val="{00000002-8F12-40AA-B3AE-98595CAC5893}"/>
            </c:ext>
          </c:extLst>
        </c:ser>
        <c:ser>
          <c:idx val="3"/>
          <c:order val="3"/>
          <c:tx>
            <c:v>Sup Ser</c:v>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Police!$B$55:$L$55</c:f>
              <c:numCache>
                <c:formatCode>_(* #,##0.00_);_(* \(#,##0.00\);_(* "-"??_);_(@_)</c:formatCode>
                <c:ptCount val="11"/>
              </c:numCache>
            </c:numRef>
          </c:val>
          <c:smooth val="0"/>
          <c:extLst>
            <c:ext xmlns:c16="http://schemas.microsoft.com/office/drawing/2014/chart" uri="{C3380CC4-5D6E-409C-BE32-E72D297353CC}">
              <c16:uniqueId val="{00000003-8F12-40AA-B3AE-98595CAC5893}"/>
            </c:ext>
          </c:extLst>
        </c:ser>
        <c:dLbls>
          <c:showLegendKey val="0"/>
          <c:showVal val="0"/>
          <c:showCatName val="0"/>
          <c:showSerName val="0"/>
          <c:showPercent val="0"/>
          <c:showBubbleSize val="0"/>
        </c:dLbls>
        <c:marker val="1"/>
        <c:smooth val="0"/>
        <c:axId val="-2114306168"/>
        <c:axId val="-2141723496"/>
      </c:lineChart>
      <c:catAx>
        <c:axId val="-2114306168"/>
        <c:scaling>
          <c:orientation val="minMax"/>
        </c:scaling>
        <c:delete val="0"/>
        <c:axPos val="b"/>
        <c:numFmt formatCode="General" sourceLinked="1"/>
        <c:majorTickMark val="out"/>
        <c:minorTickMark val="none"/>
        <c:tickLblPos val="nextTo"/>
        <c:crossAx val="-2141723496"/>
        <c:crosses val="autoZero"/>
        <c:auto val="1"/>
        <c:lblAlgn val="ctr"/>
        <c:lblOffset val="100"/>
        <c:noMultiLvlLbl val="0"/>
      </c:catAx>
      <c:valAx>
        <c:axId val="-2141723496"/>
        <c:scaling>
          <c:orientation val="minMax"/>
        </c:scaling>
        <c:delete val="0"/>
        <c:axPos val="l"/>
        <c:majorGridlines/>
        <c:numFmt formatCode="_(* #,##0.00_);_(* \(#,##0.00\);_(* &quot;-&quot;??_);_(@_)" sourceLinked="1"/>
        <c:majorTickMark val="out"/>
        <c:minorTickMark val="none"/>
        <c:tickLblPos val="nextTo"/>
        <c:crossAx val="-2114306168"/>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LFRA - Total Revenues</a:t>
            </a:r>
          </a:p>
        </c:rich>
      </c:tx>
      <c:overlay val="0"/>
      <c:spPr>
        <a:noFill/>
        <a:ln>
          <a:noFill/>
        </a:ln>
        <a:effectLst/>
      </c:spPr>
    </c:title>
    <c:autoTitleDeleted val="0"/>
    <c:plotArea>
      <c:layout/>
      <c:lineChart>
        <c:grouping val="standard"/>
        <c:varyColors val="0"/>
        <c:ser>
          <c:idx val="2"/>
          <c:order val="0"/>
          <c:tx>
            <c:strRef>
              <c:f>LFRA!$A$7</c:f>
              <c:strCache>
                <c:ptCount val="1"/>
                <c:pt idx="0">
                  <c:v>General Fund</c:v>
                </c:pt>
              </c:strCache>
            </c:strRef>
          </c:tx>
          <c:spPr>
            <a:ln>
              <a:solidFill>
                <a:sysClr val="windowText" lastClr="000000"/>
              </a:solidFill>
            </a:ln>
          </c:spPr>
          <c:marker>
            <c:symbol val="none"/>
          </c:marker>
          <c:cat>
            <c:numRef>
              <c:f>LFRA!$B$5:$L$5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LFRA!$B$7:$L$7</c:f>
              <c:numCache>
                <c:formatCode>_("$"* #,##0_);_("$"* \(#,##0\);_("$"* "-"??_);_(@_)</c:formatCode>
                <c:ptCount val="11"/>
                <c:pt idx="0">
                  <c:v>1236539</c:v>
                </c:pt>
                <c:pt idx="1">
                  <c:v>1316250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4-F06C-4145-AA2A-EE0810FC0651}"/>
            </c:ext>
          </c:extLst>
        </c:ser>
        <c:ser>
          <c:idx val="0"/>
          <c:order val="1"/>
          <c:tx>
            <c:strRef>
              <c:f>LFRA!$A$10</c:f>
              <c:strCache>
                <c:ptCount val="1"/>
                <c:pt idx="0">
                  <c:v>Special Revenue Funds</c:v>
                </c:pt>
              </c:strCache>
            </c:strRef>
          </c:tx>
          <c:spPr>
            <a:ln>
              <a:solidFill>
                <a:srgbClr val="996633"/>
              </a:solidFill>
            </a:ln>
          </c:spPr>
          <c:marker>
            <c:symbol val="none"/>
          </c:marker>
          <c:val>
            <c:numRef>
              <c:f>LFRA!$B$10:$L$10</c:f>
              <c:numCache>
                <c:formatCode>_("$"* #,##0_);_("$"* \(#,##0\);_("$"* "-"??_);_(@_)</c:formatCode>
                <c:ptCount val="11"/>
                <c:pt idx="0">
                  <c:v>380252</c:v>
                </c:pt>
                <c:pt idx="1">
                  <c:v>660257</c:v>
                </c:pt>
                <c:pt idx="2">
                  <c:v>329456</c:v>
                </c:pt>
                <c:pt idx="3">
                  <c:v>337173</c:v>
                </c:pt>
                <c:pt idx="4">
                  <c:v>1864039</c:v>
                </c:pt>
                <c:pt idx="5">
                  <c:v>455335</c:v>
                </c:pt>
                <c:pt idx="6">
                  <c:v>606572</c:v>
                </c:pt>
                <c:pt idx="7">
                  <c:v>746904</c:v>
                </c:pt>
                <c:pt idx="8">
                  <c:v>392673</c:v>
                </c:pt>
                <c:pt idx="9">
                  <c:v>1724</c:v>
                </c:pt>
                <c:pt idx="10">
                  <c:v>0</c:v>
                </c:pt>
              </c:numCache>
            </c:numRef>
          </c:val>
          <c:smooth val="0"/>
          <c:extLst>
            <c:ext xmlns:c16="http://schemas.microsoft.com/office/drawing/2014/chart" uri="{C3380CC4-5D6E-409C-BE32-E72D297353CC}">
              <c16:uniqueId val="{00000005-F06C-4145-AA2A-EE0810FC0651}"/>
            </c:ext>
          </c:extLst>
        </c:ser>
        <c:dLbls>
          <c:showLegendKey val="0"/>
          <c:showVal val="0"/>
          <c:showCatName val="0"/>
          <c:showSerName val="0"/>
          <c:showPercent val="0"/>
          <c:showBubbleSize val="0"/>
        </c:dLbls>
        <c:smooth val="0"/>
        <c:axId val="613568352"/>
        <c:axId val="613561792"/>
      </c:lineChart>
      <c:catAx>
        <c:axId val="61356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561792"/>
        <c:crosses val="autoZero"/>
        <c:auto val="1"/>
        <c:lblAlgn val="ctr"/>
        <c:lblOffset val="100"/>
        <c:noMultiLvlLbl val="0"/>
      </c:catAx>
      <c:valAx>
        <c:axId val="61356179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568352"/>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ysClr val="window" lastClr="FFFFFF"/>
    </a:solidFill>
  </c:spPr>
  <c:txPr>
    <a:bodyPr/>
    <a:lstStyle/>
    <a:p>
      <a:pPr>
        <a:defRPr/>
      </a:pPr>
      <a:endParaRPr lang="en-US"/>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LFRA - Total</a:t>
            </a:r>
            <a:r>
              <a:rPr lang="en-US" sz="1800" b="1" baseline="0"/>
              <a:t> Expenditures</a:t>
            </a:r>
            <a:endParaRPr lang="en-US"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LFRA!$A$17</c:f>
              <c:strCache>
                <c:ptCount val="1"/>
                <c:pt idx="0">
                  <c:v>General Fund</c:v>
                </c:pt>
              </c:strCache>
            </c:strRef>
          </c:tx>
          <c:spPr>
            <a:ln w="28575" cap="rnd">
              <a:solidFill>
                <a:sysClr val="windowText" lastClr="000000"/>
              </a:solidFill>
              <a:round/>
            </a:ln>
            <a:effectLst/>
          </c:spPr>
          <c:marker>
            <c:symbol val="none"/>
          </c:marker>
          <c:cat>
            <c:numRef>
              <c:f>LFRA!$B$5:$L$5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LFRA!$B$17:$L$17</c:f>
              <c:numCache>
                <c:formatCode>_("$"* #,##0_);_("$"* \(#,##0\);_("$"* "-"??_);_(@_)</c:formatCode>
                <c:ptCount val="11"/>
                <c:pt idx="0">
                  <c:v>7946453</c:v>
                </c:pt>
                <c:pt idx="1">
                  <c:v>7788379</c:v>
                </c:pt>
                <c:pt idx="2">
                  <c:v>0</c:v>
                </c:pt>
                <c:pt idx="3">
                  <c:v>652049</c:v>
                </c:pt>
                <c:pt idx="4">
                  <c:v>21868</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0-4356-4868-8682-014091CAC25D}"/>
            </c:ext>
          </c:extLst>
        </c:ser>
        <c:ser>
          <c:idx val="1"/>
          <c:order val="1"/>
          <c:tx>
            <c:strRef>
              <c:f>LFRA!$A$18</c:f>
              <c:strCache>
                <c:ptCount val="1"/>
                <c:pt idx="0">
                  <c:v>Conversion to Authority</c:v>
                </c:pt>
              </c:strCache>
            </c:strRef>
          </c:tx>
          <c:spPr>
            <a:ln w="28575" cap="rnd">
              <a:solidFill>
                <a:srgbClr val="7030A0"/>
              </a:solidFill>
              <a:round/>
            </a:ln>
            <a:effectLst/>
          </c:spPr>
          <c:marker>
            <c:symbol val="none"/>
          </c:marker>
          <c:cat>
            <c:numRef>
              <c:f>LFRA!$B$5:$L$5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LFRA!$B$18:$L$18</c:f>
              <c:numCache>
                <c:formatCode>_("$"* #,##0_);_("$"* \(#,##0\);_("$"* "-"??_);_(@_)</c:formatCode>
                <c:ptCount val="11"/>
                <c:pt idx="0">
                  <c:v>0</c:v>
                </c:pt>
                <c:pt idx="1">
                  <c:v>0</c:v>
                </c:pt>
                <c:pt idx="2">
                  <c:v>7957074</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1-4356-4868-8682-014091CAC25D}"/>
            </c:ext>
          </c:extLst>
        </c:ser>
        <c:dLbls>
          <c:showLegendKey val="0"/>
          <c:showVal val="0"/>
          <c:showCatName val="0"/>
          <c:showSerName val="0"/>
          <c:showPercent val="0"/>
          <c:showBubbleSize val="0"/>
        </c:dLbls>
        <c:smooth val="0"/>
        <c:axId val="613568352"/>
        <c:axId val="613561792"/>
      </c:lineChart>
      <c:catAx>
        <c:axId val="61356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561792"/>
        <c:crosses val="autoZero"/>
        <c:auto val="1"/>
        <c:lblAlgn val="ctr"/>
        <c:lblOffset val="100"/>
        <c:noMultiLvlLbl val="0"/>
      </c:catAx>
      <c:valAx>
        <c:axId val="61356179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568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ysClr val="window" lastClr="FFFFFF"/>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LFRA - Expenditures per</a:t>
            </a:r>
            <a:r>
              <a:rPr lang="en-US" sz="1800" b="1" baseline="0"/>
              <a:t> Capita</a:t>
            </a:r>
            <a:endParaRPr lang="en-US" sz="1800" b="1"/>
          </a:p>
        </c:rich>
      </c:tx>
      <c:overlay val="0"/>
      <c:spPr>
        <a:noFill/>
        <a:ln>
          <a:noFill/>
        </a:ln>
        <a:effectLst/>
      </c:spPr>
    </c:title>
    <c:autoTitleDeleted val="0"/>
    <c:plotArea>
      <c:layout/>
      <c:lineChart>
        <c:grouping val="standard"/>
        <c:varyColors val="0"/>
        <c:ser>
          <c:idx val="2"/>
          <c:order val="0"/>
          <c:tx>
            <c:strRef>
              <c:f>LFRA!$A$28</c:f>
              <c:strCache>
                <c:ptCount val="1"/>
                <c:pt idx="0">
                  <c:v>Expenditures per Capita</c:v>
                </c:pt>
              </c:strCache>
            </c:strRef>
          </c:tx>
          <c:spPr>
            <a:ln>
              <a:solidFill>
                <a:srgbClr val="FF0000"/>
              </a:solidFill>
            </a:ln>
          </c:spPr>
          <c:marker>
            <c:symbol val="none"/>
          </c:marker>
          <c:cat>
            <c:numRef>
              <c:f>LFRA!$B$27:$L$27</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LFRA!$B$28:$L$28</c:f>
              <c:numCache>
                <c:formatCode>"$"#,##0_);\("$"#,##0\)</c:formatCode>
                <c:ptCount val="11"/>
                <c:pt idx="0">
                  <c:v>125.81066147367088</c:v>
                </c:pt>
                <c:pt idx="1">
                  <c:v>114.97119955123853</c:v>
                </c:pt>
                <c:pt idx="2">
                  <c:v>115.72074286296011</c:v>
                </c:pt>
                <c:pt idx="3">
                  <c:v>22.617859563605947</c:v>
                </c:pt>
                <c:pt idx="4">
                  <c:v>13.58129884894131</c:v>
                </c:pt>
                <c:pt idx="5">
                  <c:v>61.639841187154182</c:v>
                </c:pt>
                <c:pt idx="6">
                  <c:v>0.1455734132388995</c:v>
                </c:pt>
                <c:pt idx="7">
                  <c:v>0.88097062579821206</c:v>
                </c:pt>
                <c:pt idx="8">
                  <c:v>0.48552215189873416</c:v>
                </c:pt>
                <c:pt idx="9">
                  <c:v>25.45328880950532</c:v>
                </c:pt>
                <c:pt idx="10">
                  <c:v>0</c:v>
                </c:pt>
              </c:numCache>
            </c:numRef>
          </c:val>
          <c:smooth val="0"/>
          <c:extLst>
            <c:ext xmlns:c16="http://schemas.microsoft.com/office/drawing/2014/chart" uri="{C3380CC4-5D6E-409C-BE32-E72D297353CC}">
              <c16:uniqueId val="{00000004-7B1F-4C7B-A513-0ABF2F0062F8}"/>
            </c:ext>
          </c:extLst>
        </c:ser>
        <c:dLbls>
          <c:showLegendKey val="0"/>
          <c:showVal val="0"/>
          <c:showCatName val="0"/>
          <c:showSerName val="0"/>
          <c:showPercent val="0"/>
          <c:showBubbleSize val="0"/>
        </c:dLbls>
        <c:smooth val="0"/>
        <c:axId val="613568352"/>
        <c:axId val="613561792"/>
      </c:lineChart>
      <c:catAx>
        <c:axId val="61356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561792"/>
        <c:crosses val="autoZero"/>
        <c:auto val="1"/>
        <c:lblAlgn val="ctr"/>
        <c:lblOffset val="100"/>
        <c:noMultiLvlLbl val="0"/>
      </c:catAx>
      <c:valAx>
        <c:axId val="61356179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568352"/>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LFRA - Expenditures per</a:t>
            </a:r>
            <a:r>
              <a:rPr lang="en-US" sz="1800" b="1" baseline="0"/>
              <a:t> Capita</a:t>
            </a:r>
            <a:endParaRPr lang="en-US" sz="1800" b="1"/>
          </a:p>
        </c:rich>
      </c:tx>
      <c:overlay val="0"/>
      <c:spPr>
        <a:noFill/>
        <a:ln>
          <a:noFill/>
        </a:ln>
        <a:effectLst/>
      </c:spPr>
    </c:title>
    <c:autoTitleDeleted val="0"/>
    <c:plotArea>
      <c:layout/>
      <c:lineChart>
        <c:grouping val="standard"/>
        <c:varyColors val="0"/>
        <c:ser>
          <c:idx val="2"/>
          <c:order val="0"/>
          <c:tx>
            <c:strRef>
              <c:f>LFRA!$A$31</c:f>
              <c:strCache>
                <c:ptCount val="1"/>
                <c:pt idx="0">
                  <c:v>Expenditures per FTE</c:v>
                </c:pt>
              </c:strCache>
            </c:strRef>
          </c:tx>
          <c:spPr>
            <a:ln>
              <a:solidFill>
                <a:srgbClr val="FF0000"/>
              </a:solidFill>
            </a:ln>
          </c:spPr>
          <c:marker>
            <c:symbol val="none"/>
          </c:marker>
          <c:cat>
            <c:numRef>
              <c:f>LFRA!$B$27:$L$27</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LFRA!$B$31:$L$31</c:f>
              <c:numCache>
                <c:formatCode>"$"#,##0_);\("$"#,##0\)</c:formatCode>
                <c:ptCount val="11"/>
                <c:pt idx="0">
                  <c:v>116859.60294117648</c:v>
                </c:pt>
                <c:pt idx="1">
                  <c:v>118005.74242424243</c:v>
                </c:pt>
                <c:pt idx="2">
                  <c:v>120561.72727272728</c:v>
                </c:pt>
                <c:pt idx="3">
                  <c:v>23762.803030303032</c:v>
                </c:pt>
                <c:pt idx="4">
                  <c:v>13092</c:v>
                </c:pt>
                <c:pt idx="5">
                  <c:v>54050.530864197528</c:v>
                </c:pt>
                <c:pt idx="6">
                  <c:v>128.77108433734941</c:v>
                </c:pt>
                <c:pt idx="7">
                  <c:v>780.13095238095241</c:v>
                </c:pt>
                <c:pt idx="8">
                  <c:v>400.23913043478262</c:v>
                </c:pt>
                <c:pt idx="9">
                  <c:v>21145.935483870966</c:v>
                </c:pt>
                <c:pt idx="10">
                  <c:v>0</c:v>
                </c:pt>
              </c:numCache>
            </c:numRef>
          </c:val>
          <c:smooth val="0"/>
          <c:extLst>
            <c:ext xmlns:c16="http://schemas.microsoft.com/office/drawing/2014/chart" uri="{C3380CC4-5D6E-409C-BE32-E72D297353CC}">
              <c16:uniqueId val="{00000000-EA9D-448A-A4B5-BC0123FD7050}"/>
            </c:ext>
          </c:extLst>
        </c:ser>
        <c:dLbls>
          <c:showLegendKey val="0"/>
          <c:showVal val="0"/>
          <c:showCatName val="0"/>
          <c:showSerName val="0"/>
          <c:showPercent val="0"/>
          <c:showBubbleSize val="0"/>
        </c:dLbls>
        <c:smooth val="0"/>
        <c:axId val="613568352"/>
        <c:axId val="613561792"/>
      </c:lineChart>
      <c:catAx>
        <c:axId val="61356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561792"/>
        <c:crosses val="autoZero"/>
        <c:auto val="1"/>
        <c:lblAlgn val="ctr"/>
        <c:lblOffset val="100"/>
        <c:noMultiLvlLbl val="0"/>
      </c:catAx>
      <c:valAx>
        <c:axId val="61356179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568352"/>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8.9251016002032002E-2"/>
          <c:y val="1.8749999999999999E-2"/>
          <c:w val="0.88655543561087102"/>
          <c:h val="0.79240772637795298"/>
        </c:manualLayout>
      </c:layout>
      <c:lineChart>
        <c:grouping val="standard"/>
        <c:varyColors val="0"/>
        <c:ser>
          <c:idx val="0"/>
          <c:order val="0"/>
          <c:tx>
            <c:strRef>
              <c:f>Police!$A$34</c:f>
              <c:strCache>
                <c:ptCount val="1"/>
              </c:strCache>
            </c:strRef>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Police!$B$34:$L$34</c:f>
            </c:numRef>
          </c:val>
          <c:smooth val="0"/>
          <c:extLst>
            <c:ext xmlns:c16="http://schemas.microsoft.com/office/drawing/2014/chart" uri="{C3380CC4-5D6E-409C-BE32-E72D297353CC}">
              <c16:uniqueId val="{00000000-B2CE-4511-A094-9B799E796687}"/>
            </c:ext>
          </c:extLst>
        </c:ser>
        <c:ser>
          <c:idx val="2"/>
          <c:order val="1"/>
          <c:tx>
            <c:strRef>
              <c:f>Police!$A$36</c:f>
              <c:strCache>
                <c:ptCount val="1"/>
                <c:pt idx="0">
                  <c:v>Admin</c:v>
                </c:pt>
              </c:strCache>
            </c:strRef>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Police!$B$36:$L$36</c:f>
              <c:numCache>
                <c:formatCode>_(* #,##0.00_);_(* \(#,##0.00\);_(* "-"??_);_(@_)</c:formatCode>
                <c:ptCount val="11"/>
                <c:pt idx="0">
                  <c:v>6</c:v>
                </c:pt>
                <c:pt idx="1">
                  <c:v>5</c:v>
                </c:pt>
                <c:pt idx="2">
                  <c:v>5</c:v>
                </c:pt>
                <c:pt idx="3">
                  <c:v>5</c:v>
                </c:pt>
                <c:pt idx="4">
                  <c:v>5</c:v>
                </c:pt>
                <c:pt idx="5">
                  <c:v>5</c:v>
                </c:pt>
                <c:pt idx="6" formatCode="_(* #,##0.0_);_(* \(#,##0.0\);_(* &quot;-&quot;??_);_(@_)">
                  <c:v>7</c:v>
                </c:pt>
                <c:pt idx="7" formatCode="_(* #,##0.0_);_(* \(#,##0.0\);_(* &quot;-&quot;??_);_(@_)">
                  <c:v>7</c:v>
                </c:pt>
                <c:pt idx="8" formatCode="_(* #,##0.0_);_(* \(#,##0.0\);_(* &quot;-&quot;??_);_(@_)">
                  <c:v>8</c:v>
                </c:pt>
                <c:pt idx="9" formatCode="_(* #,##0.0_);_(* \(#,##0.0\);_(* &quot;-&quot;??_);_(@_)">
                  <c:v>8</c:v>
                </c:pt>
                <c:pt idx="10" formatCode="_(* #,##0.0_);_(* \(#,##0.0\);_(* &quot;-&quot;??_);_(@_)">
                  <c:v>8</c:v>
                </c:pt>
              </c:numCache>
            </c:numRef>
          </c:val>
          <c:smooth val="0"/>
          <c:extLst>
            <c:ext xmlns:c16="http://schemas.microsoft.com/office/drawing/2014/chart" uri="{C3380CC4-5D6E-409C-BE32-E72D297353CC}">
              <c16:uniqueId val="{00000001-B2CE-4511-A094-9B799E796687}"/>
            </c:ext>
          </c:extLst>
        </c:ser>
        <c:ser>
          <c:idx val="4"/>
          <c:order val="2"/>
          <c:tx>
            <c:strRef>
              <c:f>Police!$A$37</c:f>
              <c:strCache>
                <c:ptCount val="1"/>
                <c:pt idx="0">
                  <c:v>Info Svc</c:v>
                </c:pt>
              </c:strCache>
            </c:strRef>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Police!$B$37:$L$37</c:f>
              <c:numCache>
                <c:formatCode>_(* #,##0.00_);_(* \(#,##0.00\);_(* "-"??_);_(@_)</c:formatCode>
                <c:ptCount val="11"/>
                <c:pt idx="0">
                  <c:v>33</c:v>
                </c:pt>
                <c:pt idx="1">
                  <c:v>31</c:v>
                </c:pt>
                <c:pt idx="2">
                  <c:v>31</c:v>
                </c:pt>
                <c:pt idx="3">
                  <c:v>31</c:v>
                </c:pt>
                <c:pt idx="4">
                  <c:v>31</c:v>
                </c:pt>
                <c:pt idx="5">
                  <c:v>33</c:v>
                </c:pt>
                <c:pt idx="6" formatCode="_(* #,##0.0_);_(* \(#,##0.0\);_(* &quot;-&quot;??_);_(@_)">
                  <c:v>34</c:v>
                </c:pt>
                <c:pt idx="7" formatCode="_(* #,##0.0_);_(* \(#,##0.0\);_(* &quot;-&quot;??_);_(@_)">
                  <c:v>35</c:v>
                </c:pt>
                <c:pt idx="8" formatCode="_(* #,##0.0_);_(* \(#,##0.0\);_(* &quot;-&quot;??_);_(@_)">
                  <c:v>36</c:v>
                </c:pt>
                <c:pt idx="9" formatCode="_(* #,##0.0_);_(* \(#,##0.0\);_(* &quot;-&quot;??_);_(@_)">
                  <c:v>36</c:v>
                </c:pt>
                <c:pt idx="10" formatCode="_(* #,##0.0_);_(* \(#,##0.0\);_(* &quot;-&quot;??_);_(@_)">
                  <c:v>36</c:v>
                </c:pt>
              </c:numCache>
            </c:numRef>
          </c:val>
          <c:smooth val="0"/>
          <c:extLst>
            <c:ext xmlns:c16="http://schemas.microsoft.com/office/drawing/2014/chart" uri="{C3380CC4-5D6E-409C-BE32-E72D297353CC}">
              <c16:uniqueId val="{00000002-B2CE-4511-A094-9B799E796687}"/>
            </c:ext>
          </c:extLst>
        </c:ser>
        <c:ser>
          <c:idx val="6"/>
          <c:order val="3"/>
          <c:tx>
            <c:strRef>
              <c:f>Police!$A$38</c:f>
              <c:strCache>
                <c:ptCount val="1"/>
                <c:pt idx="0">
                  <c:v>Ops</c:v>
                </c:pt>
              </c:strCache>
            </c:strRef>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Police!$B$38:$L$38</c:f>
              <c:numCache>
                <c:formatCode>_(* #,##0.00_);_(* \(#,##0.00\);_(* "-"??_);_(@_)</c:formatCode>
                <c:ptCount val="11"/>
                <c:pt idx="0">
                  <c:v>72</c:v>
                </c:pt>
                <c:pt idx="1">
                  <c:v>71</c:v>
                </c:pt>
                <c:pt idx="2">
                  <c:v>69</c:v>
                </c:pt>
                <c:pt idx="3">
                  <c:v>69</c:v>
                </c:pt>
                <c:pt idx="4">
                  <c:v>71</c:v>
                </c:pt>
                <c:pt idx="5">
                  <c:v>73</c:v>
                </c:pt>
                <c:pt idx="6" formatCode="_(* #,##0.0_);_(* \(#,##0.0\);_(* &quot;-&quot;??_);_(@_)">
                  <c:v>75</c:v>
                </c:pt>
                <c:pt idx="7" formatCode="_(* #,##0.0_);_(* \(#,##0.0\);_(* &quot;-&quot;??_);_(@_)">
                  <c:v>79</c:v>
                </c:pt>
                <c:pt idx="8" formatCode="_(* #,##0.0_);_(* \(#,##0.0\);_(* &quot;-&quot;??_);_(@_)">
                  <c:v>79</c:v>
                </c:pt>
                <c:pt idx="9" formatCode="_(* #,##0.0_);_(* \(#,##0.0\);_(* &quot;-&quot;??_);_(@_)">
                  <c:v>84</c:v>
                </c:pt>
                <c:pt idx="10" formatCode="_(* #,##0.0_);_(* \(#,##0.0\);_(* &quot;-&quot;??_);_(@_)">
                  <c:v>84</c:v>
                </c:pt>
              </c:numCache>
            </c:numRef>
          </c:val>
          <c:smooth val="0"/>
          <c:extLst>
            <c:ext xmlns:c16="http://schemas.microsoft.com/office/drawing/2014/chart" uri="{C3380CC4-5D6E-409C-BE32-E72D297353CC}">
              <c16:uniqueId val="{00000003-B2CE-4511-A094-9B799E796687}"/>
            </c:ext>
          </c:extLst>
        </c:ser>
        <c:dLbls>
          <c:showLegendKey val="0"/>
          <c:showVal val="0"/>
          <c:showCatName val="0"/>
          <c:showSerName val="0"/>
          <c:showPercent val="0"/>
          <c:showBubbleSize val="0"/>
        </c:dLbls>
        <c:marker val="1"/>
        <c:smooth val="0"/>
        <c:axId val="-2139578600"/>
        <c:axId val="-2139575416"/>
      </c:lineChart>
      <c:catAx>
        <c:axId val="-2139578600"/>
        <c:scaling>
          <c:orientation val="minMax"/>
        </c:scaling>
        <c:delete val="0"/>
        <c:axPos val="b"/>
        <c:numFmt formatCode="General" sourceLinked="1"/>
        <c:majorTickMark val="out"/>
        <c:minorTickMark val="none"/>
        <c:tickLblPos val="nextTo"/>
        <c:crossAx val="-2139575416"/>
        <c:crosses val="autoZero"/>
        <c:auto val="1"/>
        <c:lblAlgn val="ctr"/>
        <c:lblOffset val="100"/>
        <c:noMultiLvlLbl val="0"/>
      </c:catAx>
      <c:valAx>
        <c:axId val="-2139575416"/>
        <c:scaling>
          <c:orientation val="minMax"/>
        </c:scaling>
        <c:delete val="0"/>
        <c:axPos val="l"/>
        <c:majorGridlines/>
        <c:numFmt formatCode="_(* #,##0.00_);_(* \(#,##0.00\);_(* &quot;-&quot;??_);_(@_)" sourceLinked="1"/>
        <c:majorTickMark val="out"/>
        <c:minorTickMark val="none"/>
        <c:tickLblPos val="nextTo"/>
        <c:crossAx val="-2139578600"/>
        <c:crosses val="autoZero"/>
        <c:crossBetween val="between"/>
      </c:valAx>
      <c:spPr>
        <a:noFill/>
        <a:ln w="25400">
          <a:noFill/>
        </a:ln>
      </c:spPr>
    </c:plotArea>
    <c:legend>
      <c:legendPos val="b"/>
      <c:layout>
        <c:manualLayout>
          <c:xMode val="edge"/>
          <c:yMode val="edge"/>
          <c:x val="0.26985004317457101"/>
          <c:y val="0.89834479199613804"/>
          <c:w val="0.463557157146888"/>
          <c:h val="6.7828569526060797E-2"/>
        </c:manualLayout>
      </c:layout>
      <c:overlay val="0"/>
    </c:legend>
    <c:plotVisOnly val="1"/>
    <c:dispBlanksAs val="gap"/>
    <c:showDLblsOverMax val="0"/>
  </c:chart>
  <c:printSettings>
    <c:headerFooter/>
    <c:pageMargins b="1" l="0.75" r="0.75" t="1" header="0.5" footer="0.5"/>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v>Admin</c:v>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Police!$B$52:$L$52</c:f>
              <c:numCache>
                <c:formatCode>_(* #,##0.00_);_(* \(#,##0.00\);_(* "-"??_);_(@_)</c:formatCode>
                <c:ptCount val="11"/>
              </c:numCache>
            </c:numRef>
          </c:val>
          <c:smooth val="0"/>
          <c:extLst>
            <c:ext xmlns:c16="http://schemas.microsoft.com/office/drawing/2014/chart" uri="{C3380CC4-5D6E-409C-BE32-E72D297353CC}">
              <c16:uniqueId val="{00000000-5F40-47DE-9D31-0E69D7DEA526}"/>
            </c:ext>
          </c:extLst>
        </c:ser>
        <c:ser>
          <c:idx val="1"/>
          <c:order val="1"/>
          <c:tx>
            <c:v>Info Svc</c:v>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Police!$B$53:$L$53</c:f>
              <c:numCache>
                <c:formatCode>_(* #,##0.00_);_(* \(#,##0.00\);_(* "-"??_);_(@_)</c:formatCode>
                <c:ptCount val="11"/>
              </c:numCache>
            </c:numRef>
          </c:val>
          <c:smooth val="0"/>
          <c:extLst>
            <c:ext xmlns:c16="http://schemas.microsoft.com/office/drawing/2014/chart" uri="{C3380CC4-5D6E-409C-BE32-E72D297353CC}">
              <c16:uniqueId val="{00000001-5F40-47DE-9D31-0E69D7DEA526}"/>
            </c:ext>
          </c:extLst>
        </c:ser>
        <c:ser>
          <c:idx val="2"/>
          <c:order val="2"/>
          <c:tx>
            <c:v>Ops</c:v>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Police!$B$54:$L$54</c:f>
              <c:numCache>
                <c:formatCode>_(* #,##0.00_);_(* \(#,##0.00\);_(* "-"??_);_(@_)</c:formatCode>
                <c:ptCount val="11"/>
              </c:numCache>
            </c:numRef>
          </c:val>
          <c:smooth val="0"/>
          <c:extLst>
            <c:ext xmlns:c16="http://schemas.microsoft.com/office/drawing/2014/chart" uri="{C3380CC4-5D6E-409C-BE32-E72D297353CC}">
              <c16:uniqueId val="{00000002-5F40-47DE-9D31-0E69D7DEA526}"/>
            </c:ext>
          </c:extLst>
        </c:ser>
        <c:ser>
          <c:idx val="3"/>
          <c:order val="3"/>
          <c:tx>
            <c:v>Sup Ser</c:v>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Police!$B$55:$L$55</c:f>
              <c:numCache>
                <c:formatCode>_(* #,##0.00_);_(* \(#,##0.00\);_(* "-"??_);_(@_)</c:formatCode>
                <c:ptCount val="11"/>
              </c:numCache>
            </c:numRef>
          </c:val>
          <c:smooth val="0"/>
          <c:extLst>
            <c:ext xmlns:c16="http://schemas.microsoft.com/office/drawing/2014/chart" uri="{C3380CC4-5D6E-409C-BE32-E72D297353CC}">
              <c16:uniqueId val="{00000003-5F40-47DE-9D31-0E69D7DEA526}"/>
            </c:ext>
          </c:extLst>
        </c:ser>
        <c:dLbls>
          <c:showLegendKey val="0"/>
          <c:showVal val="0"/>
          <c:showCatName val="0"/>
          <c:showSerName val="0"/>
          <c:showPercent val="0"/>
          <c:showBubbleSize val="0"/>
        </c:dLbls>
        <c:marker val="1"/>
        <c:smooth val="0"/>
        <c:axId val="-2139539336"/>
        <c:axId val="-2139536152"/>
      </c:lineChart>
      <c:catAx>
        <c:axId val="-2139539336"/>
        <c:scaling>
          <c:orientation val="minMax"/>
        </c:scaling>
        <c:delete val="0"/>
        <c:axPos val="b"/>
        <c:numFmt formatCode="General" sourceLinked="1"/>
        <c:majorTickMark val="out"/>
        <c:minorTickMark val="none"/>
        <c:tickLblPos val="nextTo"/>
        <c:crossAx val="-2139536152"/>
        <c:crosses val="autoZero"/>
        <c:auto val="1"/>
        <c:lblAlgn val="ctr"/>
        <c:lblOffset val="100"/>
        <c:noMultiLvlLbl val="0"/>
      </c:catAx>
      <c:valAx>
        <c:axId val="-2139536152"/>
        <c:scaling>
          <c:orientation val="minMax"/>
        </c:scaling>
        <c:delete val="0"/>
        <c:axPos val="l"/>
        <c:majorGridlines/>
        <c:numFmt formatCode="_(* #,##0.00_);_(* \(#,##0.00\);_(* &quot;-&quot;??_);_(@_)" sourceLinked="1"/>
        <c:majorTickMark val="out"/>
        <c:minorTickMark val="none"/>
        <c:tickLblPos val="nextTo"/>
        <c:crossAx val="-2139539336"/>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     Total Expenditures by Year  </a:t>
            </a:r>
          </a:p>
        </c:rich>
      </c:tx>
      <c:overlay val="0"/>
    </c:title>
    <c:autoTitleDeleted val="0"/>
    <c:plotArea>
      <c:layout/>
      <c:lineChart>
        <c:grouping val="standard"/>
        <c:varyColors val="0"/>
        <c:ser>
          <c:idx val="0"/>
          <c:order val="0"/>
          <c:tx>
            <c:strRef>
              <c:f>Police!$A$40</c:f>
              <c:strCache>
                <c:ptCount val="1"/>
                <c:pt idx="0">
                  <c:v>FTE Total </c:v>
                </c:pt>
              </c:strCache>
            </c:strRef>
          </c:tx>
          <c:cat>
            <c:numRef>
              <c:f>Police!$B$5:$I$5</c:f>
              <c:numCache>
                <c:formatCode>General</c:formatCode>
                <c:ptCount val="8"/>
                <c:pt idx="0">
                  <c:v>2009</c:v>
                </c:pt>
                <c:pt idx="1">
                  <c:v>2010</c:v>
                </c:pt>
                <c:pt idx="2">
                  <c:v>2011</c:v>
                </c:pt>
                <c:pt idx="3">
                  <c:v>2012</c:v>
                </c:pt>
                <c:pt idx="4">
                  <c:v>2013</c:v>
                </c:pt>
                <c:pt idx="5">
                  <c:v>2014</c:v>
                </c:pt>
                <c:pt idx="6">
                  <c:v>2015</c:v>
                </c:pt>
                <c:pt idx="7">
                  <c:v>2016</c:v>
                </c:pt>
              </c:numCache>
            </c:numRef>
          </c:cat>
          <c:val>
            <c:numRef>
              <c:f>Police!$B$40:$H$40</c:f>
              <c:numCache>
                <c:formatCode>_(* #,##0.0_);_(* \(#,##0.0\);_(* "-"??_);_(@_)</c:formatCode>
                <c:ptCount val="7"/>
                <c:pt idx="0">
                  <c:v>136</c:v>
                </c:pt>
                <c:pt idx="1">
                  <c:v>134</c:v>
                </c:pt>
                <c:pt idx="2">
                  <c:v>134</c:v>
                </c:pt>
                <c:pt idx="3">
                  <c:v>133.75</c:v>
                </c:pt>
                <c:pt idx="4">
                  <c:v>134.75</c:v>
                </c:pt>
                <c:pt idx="5">
                  <c:v>140</c:v>
                </c:pt>
                <c:pt idx="6">
                  <c:v>146</c:v>
                </c:pt>
              </c:numCache>
            </c:numRef>
          </c:val>
          <c:smooth val="0"/>
          <c:extLst>
            <c:ext xmlns:c16="http://schemas.microsoft.com/office/drawing/2014/chart" uri="{C3380CC4-5D6E-409C-BE32-E72D297353CC}">
              <c16:uniqueId val="{00000000-AF25-4332-BD68-3C5CEEB666C0}"/>
            </c:ext>
          </c:extLst>
        </c:ser>
        <c:dLbls>
          <c:showLegendKey val="0"/>
          <c:showVal val="0"/>
          <c:showCatName val="0"/>
          <c:showSerName val="0"/>
          <c:showPercent val="0"/>
          <c:showBubbleSize val="0"/>
        </c:dLbls>
        <c:marker val="1"/>
        <c:smooth val="0"/>
        <c:axId val="-2139515144"/>
        <c:axId val="-2139512072"/>
      </c:lineChart>
      <c:catAx>
        <c:axId val="-2139515144"/>
        <c:scaling>
          <c:orientation val="minMax"/>
        </c:scaling>
        <c:delete val="0"/>
        <c:axPos val="b"/>
        <c:numFmt formatCode="General" sourceLinked="1"/>
        <c:majorTickMark val="out"/>
        <c:minorTickMark val="none"/>
        <c:tickLblPos val="nextTo"/>
        <c:crossAx val="-2139512072"/>
        <c:crosses val="autoZero"/>
        <c:auto val="1"/>
        <c:lblAlgn val="ctr"/>
        <c:lblOffset val="100"/>
        <c:noMultiLvlLbl val="0"/>
      </c:catAx>
      <c:valAx>
        <c:axId val="-2139512072"/>
        <c:scaling>
          <c:orientation val="minMax"/>
        </c:scaling>
        <c:delete val="0"/>
        <c:axPos val="l"/>
        <c:majorGridlines/>
        <c:numFmt formatCode="_(* #,##0.0_);_(* \(#,##0.0\);_(* &quot;-&quot;??_);_(@_)" sourceLinked="1"/>
        <c:majorTickMark val="out"/>
        <c:minorTickMark val="none"/>
        <c:tickLblPos val="nextTo"/>
        <c:crossAx val="-2139515144"/>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05686495070469"/>
          <c:y val="8.5855279039025206E-2"/>
          <c:w val="0.89431350492953099"/>
          <c:h val="0.77813253635266399"/>
        </c:manualLayout>
      </c:layout>
      <c:lineChart>
        <c:grouping val="standard"/>
        <c:varyColors val="0"/>
        <c:ser>
          <c:idx val="0"/>
          <c:order val="0"/>
          <c:tx>
            <c:strRef>
              <c:f>Police!$A$29</c:f>
              <c:strCache>
                <c:ptCount val="1"/>
                <c:pt idx="0">
                  <c:v>   FTE Total</c:v>
                </c:pt>
              </c:strCache>
            </c:strRef>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Police!$B$29:$L$29</c:f>
              <c:numCache>
                <c:formatCode>_(* #,##0_);_(* \(#,##0\);_(* "-"??_);_(@_)</c:formatCode>
                <c:ptCount val="11"/>
                <c:pt idx="0">
                  <c:v>136</c:v>
                </c:pt>
                <c:pt idx="1">
                  <c:v>134</c:v>
                </c:pt>
                <c:pt idx="2">
                  <c:v>134</c:v>
                </c:pt>
                <c:pt idx="3">
                  <c:v>133.75</c:v>
                </c:pt>
                <c:pt idx="4">
                  <c:v>134.75</c:v>
                </c:pt>
                <c:pt idx="5">
                  <c:v>140</c:v>
                </c:pt>
                <c:pt idx="6">
                  <c:v>146</c:v>
                </c:pt>
                <c:pt idx="7">
                  <c:v>154</c:v>
                </c:pt>
                <c:pt idx="8">
                  <c:v>158.5</c:v>
                </c:pt>
                <c:pt idx="9">
                  <c:v>164.5</c:v>
                </c:pt>
                <c:pt idx="10">
                  <c:v>164.5</c:v>
                </c:pt>
              </c:numCache>
            </c:numRef>
          </c:val>
          <c:smooth val="0"/>
          <c:extLst>
            <c:ext xmlns:c16="http://schemas.microsoft.com/office/drawing/2014/chart" uri="{C3380CC4-5D6E-409C-BE32-E72D297353CC}">
              <c16:uniqueId val="{00000000-8E2D-46F7-90F8-E68AFB6FF3C5}"/>
            </c:ext>
          </c:extLst>
        </c:ser>
        <c:ser>
          <c:idx val="1"/>
          <c:order val="1"/>
          <c:tx>
            <c:v>Ops FTEs</c:v>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Police!$B$54:$L$54</c:f>
              <c:numCache>
                <c:formatCode>_(* #,##0.00_);_(* \(#,##0.00\);_(* "-"??_);_(@_)</c:formatCode>
                <c:ptCount val="11"/>
              </c:numCache>
            </c:numRef>
          </c:val>
          <c:smooth val="0"/>
          <c:extLst>
            <c:ext xmlns:c16="http://schemas.microsoft.com/office/drawing/2014/chart" uri="{C3380CC4-5D6E-409C-BE32-E72D297353CC}">
              <c16:uniqueId val="{00000001-8E2D-46F7-90F8-E68AFB6FF3C5}"/>
            </c:ext>
          </c:extLst>
        </c:ser>
        <c:dLbls>
          <c:showLegendKey val="0"/>
          <c:showVal val="0"/>
          <c:showCatName val="0"/>
          <c:showSerName val="0"/>
          <c:showPercent val="0"/>
          <c:showBubbleSize val="0"/>
        </c:dLbls>
        <c:marker val="1"/>
        <c:smooth val="0"/>
        <c:axId val="-2139479752"/>
        <c:axId val="-2139476712"/>
      </c:lineChart>
      <c:catAx>
        <c:axId val="-2139479752"/>
        <c:scaling>
          <c:orientation val="minMax"/>
        </c:scaling>
        <c:delete val="0"/>
        <c:axPos val="b"/>
        <c:numFmt formatCode="General" sourceLinked="1"/>
        <c:majorTickMark val="out"/>
        <c:minorTickMark val="none"/>
        <c:tickLblPos val="nextTo"/>
        <c:crossAx val="-2139476712"/>
        <c:crosses val="autoZero"/>
        <c:auto val="1"/>
        <c:lblAlgn val="ctr"/>
        <c:lblOffset val="100"/>
        <c:noMultiLvlLbl val="0"/>
      </c:catAx>
      <c:valAx>
        <c:axId val="-2139476712"/>
        <c:scaling>
          <c:orientation val="minMax"/>
        </c:scaling>
        <c:delete val="0"/>
        <c:axPos val="l"/>
        <c:majorGridlines/>
        <c:numFmt formatCode="_(* #,##0_);_(* \(#,##0\);_(* &quot;-&quot;??_);_(@_)" sourceLinked="1"/>
        <c:majorTickMark val="out"/>
        <c:minorTickMark val="none"/>
        <c:tickLblPos val="nextTo"/>
        <c:crossAx val="-2139479752"/>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v>Op Exp per FTE</c:v>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Police!$B$72:$L$72</c:f>
              <c:numCache>
                <c:formatCode>_("$"* #,##0_);_("$"* \(#,##0\);_("$"* "-"??_);_(@_)</c:formatCode>
                <c:ptCount val="11"/>
              </c:numCache>
            </c:numRef>
          </c:val>
          <c:smooth val="0"/>
          <c:extLst>
            <c:ext xmlns:c16="http://schemas.microsoft.com/office/drawing/2014/chart" uri="{C3380CC4-5D6E-409C-BE32-E72D297353CC}">
              <c16:uniqueId val="{00000000-AE8A-4D0D-88BD-A106F519EB8B}"/>
            </c:ext>
          </c:extLst>
        </c:ser>
        <c:ser>
          <c:idx val="1"/>
          <c:order val="1"/>
          <c:tx>
            <c:v>Tot Exp per FTE</c:v>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Police!$B$74:$L$74</c:f>
              <c:numCache>
                <c:formatCode>_("$"* #,##0_);_("$"* \(#,##0\);_("$"* "-"??_);_(@_)</c:formatCode>
                <c:ptCount val="11"/>
              </c:numCache>
            </c:numRef>
          </c:val>
          <c:smooth val="0"/>
          <c:extLst>
            <c:ext xmlns:c16="http://schemas.microsoft.com/office/drawing/2014/chart" uri="{C3380CC4-5D6E-409C-BE32-E72D297353CC}">
              <c16:uniqueId val="{00000001-AE8A-4D0D-88BD-A106F519EB8B}"/>
            </c:ext>
          </c:extLst>
        </c:ser>
        <c:dLbls>
          <c:showLegendKey val="0"/>
          <c:showVal val="0"/>
          <c:showCatName val="0"/>
          <c:showSerName val="0"/>
          <c:showPercent val="0"/>
          <c:showBubbleSize val="0"/>
        </c:dLbls>
        <c:marker val="1"/>
        <c:smooth val="0"/>
        <c:axId val="-2139448808"/>
        <c:axId val="-2139445768"/>
      </c:lineChart>
      <c:catAx>
        <c:axId val="-2139448808"/>
        <c:scaling>
          <c:orientation val="minMax"/>
        </c:scaling>
        <c:delete val="0"/>
        <c:axPos val="b"/>
        <c:numFmt formatCode="General" sourceLinked="1"/>
        <c:majorTickMark val="out"/>
        <c:minorTickMark val="none"/>
        <c:tickLblPos val="nextTo"/>
        <c:crossAx val="-2139445768"/>
        <c:crosses val="autoZero"/>
        <c:auto val="1"/>
        <c:lblAlgn val="ctr"/>
        <c:lblOffset val="100"/>
        <c:noMultiLvlLbl val="0"/>
      </c:catAx>
      <c:valAx>
        <c:axId val="-2139445768"/>
        <c:scaling>
          <c:orientation val="minMax"/>
        </c:scaling>
        <c:delete val="0"/>
        <c:axPos val="l"/>
        <c:majorGridlines/>
        <c:numFmt formatCode="_(&quot;$&quot;* #,##0_);_(&quot;$&quot;* \(#,##0\);_(&quot;$&quot;* &quot;-&quot;??_);_(@_)" sourceLinked="1"/>
        <c:majorTickMark val="out"/>
        <c:minorTickMark val="none"/>
        <c:tickLblPos val="nextTo"/>
        <c:crossAx val="-2139448808"/>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8.9251016002032002E-2"/>
          <c:y val="1.8749999999999999E-2"/>
          <c:w val="0.88655543561087102"/>
          <c:h val="0.79240772637795298"/>
        </c:manualLayout>
      </c:layout>
      <c:lineChart>
        <c:grouping val="standard"/>
        <c:varyColors val="0"/>
        <c:ser>
          <c:idx val="0"/>
          <c:order val="0"/>
          <c:tx>
            <c:strRef>
              <c:f>Police!$A$34</c:f>
              <c:strCache>
                <c:ptCount val="1"/>
              </c:strCache>
            </c:strRef>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Police!$B$34:$L$34</c:f>
            </c:numRef>
          </c:val>
          <c:smooth val="0"/>
          <c:extLst>
            <c:ext xmlns:c16="http://schemas.microsoft.com/office/drawing/2014/chart" uri="{C3380CC4-5D6E-409C-BE32-E72D297353CC}">
              <c16:uniqueId val="{00000000-8C10-4BD0-91D0-E5CE06E5558F}"/>
            </c:ext>
          </c:extLst>
        </c:ser>
        <c:ser>
          <c:idx val="2"/>
          <c:order val="1"/>
          <c:tx>
            <c:strRef>
              <c:f>Police!$A$36</c:f>
              <c:strCache>
                <c:ptCount val="1"/>
                <c:pt idx="0">
                  <c:v>Admin</c:v>
                </c:pt>
              </c:strCache>
            </c:strRef>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Police!$B$36:$L$36</c:f>
              <c:numCache>
                <c:formatCode>_(* #,##0.00_);_(* \(#,##0.00\);_(* "-"??_);_(@_)</c:formatCode>
                <c:ptCount val="11"/>
                <c:pt idx="0">
                  <c:v>6</c:v>
                </c:pt>
                <c:pt idx="1">
                  <c:v>5</c:v>
                </c:pt>
                <c:pt idx="2">
                  <c:v>5</c:v>
                </c:pt>
                <c:pt idx="3">
                  <c:v>5</c:v>
                </c:pt>
                <c:pt idx="4">
                  <c:v>5</c:v>
                </c:pt>
                <c:pt idx="5">
                  <c:v>5</c:v>
                </c:pt>
                <c:pt idx="6" formatCode="_(* #,##0.0_);_(* \(#,##0.0\);_(* &quot;-&quot;??_);_(@_)">
                  <c:v>7</c:v>
                </c:pt>
                <c:pt idx="7" formatCode="_(* #,##0.0_);_(* \(#,##0.0\);_(* &quot;-&quot;??_);_(@_)">
                  <c:v>7</c:v>
                </c:pt>
                <c:pt idx="8" formatCode="_(* #,##0.0_);_(* \(#,##0.0\);_(* &quot;-&quot;??_);_(@_)">
                  <c:v>8</c:v>
                </c:pt>
                <c:pt idx="9" formatCode="_(* #,##0.0_);_(* \(#,##0.0\);_(* &quot;-&quot;??_);_(@_)">
                  <c:v>8</c:v>
                </c:pt>
                <c:pt idx="10" formatCode="_(* #,##0.0_);_(* \(#,##0.0\);_(* &quot;-&quot;??_);_(@_)">
                  <c:v>8</c:v>
                </c:pt>
              </c:numCache>
            </c:numRef>
          </c:val>
          <c:smooth val="0"/>
          <c:extLst>
            <c:ext xmlns:c16="http://schemas.microsoft.com/office/drawing/2014/chart" uri="{C3380CC4-5D6E-409C-BE32-E72D297353CC}">
              <c16:uniqueId val="{00000001-8C10-4BD0-91D0-E5CE06E5558F}"/>
            </c:ext>
          </c:extLst>
        </c:ser>
        <c:ser>
          <c:idx val="4"/>
          <c:order val="2"/>
          <c:tx>
            <c:strRef>
              <c:f>Police!$A$37</c:f>
              <c:strCache>
                <c:ptCount val="1"/>
                <c:pt idx="0">
                  <c:v>Info Svc</c:v>
                </c:pt>
              </c:strCache>
            </c:strRef>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Police!$B$37:$L$37</c:f>
              <c:numCache>
                <c:formatCode>_(* #,##0.00_);_(* \(#,##0.00\);_(* "-"??_);_(@_)</c:formatCode>
                <c:ptCount val="11"/>
                <c:pt idx="0">
                  <c:v>33</c:v>
                </c:pt>
                <c:pt idx="1">
                  <c:v>31</c:v>
                </c:pt>
                <c:pt idx="2">
                  <c:v>31</c:v>
                </c:pt>
                <c:pt idx="3">
                  <c:v>31</c:v>
                </c:pt>
                <c:pt idx="4">
                  <c:v>31</c:v>
                </c:pt>
                <c:pt idx="5">
                  <c:v>33</c:v>
                </c:pt>
                <c:pt idx="6" formatCode="_(* #,##0.0_);_(* \(#,##0.0\);_(* &quot;-&quot;??_);_(@_)">
                  <c:v>34</c:v>
                </c:pt>
                <c:pt idx="7" formatCode="_(* #,##0.0_);_(* \(#,##0.0\);_(* &quot;-&quot;??_);_(@_)">
                  <c:v>35</c:v>
                </c:pt>
                <c:pt idx="8" formatCode="_(* #,##0.0_);_(* \(#,##0.0\);_(* &quot;-&quot;??_);_(@_)">
                  <c:v>36</c:v>
                </c:pt>
                <c:pt idx="9" formatCode="_(* #,##0.0_);_(* \(#,##0.0\);_(* &quot;-&quot;??_);_(@_)">
                  <c:v>36</c:v>
                </c:pt>
                <c:pt idx="10" formatCode="_(* #,##0.0_);_(* \(#,##0.0\);_(* &quot;-&quot;??_);_(@_)">
                  <c:v>36</c:v>
                </c:pt>
              </c:numCache>
            </c:numRef>
          </c:val>
          <c:smooth val="0"/>
          <c:extLst>
            <c:ext xmlns:c16="http://schemas.microsoft.com/office/drawing/2014/chart" uri="{C3380CC4-5D6E-409C-BE32-E72D297353CC}">
              <c16:uniqueId val="{00000002-8C10-4BD0-91D0-E5CE06E5558F}"/>
            </c:ext>
          </c:extLst>
        </c:ser>
        <c:ser>
          <c:idx val="6"/>
          <c:order val="3"/>
          <c:tx>
            <c:strRef>
              <c:f>Police!$A$38</c:f>
              <c:strCache>
                <c:ptCount val="1"/>
                <c:pt idx="0">
                  <c:v>Ops</c:v>
                </c:pt>
              </c:strCache>
            </c:strRef>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Police!$B$38:$L$38</c:f>
              <c:numCache>
                <c:formatCode>_(* #,##0.00_);_(* \(#,##0.00\);_(* "-"??_);_(@_)</c:formatCode>
                <c:ptCount val="11"/>
                <c:pt idx="0">
                  <c:v>72</c:v>
                </c:pt>
                <c:pt idx="1">
                  <c:v>71</c:v>
                </c:pt>
                <c:pt idx="2">
                  <c:v>69</c:v>
                </c:pt>
                <c:pt idx="3">
                  <c:v>69</c:v>
                </c:pt>
                <c:pt idx="4">
                  <c:v>71</c:v>
                </c:pt>
                <c:pt idx="5">
                  <c:v>73</c:v>
                </c:pt>
                <c:pt idx="6" formatCode="_(* #,##0.0_);_(* \(#,##0.0\);_(* &quot;-&quot;??_);_(@_)">
                  <c:v>75</c:v>
                </c:pt>
                <c:pt idx="7" formatCode="_(* #,##0.0_);_(* \(#,##0.0\);_(* &quot;-&quot;??_);_(@_)">
                  <c:v>79</c:v>
                </c:pt>
                <c:pt idx="8" formatCode="_(* #,##0.0_);_(* \(#,##0.0\);_(* &quot;-&quot;??_);_(@_)">
                  <c:v>79</c:v>
                </c:pt>
                <c:pt idx="9" formatCode="_(* #,##0.0_);_(* \(#,##0.0\);_(* &quot;-&quot;??_);_(@_)">
                  <c:v>84</c:v>
                </c:pt>
                <c:pt idx="10" formatCode="_(* #,##0.0_);_(* \(#,##0.0\);_(* &quot;-&quot;??_);_(@_)">
                  <c:v>84</c:v>
                </c:pt>
              </c:numCache>
            </c:numRef>
          </c:val>
          <c:smooth val="0"/>
          <c:extLst>
            <c:ext xmlns:c16="http://schemas.microsoft.com/office/drawing/2014/chart" uri="{C3380CC4-5D6E-409C-BE32-E72D297353CC}">
              <c16:uniqueId val="{00000003-8C10-4BD0-91D0-E5CE06E5558F}"/>
            </c:ext>
          </c:extLst>
        </c:ser>
        <c:dLbls>
          <c:showLegendKey val="0"/>
          <c:showVal val="0"/>
          <c:showCatName val="0"/>
          <c:showSerName val="0"/>
          <c:showPercent val="0"/>
          <c:showBubbleSize val="0"/>
        </c:dLbls>
        <c:marker val="1"/>
        <c:smooth val="0"/>
        <c:axId val="-2139404888"/>
        <c:axId val="-2139401704"/>
      </c:lineChart>
      <c:catAx>
        <c:axId val="-2139404888"/>
        <c:scaling>
          <c:orientation val="minMax"/>
        </c:scaling>
        <c:delete val="0"/>
        <c:axPos val="b"/>
        <c:numFmt formatCode="General" sourceLinked="1"/>
        <c:majorTickMark val="out"/>
        <c:minorTickMark val="none"/>
        <c:tickLblPos val="nextTo"/>
        <c:crossAx val="-2139401704"/>
        <c:crosses val="autoZero"/>
        <c:auto val="1"/>
        <c:lblAlgn val="ctr"/>
        <c:lblOffset val="100"/>
        <c:noMultiLvlLbl val="0"/>
      </c:catAx>
      <c:valAx>
        <c:axId val="-2139401704"/>
        <c:scaling>
          <c:orientation val="minMax"/>
        </c:scaling>
        <c:delete val="0"/>
        <c:axPos val="l"/>
        <c:majorGridlines/>
        <c:numFmt formatCode="_(* #,##0.00_);_(* \(#,##0.00\);_(* &quot;-&quot;??_);_(@_)" sourceLinked="1"/>
        <c:majorTickMark val="out"/>
        <c:minorTickMark val="none"/>
        <c:tickLblPos val="nextTo"/>
        <c:crossAx val="-2139404888"/>
        <c:crosses val="autoZero"/>
        <c:crossBetween val="between"/>
      </c:valAx>
      <c:spPr>
        <a:noFill/>
        <a:ln w="25400">
          <a:noFill/>
        </a:ln>
      </c:spPr>
    </c:plotArea>
    <c:legend>
      <c:legendPos val="b"/>
      <c:layout>
        <c:manualLayout>
          <c:xMode val="edge"/>
          <c:yMode val="edge"/>
          <c:x val="0.26985004317457101"/>
          <c:y val="0.89834479199613804"/>
          <c:w val="0.463557157146888"/>
          <c:h val="6.7828569526060797E-2"/>
        </c:manualLayout>
      </c:layout>
      <c:overlay val="0"/>
    </c:legend>
    <c:plotVisOnly val="1"/>
    <c:dispBlanksAs val="gap"/>
    <c:showDLblsOverMax val="0"/>
  </c:chart>
  <c:printSettings>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     Total Expenditures by Year  </a:t>
            </a:r>
          </a:p>
        </c:rich>
      </c:tx>
      <c:overlay val="0"/>
    </c:title>
    <c:autoTitleDeleted val="0"/>
    <c:plotArea>
      <c:layout/>
      <c:lineChart>
        <c:grouping val="standard"/>
        <c:varyColors val="0"/>
        <c:ser>
          <c:idx val="0"/>
          <c:order val="0"/>
          <c:tx>
            <c:strRef>
              <c:f>Police!$A$40</c:f>
              <c:strCache>
                <c:ptCount val="1"/>
                <c:pt idx="0">
                  <c:v>FTE Total </c:v>
                </c:pt>
              </c:strCache>
            </c:strRef>
          </c:tx>
          <c:cat>
            <c:numRef>
              <c:f>Police!$B$5:$I$5</c:f>
              <c:numCache>
                <c:formatCode>General</c:formatCode>
                <c:ptCount val="8"/>
                <c:pt idx="0">
                  <c:v>2009</c:v>
                </c:pt>
                <c:pt idx="1">
                  <c:v>2010</c:v>
                </c:pt>
                <c:pt idx="2">
                  <c:v>2011</c:v>
                </c:pt>
                <c:pt idx="3">
                  <c:v>2012</c:v>
                </c:pt>
                <c:pt idx="4">
                  <c:v>2013</c:v>
                </c:pt>
                <c:pt idx="5">
                  <c:v>2014</c:v>
                </c:pt>
                <c:pt idx="6">
                  <c:v>2015</c:v>
                </c:pt>
                <c:pt idx="7">
                  <c:v>2016</c:v>
                </c:pt>
              </c:numCache>
            </c:numRef>
          </c:cat>
          <c:val>
            <c:numRef>
              <c:f>Police!$B$40:$H$40</c:f>
              <c:numCache>
                <c:formatCode>_(* #,##0.0_);_(* \(#,##0.0\);_(* "-"??_);_(@_)</c:formatCode>
                <c:ptCount val="7"/>
                <c:pt idx="0">
                  <c:v>136</c:v>
                </c:pt>
                <c:pt idx="1">
                  <c:v>134</c:v>
                </c:pt>
                <c:pt idx="2">
                  <c:v>134</c:v>
                </c:pt>
                <c:pt idx="3">
                  <c:v>133.75</c:v>
                </c:pt>
                <c:pt idx="4">
                  <c:v>134.75</c:v>
                </c:pt>
                <c:pt idx="5">
                  <c:v>140</c:v>
                </c:pt>
                <c:pt idx="6">
                  <c:v>146</c:v>
                </c:pt>
              </c:numCache>
            </c:numRef>
          </c:val>
          <c:smooth val="0"/>
          <c:extLst>
            <c:ext xmlns:c16="http://schemas.microsoft.com/office/drawing/2014/chart" uri="{C3380CC4-5D6E-409C-BE32-E72D297353CC}">
              <c16:uniqueId val="{00000000-8D9A-41B1-8046-0937C31BFA96}"/>
            </c:ext>
          </c:extLst>
        </c:ser>
        <c:dLbls>
          <c:showLegendKey val="0"/>
          <c:showVal val="0"/>
          <c:showCatName val="0"/>
          <c:showSerName val="0"/>
          <c:showPercent val="0"/>
          <c:showBubbleSize val="0"/>
        </c:dLbls>
        <c:marker val="1"/>
        <c:smooth val="0"/>
        <c:axId val="-2054597848"/>
        <c:axId val="-2117127448"/>
      </c:lineChart>
      <c:catAx>
        <c:axId val="-2054597848"/>
        <c:scaling>
          <c:orientation val="minMax"/>
        </c:scaling>
        <c:delete val="0"/>
        <c:axPos val="b"/>
        <c:numFmt formatCode="General" sourceLinked="1"/>
        <c:majorTickMark val="out"/>
        <c:minorTickMark val="none"/>
        <c:tickLblPos val="nextTo"/>
        <c:crossAx val="-2117127448"/>
        <c:crosses val="autoZero"/>
        <c:auto val="1"/>
        <c:lblAlgn val="ctr"/>
        <c:lblOffset val="100"/>
        <c:noMultiLvlLbl val="0"/>
      </c:catAx>
      <c:valAx>
        <c:axId val="-2117127448"/>
        <c:scaling>
          <c:orientation val="minMax"/>
        </c:scaling>
        <c:delete val="0"/>
        <c:axPos val="l"/>
        <c:majorGridlines/>
        <c:numFmt formatCode="_(* #,##0.0_);_(* \(#,##0.0\);_(* &quot;-&quot;??_);_(@_)" sourceLinked="1"/>
        <c:majorTickMark val="out"/>
        <c:minorTickMark val="none"/>
        <c:tickLblPos val="nextTo"/>
        <c:crossAx val="-2054597848"/>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v>Admin</c:v>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Police!$B$52:$L$52</c:f>
              <c:numCache>
                <c:formatCode>_(* #,##0.00_);_(* \(#,##0.00\);_(* "-"??_);_(@_)</c:formatCode>
                <c:ptCount val="11"/>
              </c:numCache>
            </c:numRef>
          </c:val>
          <c:smooth val="0"/>
          <c:extLst>
            <c:ext xmlns:c16="http://schemas.microsoft.com/office/drawing/2014/chart" uri="{C3380CC4-5D6E-409C-BE32-E72D297353CC}">
              <c16:uniqueId val="{00000000-C986-427D-88B3-90B66BF24DF2}"/>
            </c:ext>
          </c:extLst>
        </c:ser>
        <c:ser>
          <c:idx val="1"/>
          <c:order val="1"/>
          <c:tx>
            <c:v>Info Svc</c:v>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Police!$B$53:$L$53</c:f>
              <c:numCache>
                <c:formatCode>_(* #,##0.00_);_(* \(#,##0.00\);_(* "-"??_);_(@_)</c:formatCode>
                <c:ptCount val="11"/>
              </c:numCache>
            </c:numRef>
          </c:val>
          <c:smooth val="0"/>
          <c:extLst>
            <c:ext xmlns:c16="http://schemas.microsoft.com/office/drawing/2014/chart" uri="{C3380CC4-5D6E-409C-BE32-E72D297353CC}">
              <c16:uniqueId val="{00000001-C986-427D-88B3-90B66BF24DF2}"/>
            </c:ext>
          </c:extLst>
        </c:ser>
        <c:ser>
          <c:idx val="2"/>
          <c:order val="2"/>
          <c:tx>
            <c:v>Ops</c:v>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Police!$B$54:$L$54</c:f>
              <c:numCache>
                <c:formatCode>_(* #,##0.00_);_(* \(#,##0.00\);_(* "-"??_);_(@_)</c:formatCode>
                <c:ptCount val="11"/>
              </c:numCache>
            </c:numRef>
          </c:val>
          <c:smooth val="0"/>
          <c:extLst>
            <c:ext xmlns:c16="http://schemas.microsoft.com/office/drawing/2014/chart" uri="{C3380CC4-5D6E-409C-BE32-E72D297353CC}">
              <c16:uniqueId val="{00000002-C986-427D-88B3-90B66BF24DF2}"/>
            </c:ext>
          </c:extLst>
        </c:ser>
        <c:ser>
          <c:idx val="3"/>
          <c:order val="3"/>
          <c:tx>
            <c:v>Sup Ser</c:v>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Police!$B$55:$L$55</c:f>
              <c:numCache>
                <c:formatCode>_(* #,##0.00_);_(* \(#,##0.00\);_(* "-"??_);_(@_)</c:formatCode>
                <c:ptCount val="11"/>
              </c:numCache>
            </c:numRef>
          </c:val>
          <c:smooth val="0"/>
          <c:extLst>
            <c:ext xmlns:c16="http://schemas.microsoft.com/office/drawing/2014/chart" uri="{C3380CC4-5D6E-409C-BE32-E72D297353CC}">
              <c16:uniqueId val="{00000003-C986-427D-88B3-90B66BF24DF2}"/>
            </c:ext>
          </c:extLst>
        </c:ser>
        <c:dLbls>
          <c:showLegendKey val="0"/>
          <c:showVal val="0"/>
          <c:showCatName val="0"/>
          <c:showSerName val="0"/>
          <c:showPercent val="0"/>
          <c:showBubbleSize val="0"/>
        </c:dLbls>
        <c:marker val="1"/>
        <c:smooth val="0"/>
        <c:axId val="-2139365608"/>
        <c:axId val="-2139362424"/>
      </c:lineChart>
      <c:catAx>
        <c:axId val="-2139365608"/>
        <c:scaling>
          <c:orientation val="minMax"/>
        </c:scaling>
        <c:delete val="0"/>
        <c:axPos val="b"/>
        <c:numFmt formatCode="General" sourceLinked="1"/>
        <c:majorTickMark val="out"/>
        <c:minorTickMark val="none"/>
        <c:tickLblPos val="nextTo"/>
        <c:crossAx val="-2139362424"/>
        <c:crosses val="autoZero"/>
        <c:auto val="1"/>
        <c:lblAlgn val="ctr"/>
        <c:lblOffset val="100"/>
        <c:noMultiLvlLbl val="0"/>
      </c:catAx>
      <c:valAx>
        <c:axId val="-2139362424"/>
        <c:scaling>
          <c:orientation val="minMax"/>
        </c:scaling>
        <c:delete val="0"/>
        <c:axPos val="l"/>
        <c:majorGridlines/>
        <c:numFmt formatCode="_(* #,##0.00_);_(* \(#,##0.00\);_(* &quot;-&quot;??_);_(@_)" sourceLinked="1"/>
        <c:majorTickMark val="out"/>
        <c:minorTickMark val="none"/>
        <c:tickLblPos val="nextTo"/>
        <c:crossAx val="-2139365608"/>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     Total Expenditures by Year  </a:t>
            </a:r>
          </a:p>
        </c:rich>
      </c:tx>
      <c:overlay val="0"/>
    </c:title>
    <c:autoTitleDeleted val="0"/>
    <c:plotArea>
      <c:layout/>
      <c:lineChart>
        <c:grouping val="standard"/>
        <c:varyColors val="0"/>
        <c:ser>
          <c:idx val="0"/>
          <c:order val="0"/>
          <c:tx>
            <c:strRef>
              <c:f>Police!$A$40</c:f>
              <c:strCache>
                <c:ptCount val="1"/>
                <c:pt idx="0">
                  <c:v>FTE Total </c:v>
                </c:pt>
              </c:strCache>
            </c:strRef>
          </c:tx>
          <c:cat>
            <c:numRef>
              <c:f>Police!$B$5:$I$5</c:f>
              <c:numCache>
                <c:formatCode>General</c:formatCode>
                <c:ptCount val="8"/>
                <c:pt idx="0">
                  <c:v>2009</c:v>
                </c:pt>
                <c:pt idx="1">
                  <c:v>2010</c:v>
                </c:pt>
                <c:pt idx="2">
                  <c:v>2011</c:v>
                </c:pt>
                <c:pt idx="3">
                  <c:v>2012</c:v>
                </c:pt>
                <c:pt idx="4">
                  <c:v>2013</c:v>
                </c:pt>
                <c:pt idx="5">
                  <c:v>2014</c:v>
                </c:pt>
                <c:pt idx="6">
                  <c:v>2015</c:v>
                </c:pt>
                <c:pt idx="7">
                  <c:v>2016</c:v>
                </c:pt>
              </c:numCache>
            </c:numRef>
          </c:cat>
          <c:val>
            <c:numRef>
              <c:f>Police!$B$40:$H$40</c:f>
              <c:numCache>
                <c:formatCode>_(* #,##0.0_);_(* \(#,##0.0\);_(* "-"??_);_(@_)</c:formatCode>
                <c:ptCount val="7"/>
                <c:pt idx="0">
                  <c:v>136</c:v>
                </c:pt>
                <c:pt idx="1">
                  <c:v>134</c:v>
                </c:pt>
                <c:pt idx="2">
                  <c:v>134</c:v>
                </c:pt>
                <c:pt idx="3">
                  <c:v>133.75</c:v>
                </c:pt>
                <c:pt idx="4">
                  <c:v>134.75</c:v>
                </c:pt>
                <c:pt idx="5">
                  <c:v>140</c:v>
                </c:pt>
                <c:pt idx="6">
                  <c:v>146</c:v>
                </c:pt>
              </c:numCache>
            </c:numRef>
          </c:val>
          <c:smooth val="0"/>
          <c:extLst>
            <c:ext xmlns:c16="http://schemas.microsoft.com/office/drawing/2014/chart" uri="{C3380CC4-5D6E-409C-BE32-E72D297353CC}">
              <c16:uniqueId val="{00000000-91C5-447F-A6A7-49510A5BC345}"/>
            </c:ext>
          </c:extLst>
        </c:ser>
        <c:dLbls>
          <c:showLegendKey val="0"/>
          <c:showVal val="0"/>
          <c:showCatName val="0"/>
          <c:showSerName val="0"/>
          <c:showPercent val="0"/>
          <c:showBubbleSize val="0"/>
        </c:dLbls>
        <c:marker val="1"/>
        <c:smooth val="0"/>
        <c:axId val="-2139341608"/>
        <c:axId val="-2139338536"/>
      </c:lineChart>
      <c:catAx>
        <c:axId val="-2139341608"/>
        <c:scaling>
          <c:orientation val="minMax"/>
        </c:scaling>
        <c:delete val="0"/>
        <c:axPos val="b"/>
        <c:numFmt formatCode="General" sourceLinked="1"/>
        <c:majorTickMark val="out"/>
        <c:minorTickMark val="none"/>
        <c:tickLblPos val="nextTo"/>
        <c:crossAx val="-2139338536"/>
        <c:crosses val="autoZero"/>
        <c:auto val="1"/>
        <c:lblAlgn val="ctr"/>
        <c:lblOffset val="100"/>
        <c:noMultiLvlLbl val="0"/>
      </c:catAx>
      <c:valAx>
        <c:axId val="-2139338536"/>
        <c:scaling>
          <c:orientation val="minMax"/>
        </c:scaling>
        <c:delete val="0"/>
        <c:axPos val="l"/>
        <c:majorGridlines/>
        <c:numFmt formatCode="_(* #,##0.0_);_(* \(#,##0.0\);_(* &quot;-&quot;??_);_(@_)" sourceLinked="1"/>
        <c:majorTickMark val="out"/>
        <c:minorTickMark val="none"/>
        <c:tickLblPos val="nextTo"/>
        <c:crossAx val="-2139341608"/>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05686495070469"/>
          <c:y val="8.5855279039025206E-2"/>
          <c:w val="0.89431350492953099"/>
          <c:h val="0.77813253635266399"/>
        </c:manualLayout>
      </c:layout>
      <c:lineChart>
        <c:grouping val="standard"/>
        <c:varyColors val="0"/>
        <c:ser>
          <c:idx val="0"/>
          <c:order val="0"/>
          <c:tx>
            <c:strRef>
              <c:f>Police!$A$29</c:f>
              <c:strCache>
                <c:ptCount val="1"/>
                <c:pt idx="0">
                  <c:v>   FTE Total</c:v>
                </c:pt>
              </c:strCache>
            </c:strRef>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Police!$B$29:$L$29</c:f>
              <c:numCache>
                <c:formatCode>_(* #,##0_);_(* \(#,##0\);_(* "-"??_);_(@_)</c:formatCode>
                <c:ptCount val="11"/>
                <c:pt idx="0">
                  <c:v>136</c:v>
                </c:pt>
                <c:pt idx="1">
                  <c:v>134</c:v>
                </c:pt>
                <c:pt idx="2">
                  <c:v>134</c:v>
                </c:pt>
                <c:pt idx="3">
                  <c:v>133.75</c:v>
                </c:pt>
                <c:pt idx="4">
                  <c:v>134.75</c:v>
                </c:pt>
                <c:pt idx="5">
                  <c:v>140</c:v>
                </c:pt>
                <c:pt idx="6">
                  <c:v>146</c:v>
                </c:pt>
                <c:pt idx="7">
                  <c:v>154</c:v>
                </c:pt>
                <c:pt idx="8">
                  <c:v>158.5</c:v>
                </c:pt>
                <c:pt idx="9">
                  <c:v>164.5</c:v>
                </c:pt>
                <c:pt idx="10">
                  <c:v>164.5</c:v>
                </c:pt>
              </c:numCache>
            </c:numRef>
          </c:val>
          <c:smooth val="0"/>
          <c:extLst>
            <c:ext xmlns:c16="http://schemas.microsoft.com/office/drawing/2014/chart" uri="{C3380CC4-5D6E-409C-BE32-E72D297353CC}">
              <c16:uniqueId val="{00000000-496E-40C3-974E-19198A4A2A0B}"/>
            </c:ext>
          </c:extLst>
        </c:ser>
        <c:ser>
          <c:idx val="1"/>
          <c:order val="1"/>
          <c:tx>
            <c:v>Ops FTEs</c:v>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Police!$B$54:$L$54</c:f>
              <c:numCache>
                <c:formatCode>_(* #,##0.00_);_(* \(#,##0.00\);_(* "-"??_);_(@_)</c:formatCode>
                <c:ptCount val="11"/>
              </c:numCache>
            </c:numRef>
          </c:val>
          <c:smooth val="0"/>
          <c:extLst>
            <c:ext xmlns:c16="http://schemas.microsoft.com/office/drawing/2014/chart" uri="{C3380CC4-5D6E-409C-BE32-E72D297353CC}">
              <c16:uniqueId val="{00000001-496E-40C3-974E-19198A4A2A0B}"/>
            </c:ext>
          </c:extLst>
        </c:ser>
        <c:dLbls>
          <c:showLegendKey val="0"/>
          <c:showVal val="0"/>
          <c:showCatName val="0"/>
          <c:showSerName val="0"/>
          <c:showPercent val="0"/>
          <c:showBubbleSize val="0"/>
        </c:dLbls>
        <c:marker val="1"/>
        <c:smooth val="0"/>
        <c:axId val="-2139664568"/>
        <c:axId val="-2139674952"/>
      </c:lineChart>
      <c:catAx>
        <c:axId val="-2139664568"/>
        <c:scaling>
          <c:orientation val="minMax"/>
        </c:scaling>
        <c:delete val="0"/>
        <c:axPos val="b"/>
        <c:numFmt formatCode="General" sourceLinked="1"/>
        <c:majorTickMark val="out"/>
        <c:minorTickMark val="none"/>
        <c:tickLblPos val="nextTo"/>
        <c:crossAx val="-2139674952"/>
        <c:crosses val="autoZero"/>
        <c:auto val="1"/>
        <c:lblAlgn val="ctr"/>
        <c:lblOffset val="100"/>
        <c:noMultiLvlLbl val="0"/>
      </c:catAx>
      <c:valAx>
        <c:axId val="-2139674952"/>
        <c:scaling>
          <c:orientation val="minMax"/>
        </c:scaling>
        <c:delete val="0"/>
        <c:axPos val="l"/>
        <c:majorGridlines/>
        <c:numFmt formatCode="_(* #,##0_);_(* \(#,##0\);_(* &quot;-&quot;??_);_(@_)" sourceLinked="1"/>
        <c:majorTickMark val="out"/>
        <c:minorTickMark val="none"/>
        <c:tickLblPos val="nextTo"/>
        <c:crossAx val="-2139664568"/>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v>Op Exp per FTE</c:v>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Police!$B$72:$L$72</c:f>
              <c:numCache>
                <c:formatCode>_("$"* #,##0_);_("$"* \(#,##0\);_("$"* "-"??_);_(@_)</c:formatCode>
                <c:ptCount val="11"/>
              </c:numCache>
            </c:numRef>
          </c:val>
          <c:smooth val="0"/>
          <c:extLst>
            <c:ext xmlns:c16="http://schemas.microsoft.com/office/drawing/2014/chart" uri="{C3380CC4-5D6E-409C-BE32-E72D297353CC}">
              <c16:uniqueId val="{00000000-CFD8-4261-B3C2-EB9D2DD207EB}"/>
            </c:ext>
          </c:extLst>
        </c:ser>
        <c:ser>
          <c:idx val="1"/>
          <c:order val="1"/>
          <c:tx>
            <c:v>Tot Exp per FTE</c:v>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Police!$B$74:$L$74</c:f>
              <c:numCache>
                <c:formatCode>_("$"* #,##0_);_("$"* \(#,##0\);_("$"* "-"??_);_(@_)</c:formatCode>
                <c:ptCount val="11"/>
              </c:numCache>
            </c:numRef>
          </c:val>
          <c:smooth val="0"/>
          <c:extLst>
            <c:ext xmlns:c16="http://schemas.microsoft.com/office/drawing/2014/chart" uri="{C3380CC4-5D6E-409C-BE32-E72D297353CC}">
              <c16:uniqueId val="{00000001-CFD8-4261-B3C2-EB9D2DD207EB}"/>
            </c:ext>
          </c:extLst>
        </c:ser>
        <c:dLbls>
          <c:showLegendKey val="0"/>
          <c:showVal val="0"/>
          <c:showCatName val="0"/>
          <c:showSerName val="0"/>
          <c:showPercent val="0"/>
          <c:showBubbleSize val="0"/>
        </c:dLbls>
        <c:marker val="1"/>
        <c:smooth val="0"/>
        <c:axId val="-2139705064"/>
        <c:axId val="-2139702024"/>
      </c:lineChart>
      <c:catAx>
        <c:axId val="-2139705064"/>
        <c:scaling>
          <c:orientation val="minMax"/>
        </c:scaling>
        <c:delete val="0"/>
        <c:axPos val="b"/>
        <c:numFmt formatCode="General" sourceLinked="1"/>
        <c:majorTickMark val="out"/>
        <c:minorTickMark val="none"/>
        <c:tickLblPos val="nextTo"/>
        <c:crossAx val="-2139702024"/>
        <c:crosses val="autoZero"/>
        <c:auto val="1"/>
        <c:lblAlgn val="ctr"/>
        <c:lblOffset val="100"/>
        <c:noMultiLvlLbl val="0"/>
      </c:catAx>
      <c:valAx>
        <c:axId val="-2139702024"/>
        <c:scaling>
          <c:orientation val="minMax"/>
        </c:scaling>
        <c:delete val="0"/>
        <c:axPos val="l"/>
        <c:majorGridlines/>
        <c:numFmt formatCode="_(&quot;$&quot;* #,##0_);_(&quot;$&quot;* \(#,##0\);_(&quot;$&quot;* &quot;-&quot;??_);_(@_)" sourceLinked="1"/>
        <c:majorTickMark val="out"/>
        <c:minorTickMark val="none"/>
        <c:tickLblPos val="nextTo"/>
        <c:crossAx val="-2139705064"/>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Non-Departmental - Total Revenues</a:t>
            </a:r>
          </a:p>
        </c:rich>
      </c:tx>
      <c:layout/>
      <c:overlay val="0"/>
      <c:spPr>
        <a:noFill/>
        <a:ln>
          <a:noFill/>
        </a:ln>
        <a:effectLst/>
      </c:spPr>
    </c:title>
    <c:autoTitleDeleted val="0"/>
    <c:plotArea>
      <c:layout/>
      <c:lineChart>
        <c:grouping val="standard"/>
        <c:varyColors val="0"/>
        <c:ser>
          <c:idx val="0"/>
          <c:order val="0"/>
          <c:tx>
            <c:strRef>
              <c:f>'Non Dept '!$A$7</c:f>
              <c:strCache>
                <c:ptCount val="1"/>
                <c:pt idx="0">
                  <c:v>General Fund</c:v>
                </c:pt>
              </c:strCache>
            </c:strRef>
          </c:tx>
          <c:spPr>
            <a:ln>
              <a:solidFill>
                <a:schemeClr val="tx1"/>
              </a:solidFill>
            </a:ln>
          </c:spPr>
          <c:marker>
            <c:symbol val="none"/>
          </c:marker>
          <c:cat>
            <c:numRef>
              <c:f>'Non Dept '!$B$5:$L$5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'Non Dept '!$B$7:$L$7</c:f>
              <c:numCache>
                <c:formatCode>_("$"* #,##0_);_("$"* \(#,##0\);_("$"* "-"??_);_(@_)</c:formatCode>
                <c:ptCount val="11"/>
                <c:pt idx="0">
                  <c:v>50941711</c:v>
                </c:pt>
                <c:pt idx="1">
                  <c:v>51306499</c:v>
                </c:pt>
                <c:pt idx="2">
                  <c:v>55843208</c:v>
                </c:pt>
                <c:pt idx="3">
                  <c:v>58754890</c:v>
                </c:pt>
                <c:pt idx="4">
                  <c:v>56794658</c:v>
                </c:pt>
                <c:pt idx="5">
                  <c:v>62457152</c:v>
                </c:pt>
                <c:pt idx="6">
                  <c:v>65566182</c:v>
                </c:pt>
                <c:pt idx="7">
                  <c:v>68469388</c:v>
                </c:pt>
                <c:pt idx="8">
                  <c:v>70786864</c:v>
                </c:pt>
                <c:pt idx="9">
                  <c:v>72570163</c:v>
                </c:pt>
                <c:pt idx="10">
                  <c:v>83879144</c:v>
                </c:pt>
              </c:numCache>
            </c:numRef>
          </c:val>
          <c:smooth val="0"/>
          <c:extLst>
            <c:ext xmlns:c16="http://schemas.microsoft.com/office/drawing/2014/chart" uri="{C3380CC4-5D6E-409C-BE32-E72D297353CC}">
              <c16:uniqueId val="{00000005-68C3-4222-B370-D62205F3931D}"/>
            </c:ext>
          </c:extLst>
        </c:ser>
        <c:ser>
          <c:idx val="1"/>
          <c:order val="1"/>
          <c:tx>
            <c:strRef>
              <c:f>'Non Dept '!$A$10</c:f>
              <c:strCache>
                <c:ptCount val="1"/>
                <c:pt idx="0">
                  <c:v>Special Revenue Funds</c:v>
                </c:pt>
              </c:strCache>
            </c:strRef>
          </c:tx>
          <c:spPr>
            <a:ln>
              <a:solidFill>
                <a:srgbClr val="996633"/>
              </a:solidFill>
            </a:ln>
          </c:spPr>
          <c:marker>
            <c:symbol val="none"/>
          </c:marker>
          <c:cat>
            <c:numRef>
              <c:f>'Non Dept '!$B$5:$L$5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'Non Dept '!$B$10:$L$10</c:f>
              <c:numCache>
                <c:formatCode>_("$"* #,##0_);_("$"* \(#,##0\);_("$"* "-"??_);_(@_)</c:formatCode>
                <c:ptCount val="11"/>
                <c:pt idx="0">
                  <c:v>597147</c:v>
                </c:pt>
                <c:pt idx="1">
                  <c:v>612995</c:v>
                </c:pt>
                <c:pt idx="2">
                  <c:v>565889</c:v>
                </c:pt>
                <c:pt idx="3">
                  <c:v>457593</c:v>
                </c:pt>
                <c:pt idx="4">
                  <c:v>385262</c:v>
                </c:pt>
                <c:pt idx="5">
                  <c:v>556611</c:v>
                </c:pt>
                <c:pt idx="6">
                  <c:v>753669</c:v>
                </c:pt>
                <c:pt idx="7">
                  <c:v>792882</c:v>
                </c:pt>
                <c:pt idx="8">
                  <c:v>15062390</c:v>
                </c:pt>
                <c:pt idx="9">
                  <c:v>10275630</c:v>
                </c:pt>
                <c:pt idx="10">
                  <c:v>988221</c:v>
                </c:pt>
              </c:numCache>
            </c:numRef>
          </c:val>
          <c:smooth val="0"/>
          <c:extLst>
            <c:ext xmlns:c16="http://schemas.microsoft.com/office/drawing/2014/chart" uri="{C3380CC4-5D6E-409C-BE32-E72D297353CC}">
              <c16:uniqueId val="{00000006-68C3-4222-B370-D62205F3931D}"/>
            </c:ext>
          </c:extLst>
        </c:ser>
        <c:ser>
          <c:idx val="2"/>
          <c:order val="2"/>
          <c:tx>
            <c:strRef>
              <c:f>'Non Dept '!$A$11</c:f>
              <c:strCache>
                <c:ptCount val="1"/>
                <c:pt idx="0">
                  <c:v>Special Revenue Funds-Capital Pjts</c:v>
                </c:pt>
              </c:strCache>
            </c:strRef>
          </c:tx>
          <c:spPr>
            <a:ln>
              <a:solidFill>
                <a:schemeClr val="accent5">
                  <a:lumMod val="75000"/>
                </a:schemeClr>
              </a:solidFill>
            </a:ln>
          </c:spPr>
          <c:marker>
            <c:symbol val="none"/>
          </c:marker>
          <c:cat>
            <c:numRef>
              <c:f>'Non Dept '!$B$5:$L$5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'Non Dept '!$B$11:$L$11</c:f>
              <c:numCache>
                <c:formatCode>_("$"* #,##0_);_("$"* \(#,##0\);_("$"* "-"??_);_(@_)</c:formatCode>
                <c:ptCount val="11"/>
                <c:pt idx="0">
                  <c:v>12727962</c:v>
                </c:pt>
                <c:pt idx="1">
                  <c:v>21935021</c:v>
                </c:pt>
                <c:pt idx="2">
                  <c:v>14095397</c:v>
                </c:pt>
                <c:pt idx="3">
                  <c:v>3967740</c:v>
                </c:pt>
                <c:pt idx="4">
                  <c:v>8202282</c:v>
                </c:pt>
                <c:pt idx="5">
                  <c:v>14848850</c:v>
                </c:pt>
                <c:pt idx="6">
                  <c:v>5765198</c:v>
                </c:pt>
                <c:pt idx="7">
                  <c:v>4204835</c:v>
                </c:pt>
                <c:pt idx="8">
                  <c:v>8531393</c:v>
                </c:pt>
                <c:pt idx="9">
                  <c:v>34939001</c:v>
                </c:pt>
                <c:pt idx="10">
                  <c:v>3293000</c:v>
                </c:pt>
              </c:numCache>
            </c:numRef>
          </c:val>
          <c:smooth val="0"/>
          <c:extLst>
            <c:ext xmlns:c16="http://schemas.microsoft.com/office/drawing/2014/chart" uri="{C3380CC4-5D6E-409C-BE32-E72D297353CC}">
              <c16:uniqueId val="{00000007-68C3-4222-B370-D62205F3931D}"/>
            </c:ext>
          </c:extLst>
        </c:ser>
        <c:dLbls>
          <c:showLegendKey val="0"/>
          <c:showVal val="0"/>
          <c:showCatName val="0"/>
          <c:showSerName val="0"/>
          <c:showPercent val="0"/>
          <c:showBubbleSize val="0"/>
        </c:dLbls>
        <c:smooth val="0"/>
        <c:axId val="613568352"/>
        <c:axId val="613561792"/>
      </c:lineChart>
      <c:catAx>
        <c:axId val="61356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561792"/>
        <c:crosses val="autoZero"/>
        <c:auto val="1"/>
        <c:lblAlgn val="ctr"/>
        <c:lblOffset val="100"/>
        <c:noMultiLvlLbl val="0"/>
      </c:catAx>
      <c:valAx>
        <c:axId val="61356179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568352"/>
        <c:crosses val="autoZero"/>
        <c:crossBetween val="between"/>
      </c:valAx>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ysClr val="window" lastClr="FFFFFF"/>
    </a:solidFill>
  </c:spPr>
  <c:txPr>
    <a:bodyPr/>
    <a:lstStyle/>
    <a:p>
      <a:pPr>
        <a:defRPr/>
      </a:pPr>
      <a:endParaRPr lang="en-US"/>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Non-Departmental - Total Expenditures</a:t>
            </a:r>
          </a:p>
        </c:rich>
      </c:tx>
      <c:layout/>
      <c:overlay val="0"/>
      <c:spPr>
        <a:noFill/>
        <a:ln>
          <a:noFill/>
        </a:ln>
        <a:effectLst/>
      </c:spPr>
    </c:title>
    <c:autoTitleDeleted val="0"/>
    <c:plotArea>
      <c:layout/>
      <c:lineChart>
        <c:grouping val="standard"/>
        <c:varyColors val="0"/>
        <c:ser>
          <c:idx val="0"/>
          <c:order val="0"/>
          <c:tx>
            <c:strRef>
              <c:f>'Non Dept '!$A$7</c:f>
              <c:strCache>
                <c:ptCount val="1"/>
                <c:pt idx="0">
                  <c:v>General Fund</c:v>
                </c:pt>
              </c:strCache>
            </c:strRef>
          </c:tx>
          <c:spPr>
            <a:ln>
              <a:solidFill>
                <a:schemeClr val="tx1"/>
              </a:solidFill>
            </a:ln>
          </c:spPr>
          <c:marker>
            <c:symbol val="none"/>
          </c:marker>
          <c:cat>
            <c:numRef>
              <c:f>'Non Dept '!$B$5:$L$5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'Non Dept '!$B$17:$L$17</c:f>
              <c:numCache>
                <c:formatCode>_("$"* #,##0_);_("$"* \(#,##0\);_("$"* "-"??_);_(@_)</c:formatCode>
                <c:ptCount val="11"/>
                <c:pt idx="0">
                  <c:v>6871635</c:v>
                </c:pt>
                <c:pt idx="1">
                  <c:v>6606773</c:v>
                </c:pt>
                <c:pt idx="2">
                  <c:v>8857319</c:v>
                </c:pt>
                <c:pt idx="3">
                  <c:v>12062357</c:v>
                </c:pt>
                <c:pt idx="4">
                  <c:v>16446616</c:v>
                </c:pt>
                <c:pt idx="5">
                  <c:v>19699968</c:v>
                </c:pt>
                <c:pt idx="6">
                  <c:v>24844487</c:v>
                </c:pt>
                <c:pt idx="7">
                  <c:v>29079391</c:v>
                </c:pt>
                <c:pt idx="8">
                  <c:v>33475122</c:v>
                </c:pt>
                <c:pt idx="9">
                  <c:v>48709076</c:v>
                </c:pt>
                <c:pt idx="10">
                  <c:v>33393268</c:v>
                </c:pt>
              </c:numCache>
            </c:numRef>
          </c:val>
          <c:smooth val="0"/>
          <c:extLst>
            <c:ext xmlns:c16="http://schemas.microsoft.com/office/drawing/2014/chart" uri="{C3380CC4-5D6E-409C-BE32-E72D297353CC}">
              <c16:uniqueId val="{00000000-023F-4FE6-BB01-FA0D1EC9DA96}"/>
            </c:ext>
          </c:extLst>
        </c:ser>
        <c:ser>
          <c:idx val="1"/>
          <c:order val="1"/>
          <c:tx>
            <c:strRef>
              <c:f>'Non Dept '!$A$20</c:f>
              <c:strCache>
                <c:ptCount val="1"/>
                <c:pt idx="0">
                  <c:v>Special Revenue Funds</c:v>
                </c:pt>
              </c:strCache>
            </c:strRef>
          </c:tx>
          <c:spPr>
            <a:ln>
              <a:solidFill>
                <a:srgbClr val="996633"/>
              </a:solidFill>
            </a:ln>
          </c:spPr>
          <c:marker>
            <c:symbol val="none"/>
          </c:marker>
          <c:cat>
            <c:numRef>
              <c:f>'Non Dept '!$B$5:$L$5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'Non Dept '!$B$20:$L$20</c:f>
              <c:numCache>
                <c:formatCode>_("$"* #,##0_);_("$"* \(#,##0\);_("$"* "-"??_);_(@_)</c:formatCode>
                <c:ptCount val="11"/>
                <c:pt idx="0">
                  <c:v>359983</c:v>
                </c:pt>
                <c:pt idx="1">
                  <c:v>417107</c:v>
                </c:pt>
                <c:pt idx="2">
                  <c:v>1372402</c:v>
                </c:pt>
                <c:pt idx="3">
                  <c:v>526822</c:v>
                </c:pt>
                <c:pt idx="4">
                  <c:v>2228230</c:v>
                </c:pt>
                <c:pt idx="5">
                  <c:v>6346306</c:v>
                </c:pt>
                <c:pt idx="6">
                  <c:v>0</c:v>
                </c:pt>
                <c:pt idx="7">
                  <c:v>3910</c:v>
                </c:pt>
                <c:pt idx="8">
                  <c:v>20793626</c:v>
                </c:pt>
                <c:pt idx="9">
                  <c:v>10875049</c:v>
                </c:pt>
                <c:pt idx="10">
                  <c:v>0</c:v>
                </c:pt>
              </c:numCache>
            </c:numRef>
          </c:val>
          <c:smooth val="0"/>
          <c:extLst>
            <c:ext xmlns:c16="http://schemas.microsoft.com/office/drawing/2014/chart" uri="{C3380CC4-5D6E-409C-BE32-E72D297353CC}">
              <c16:uniqueId val="{00000001-023F-4FE6-BB01-FA0D1EC9DA96}"/>
            </c:ext>
          </c:extLst>
        </c:ser>
        <c:ser>
          <c:idx val="2"/>
          <c:order val="2"/>
          <c:tx>
            <c:strRef>
              <c:f>'Non Dept '!$A$21</c:f>
              <c:strCache>
                <c:ptCount val="1"/>
                <c:pt idx="0">
                  <c:v>Special Revenue Funds-Capital Pjts</c:v>
                </c:pt>
              </c:strCache>
            </c:strRef>
          </c:tx>
          <c:spPr>
            <a:ln>
              <a:solidFill>
                <a:schemeClr val="accent5">
                  <a:lumMod val="75000"/>
                </a:schemeClr>
              </a:solidFill>
            </a:ln>
          </c:spPr>
          <c:marker>
            <c:symbol val="none"/>
          </c:marker>
          <c:cat>
            <c:numRef>
              <c:f>'Non Dept '!$B$5:$L$5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'Non Dept '!$B$21:$L$21</c:f>
              <c:numCache>
                <c:formatCode>_("$"* #,##0_);_("$"* \(#,##0\);_("$"* "-"??_);_(@_)</c:formatCode>
                <c:ptCount val="11"/>
                <c:pt idx="0">
                  <c:v>12380996</c:v>
                </c:pt>
                <c:pt idx="1">
                  <c:v>22343692</c:v>
                </c:pt>
                <c:pt idx="2">
                  <c:v>14053997</c:v>
                </c:pt>
                <c:pt idx="3">
                  <c:v>4598556</c:v>
                </c:pt>
                <c:pt idx="4">
                  <c:v>7542067</c:v>
                </c:pt>
                <c:pt idx="5">
                  <c:v>14838850</c:v>
                </c:pt>
                <c:pt idx="6">
                  <c:v>5579346</c:v>
                </c:pt>
                <c:pt idx="7">
                  <c:v>2931288</c:v>
                </c:pt>
                <c:pt idx="8">
                  <c:v>9599330</c:v>
                </c:pt>
                <c:pt idx="9">
                  <c:v>34921705</c:v>
                </c:pt>
                <c:pt idx="10">
                  <c:v>3293000</c:v>
                </c:pt>
              </c:numCache>
            </c:numRef>
          </c:val>
          <c:smooth val="0"/>
          <c:extLst>
            <c:ext xmlns:c16="http://schemas.microsoft.com/office/drawing/2014/chart" uri="{C3380CC4-5D6E-409C-BE32-E72D297353CC}">
              <c16:uniqueId val="{00000002-023F-4FE6-BB01-FA0D1EC9DA96}"/>
            </c:ext>
          </c:extLst>
        </c:ser>
        <c:dLbls>
          <c:showLegendKey val="0"/>
          <c:showVal val="0"/>
          <c:showCatName val="0"/>
          <c:showSerName val="0"/>
          <c:showPercent val="0"/>
          <c:showBubbleSize val="0"/>
        </c:dLbls>
        <c:smooth val="0"/>
        <c:axId val="613568352"/>
        <c:axId val="613561792"/>
      </c:lineChart>
      <c:catAx>
        <c:axId val="61356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561792"/>
        <c:crosses val="autoZero"/>
        <c:auto val="1"/>
        <c:lblAlgn val="ctr"/>
        <c:lblOffset val="100"/>
        <c:noMultiLvlLbl val="0"/>
      </c:catAx>
      <c:valAx>
        <c:axId val="61356179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568352"/>
        <c:crosses val="autoZero"/>
        <c:crossBetween val="between"/>
      </c:valAx>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ysClr val="window" lastClr="FFFFFF"/>
    </a:solidFill>
  </c:spPr>
  <c:txPr>
    <a:bodyPr/>
    <a:lstStyle/>
    <a:p>
      <a:pPr>
        <a:defRPr/>
      </a:pPr>
      <a:endParaRPr lang="en-US"/>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     Total Expenditures by Year  </a:t>
            </a:r>
          </a:p>
        </c:rich>
      </c:tx>
      <c:overlay val="0"/>
    </c:title>
    <c:autoTitleDeleted val="0"/>
    <c:plotArea>
      <c:layout/>
      <c:lineChart>
        <c:grouping val="standard"/>
        <c:varyColors val="0"/>
        <c:ser>
          <c:idx val="0"/>
          <c:order val="0"/>
          <c:tx>
            <c:strRef>
              <c:f>Police!$A$40</c:f>
              <c:strCache>
                <c:ptCount val="1"/>
                <c:pt idx="0">
                  <c:v>FTE Total </c:v>
                </c:pt>
              </c:strCache>
            </c:strRef>
          </c:tx>
          <c:cat>
            <c:numRef>
              <c:f>Police!$B$5:$I$5</c:f>
              <c:numCache>
                <c:formatCode>General</c:formatCode>
                <c:ptCount val="8"/>
                <c:pt idx="0">
                  <c:v>2009</c:v>
                </c:pt>
                <c:pt idx="1">
                  <c:v>2010</c:v>
                </c:pt>
                <c:pt idx="2">
                  <c:v>2011</c:v>
                </c:pt>
                <c:pt idx="3">
                  <c:v>2012</c:v>
                </c:pt>
                <c:pt idx="4">
                  <c:v>2013</c:v>
                </c:pt>
                <c:pt idx="5">
                  <c:v>2014</c:v>
                </c:pt>
                <c:pt idx="6">
                  <c:v>2015</c:v>
                </c:pt>
                <c:pt idx="7">
                  <c:v>2016</c:v>
                </c:pt>
              </c:numCache>
            </c:numRef>
          </c:cat>
          <c:val>
            <c:numRef>
              <c:f>Police!$B$40:$H$40</c:f>
              <c:numCache>
                <c:formatCode>_(* #,##0.0_);_(* \(#,##0.0\);_(* "-"??_);_(@_)</c:formatCode>
                <c:ptCount val="7"/>
                <c:pt idx="0">
                  <c:v>136</c:v>
                </c:pt>
                <c:pt idx="1">
                  <c:v>134</c:v>
                </c:pt>
                <c:pt idx="2">
                  <c:v>134</c:v>
                </c:pt>
                <c:pt idx="3">
                  <c:v>133.75</c:v>
                </c:pt>
                <c:pt idx="4">
                  <c:v>134.75</c:v>
                </c:pt>
                <c:pt idx="5">
                  <c:v>140</c:v>
                </c:pt>
                <c:pt idx="6">
                  <c:v>146</c:v>
                </c:pt>
              </c:numCache>
            </c:numRef>
          </c:val>
          <c:smooth val="0"/>
          <c:extLst>
            <c:ext xmlns:c16="http://schemas.microsoft.com/office/drawing/2014/chart" uri="{C3380CC4-5D6E-409C-BE32-E72D297353CC}">
              <c16:uniqueId val="{00000000-C7BA-4D4E-9461-E3355E0C5F3A}"/>
            </c:ext>
          </c:extLst>
        </c:ser>
        <c:dLbls>
          <c:showLegendKey val="0"/>
          <c:showVal val="0"/>
          <c:showCatName val="0"/>
          <c:showSerName val="0"/>
          <c:showPercent val="0"/>
          <c:showBubbleSize val="0"/>
        </c:dLbls>
        <c:marker val="1"/>
        <c:smooth val="0"/>
        <c:axId val="-2140097208"/>
        <c:axId val="-2140098584"/>
      </c:lineChart>
      <c:catAx>
        <c:axId val="-2140097208"/>
        <c:scaling>
          <c:orientation val="minMax"/>
        </c:scaling>
        <c:delete val="0"/>
        <c:axPos val="b"/>
        <c:numFmt formatCode="General" sourceLinked="1"/>
        <c:majorTickMark val="out"/>
        <c:minorTickMark val="none"/>
        <c:tickLblPos val="nextTo"/>
        <c:crossAx val="-2140098584"/>
        <c:crosses val="autoZero"/>
        <c:auto val="1"/>
        <c:lblAlgn val="ctr"/>
        <c:lblOffset val="100"/>
        <c:noMultiLvlLbl val="0"/>
      </c:catAx>
      <c:valAx>
        <c:axId val="-2140098584"/>
        <c:scaling>
          <c:orientation val="minMax"/>
        </c:scaling>
        <c:delete val="0"/>
        <c:axPos val="l"/>
        <c:majorGridlines/>
        <c:numFmt formatCode="_(* #,##0.0_);_(* \(#,##0.0\);_(* &quot;-&quot;??_);_(@_)" sourceLinked="1"/>
        <c:majorTickMark val="out"/>
        <c:minorTickMark val="none"/>
        <c:tickLblPos val="nextTo"/>
        <c:crossAx val="-2140097208"/>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05686495070469"/>
          <c:y val="8.5855279039025206E-2"/>
          <c:w val="0.89431350492953099"/>
          <c:h val="0.77813253635266399"/>
        </c:manualLayout>
      </c:layout>
      <c:lineChart>
        <c:grouping val="standard"/>
        <c:varyColors val="0"/>
        <c:ser>
          <c:idx val="0"/>
          <c:order val="0"/>
          <c:tx>
            <c:strRef>
              <c:f>Police!$A$29</c:f>
              <c:strCache>
                <c:ptCount val="1"/>
                <c:pt idx="0">
                  <c:v>   FTE Total</c:v>
                </c:pt>
              </c:strCache>
            </c:strRef>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Police!$B$29:$L$29</c:f>
              <c:numCache>
                <c:formatCode>_(* #,##0_);_(* \(#,##0\);_(* "-"??_);_(@_)</c:formatCode>
                <c:ptCount val="11"/>
                <c:pt idx="0">
                  <c:v>136</c:v>
                </c:pt>
                <c:pt idx="1">
                  <c:v>134</c:v>
                </c:pt>
                <c:pt idx="2">
                  <c:v>134</c:v>
                </c:pt>
                <c:pt idx="3">
                  <c:v>133.75</c:v>
                </c:pt>
                <c:pt idx="4">
                  <c:v>134.75</c:v>
                </c:pt>
                <c:pt idx="5">
                  <c:v>140</c:v>
                </c:pt>
                <c:pt idx="6">
                  <c:v>146</c:v>
                </c:pt>
                <c:pt idx="7">
                  <c:v>154</c:v>
                </c:pt>
                <c:pt idx="8">
                  <c:v>158.5</c:v>
                </c:pt>
                <c:pt idx="9">
                  <c:v>164.5</c:v>
                </c:pt>
                <c:pt idx="10">
                  <c:v>164.5</c:v>
                </c:pt>
              </c:numCache>
            </c:numRef>
          </c:val>
          <c:smooth val="0"/>
          <c:extLst>
            <c:ext xmlns:c16="http://schemas.microsoft.com/office/drawing/2014/chart" uri="{C3380CC4-5D6E-409C-BE32-E72D297353CC}">
              <c16:uniqueId val="{00000000-4C35-4D4F-9F46-72EB0DFC8796}"/>
            </c:ext>
          </c:extLst>
        </c:ser>
        <c:ser>
          <c:idx val="1"/>
          <c:order val="1"/>
          <c:tx>
            <c:v>Ops FTEs</c:v>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Police!$B$54:$L$54</c:f>
              <c:numCache>
                <c:formatCode>_(* #,##0.00_);_(* \(#,##0.00\);_(* "-"??_);_(@_)</c:formatCode>
                <c:ptCount val="11"/>
              </c:numCache>
            </c:numRef>
          </c:val>
          <c:smooth val="0"/>
          <c:extLst>
            <c:ext xmlns:c16="http://schemas.microsoft.com/office/drawing/2014/chart" uri="{C3380CC4-5D6E-409C-BE32-E72D297353CC}">
              <c16:uniqueId val="{00000001-4C35-4D4F-9F46-72EB0DFC8796}"/>
            </c:ext>
          </c:extLst>
        </c:ser>
        <c:dLbls>
          <c:showLegendKey val="0"/>
          <c:showVal val="0"/>
          <c:showCatName val="0"/>
          <c:showSerName val="0"/>
          <c:showPercent val="0"/>
          <c:showBubbleSize val="0"/>
        </c:dLbls>
        <c:marker val="1"/>
        <c:smooth val="0"/>
        <c:axId val="-2140132680"/>
        <c:axId val="-2140134120"/>
      </c:lineChart>
      <c:catAx>
        <c:axId val="-2140132680"/>
        <c:scaling>
          <c:orientation val="minMax"/>
        </c:scaling>
        <c:delete val="0"/>
        <c:axPos val="b"/>
        <c:numFmt formatCode="General" sourceLinked="1"/>
        <c:majorTickMark val="out"/>
        <c:minorTickMark val="none"/>
        <c:tickLblPos val="nextTo"/>
        <c:crossAx val="-2140134120"/>
        <c:crosses val="autoZero"/>
        <c:auto val="1"/>
        <c:lblAlgn val="ctr"/>
        <c:lblOffset val="100"/>
        <c:noMultiLvlLbl val="0"/>
      </c:catAx>
      <c:valAx>
        <c:axId val="-2140134120"/>
        <c:scaling>
          <c:orientation val="minMax"/>
        </c:scaling>
        <c:delete val="0"/>
        <c:axPos val="l"/>
        <c:majorGridlines/>
        <c:numFmt formatCode="_(* #,##0_);_(* \(#,##0\);_(* &quot;-&quot;??_);_(@_)" sourceLinked="1"/>
        <c:majorTickMark val="out"/>
        <c:minorTickMark val="none"/>
        <c:tickLblPos val="nextTo"/>
        <c:crossAx val="-2140132680"/>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v>Op Exp per FTE</c:v>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Police!$B$72:$L$72</c:f>
              <c:numCache>
                <c:formatCode>_("$"* #,##0_);_("$"* \(#,##0\);_("$"* "-"??_);_(@_)</c:formatCode>
                <c:ptCount val="11"/>
              </c:numCache>
            </c:numRef>
          </c:val>
          <c:smooth val="0"/>
          <c:extLst>
            <c:ext xmlns:c16="http://schemas.microsoft.com/office/drawing/2014/chart" uri="{C3380CC4-5D6E-409C-BE32-E72D297353CC}">
              <c16:uniqueId val="{00000000-C74E-4346-84A1-59F50204D4EC}"/>
            </c:ext>
          </c:extLst>
        </c:ser>
        <c:ser>
          <c:idx val="1"/>
          <c:order val="1"/>
          <c:tx>
            <c:v>Tot Exp per FTE</c:v>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Police!$B$74:$L$74</c:f>
              <c:numCache>
                <c:formatCode>_("$"* #,##0_);_("$"* \(#,##0\);_("$"* "-"??_);_(@_)</c:formatCode>
                <c:ptCount val="11"/>
              </c:numCache>
            </c:numRef>
          </c:val>
          <c:smooth val="0"/>
          <c:extLst>
            <c:ext xmlns:c16="http://schemas.microsoft.com/office/drawing/2014/chart" uri="{C3380CC4-5D6E-409C-BE32-E72D297353CC}">
              <c16:uniqueId val="{00000001-C74E-4346-84A1-59F50204D4EC}"/>
            </c:ext>
          </c:extLst>
        </c:ser>
        <c:dLbls>
          <c:showLegendKey val="0"/>
          <c:showVal val="0"/>
          <c:showCatName val="0"/>
          <c:showSerName val="0"/>
          <c:showPercent val="0"/>
          <c:showBubbleSize val="0"/>
        </c:dLbls>
        <c:marker val="1"/>
        <c:smooth val="0"/>
        <c:axId val="-2081028024"/>
        <c:axId val="-2080458360"/>
      </c:lineChart>
      <c:catAx>
        <c:axId val="-2081028024"/>
        <c:scaling>
          <c:orientation val="minMax"/>
        </c:scaling>
        <c:delete val="0"/>
        <c:axPos val="b"/>
        <c:numFmt formatCode="General" sourceLinked="1"/>
        <c:majorTickMark val="out"/>
        <c:minorTickMark val="none"/>
        <c:tickLblPos val="nextTo"/>
        <c:crossAx val="-2080458360"/>
        <c:crosses val="autoZero"/>
        <c:auto val="1"/>
        <c:lblAlgn val="ctr"/>
        <c:lblOffset val="100"/>
        <c:noMultiLvlLbl val="0"/>
      </c:catAx>
      <c:valAx>
        <c:axId val="-2080458360"/>
        <c:scaling>
          <c:orientation val="minMax"/>
        </c:scaling>
        <c:delete val="0"/>
        <c:axPos val="l"/>
        <c:majorGridlines/>
        <c:numFmt formatCode="_(&quot;$&quot;* #,##0_);_(&quot;$&quot;* \(#,##0\);_(&quot;$&quot;* &quot;-&quot;??_);_(@_)" sourceLinked="1"/>
        <c:majorTickMark val="out"/>
        <c:minorTickMark val="none"/>
        <c:tickLblPos val="nextTo"/>
        <c:crossAx val="-2081028024"/>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v>Admin</c:v>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Police!$B$52:$L$52</c:f>
              <c:numCache>
                <c:formatCode>_(* #,##0.00_);_(* \(#,##0.00\);_(* "-"??_);_(@_)</c:formatCode>
                <c:ptCount val="11"/>
              </c:numCache>
            </c:numRef>
          </c:val>
          <c:smooth val="0"/>
          <c:extLst>
            <c:ext xmlns:c16="http://schemas.microsoft.com/office/drawing/2014/chart" uri="{C3380CC4-5D6E-409C-BE32-E72D297353CC}">
              <c16:uniqueId val="{00000000-A1A3-4DFE-BE65-0E5FEEAC676A}"/>
            </c:ext>
          </c:extLst>
        </c:ser>
        <c:ser>
          <c:idx val="1"/>
          <c:order val="1"/>
          <c:tx>
            <c:v>Info Svc</c:v>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Police!$B$53:$L$53</c:f>
              <c:numCache>
                <c:formatCode>_(* #,##0.00_);_(* \(#,##0.00\);_(* "-"??_);_(@_)</c:formatCode>
                <c:ptCount val="11"/>
              </c:numCache>
            </c:numRef>
          </c:val>
          <c:smooth val="0"/>
          <c:extLst>
            <c:ext xmlns:c16="http://schemas.microsoft.com/office/drawing/2014/chart" uri="{C3380CC4-5D6E-409C-BE32-E72D297353CC}">
              <c16:uniqueId val="{00000001-A1A3-4DFE-BE65-0E5FEEAC676A}"/>
            </c:ext>
          </c:extLst>
        </c:ser>
        <c:ser>
          <c:idx val="2"/>
          <c:order val="2"/>
          <c:tx>
            <c:v>Ops</c:v>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Police!$B$54:$L$54</c:f>
              <c:numCache>
                <c:formatCode>_(* #,##0.00_);_(* \(#,##0.00\);_(* "-"??_);_(@_)</c:formatCode>
                <c:ptCount val="11"/>
              </c:numCache>
            </c:numRef>
          </c:val>
          <c:smooth val="0"/>
          <c:extLst>
            <c:ext xmlns:c16="http://schemas.microsoft.com/office/drawing/2014/chart" uri="{C3380CC4-5D6E-409C-BE32-E72D297353CC}">
              <c16:uniqueId val="{00000002-A1A3-4DFE-BE65-0E5FEEAC676A}"/>
            </c:ext>
          </c:extLst>
        </c:ser>
        <c:ser>
          <c:idx val="3"/>
          <c:order val="3"/>
          <c:tx>
            <c:v>Sup Ser</c:v>
          </c:tx>
          <c:cat>
            <c:numRef>
              <c:f>Police!$B$5:$L$5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Police!$B$55:$L$55</c:f>
              <c:numCache>
                <c:formatCode>_(* #,##0.00_);_(* \(#,##0.00\);_(* "-"??_);_(@_)</c:formatCode>
                <c:ptCount val="11"/>
              </c:numCache>
            </c:numRef>
          </c:val>
          <c:smooth val="0"/>
          <c:extLst>
            <c:ext xmlns:c16="http://schemas.microsoft.com/office/drawing/2014/chart" uri="{C3380CC4-5D6E-409C-BE32-E72D297353CC}">
              <c16:uniqueId val="{00000003-A1A3-4DFE-BE65-0E5FEEAC676A}"/>
            </c:ext>
          </c:extLst>
        </c:ser>
        <c:dLbls>
          <c:showLegendKey val="0"/>
          <c:showVal val="0"/>
          <c:showCatName val="0"/>
          <c:showSerName val="0"/>
          <c:showPercent val="0"/>
          <c:showBubbleSize val="0"/>
        </c:dLbls>
        <c:marker val="1"/>
        <c:smooth val="0"/>
        <c:axId val="-2081315528"/>
        <c:axId val="-2080934040"/>
      </c:lineChart>
      <c:catAx>
        <c:axId val="-2081315528"/>
        <c:scaling>
          <c:orientation val="minMax"/>
        </c:scaling>
        <c:delete val="0"/>
        <c:axPos val="b"/>
        <c:numFmt formatCode="General" sourceLinked="1"/>
        <c:majorTickMark val="out"/>
        <c:minorTickMark val="none"/>
        <c:tickLblPos val="nextTo"/>
        <c:crossAx val="-2080934040"/>
        <c:crosses val="autoZero"/>
        <c:auto val="1"/>
        <c:lblAlgn val="ctr"/>
        <c:lblOffset val="100"/>
        <c:noMultiLvlLbl val="0"/>
      </c:catAx>
      <c:valAx>
        <c:axId val="-2080934040"/>
        <c:scaling>
          <c:orientation val="minMax"/>
        </c:scaling>
        <c:delete val="0"/>
        <c:axPos val="l"/>
        <c:majorGridlines/>
        <c:numFmt formatCode="_(* #,##0.00_);_(* \(#,##0.00\);_(* &quot;-&quot;??_);_(@_)" sourceLinked="1"/>
        <c:majorTickMark val="out"/>
        <c:minorTickMark val="none"/>
        <c:tickLblPos val="nextTo"/>
        <c:crossAx val="-2081315528"/>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 Id="rId4" Type="http://schemas.openxmlformats.org/officeDocument/2006/relationships/chart" Target="../charts/chart34.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chart" Target="../charts/chart35.xml"/><Relationship Id="rId4" Type="http://schemas.openxmlformats.org/officeDocument/2006/relationships/chart" Target="../charts/chart38.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chart" Target="../charts/chart42.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chart" Target="../charts/chart46.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49.xml"/><Relationship Id="rId2" Type="http://schemas.openxmlformats.org/officeDocument/2006/relationships/chart" Target="../charts/chart48.xml"/><Relationship Id="rId1" Type="http://schemas.openxmlformats.org/officeDocument/2006/relationships/chart" Target="../charts/chart47.xml"/><Relationship Id="rId4" Type="http://schemas.openxmlformats.org/officeDocument/2006/relationships/chart" Target="../charts/chart50.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chart" Target="../charts/chart51.xml"/><Relationship Id="rId4" Type="http://schemas.openxmlformats.org/officeDocument/2006/relationships/chart" Target="../charts/chart54.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7.xml"/><Relationship Id="rId2" Type="http://schemas.openxmlformats.org/officeDocument/2006/relationships/chart" Target="../charts/chart56.xml"/><Relationship Id="rId1" Type="http://schemas.openxmlformats.org/officeDocument/2006/relationships/chart" Target="../charts/chart55.xml"/><Relationship Id="rId4" Type="http://schemas.openxmlformats.org/officeDocument/2006/relationships/chart" Target="../charts/chart58.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1.xml"/><Relationship Id="rId2" Type="http://schemas.openxmlformats.org/officeDocument/2006/relationships/chart" Target="../charts/chart60.xml"/><Relationship Id="rId1" Type="http://schemas.openxmlformats.org/officeDocument/2006/relationships/chart" Target="../charts/chart59.xml"/><Relationship Id="rId4" Type="http://schemas.openxmlformats.org/officeDocument/2006/relationships/chart" Target="../charts/chart62.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5.xml"/><Relationship Id="rId2" Type="http://schemas.openxmlformats.org/officeDocument/2006/relationships/chart" Target="../charts/chart64.xml"/><Relationship Id="rId1" Type="http://schemas.openxmlformats.org/officeDocument/2006/relationships/chart" Target="../charts/chart63.xml"/><Relationship Id="rId5" Type="http://schemas.openxmlformats.org/officeDocument/2006/relationships/chart" Target="../charts/chart67.xml"/><Relationship Id="rId4" Type="http://schemas.openxmlformats.org/officeDocument/2006/relationships/chart" Target="../charts/chart66.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70.xml"/><Relationship Id="rId2" Type="http://schemas.openxmlformats.org/officeDocument/2006/relationships/chart" Target="../charts/chart69.xml"/><Relationship Id="rId1" Type="http://schemas.openxmlformats.org/officeDocument/2006/relationships/chart" Target="../charts/chart68.xml"/><Relationship Id="rId4" Type="http://schemas.openxmlformats.org/officeDocument/2006/relationships/chart" Target="../charts/chart71.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74.xml"/><Relationship Id="rId2" Type="http://schemas.openxmlformats.org/officeDocument/2006/relationships/chart" Target="../charts/chart73.xml"/><Relationship Id="rId1" Type="http://schemas.openxmlformats.org/officeDocument/2006/relationships/chart" Target="../charts/chart72.xml"/><Relationship Id="rId4" Type="http://schemas.openxmlformats.org/officeDocument/2006/relationships/chart" Target="../charts/chart75.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78.xml"/><Relationship Id="rId2" Type="http://schemas.openxmlformats.org/officeDocument/2006/relationships/chart" Target="../charts/chart77.xml"/><Relationship Id="rId1" Type="http://schemas.openxmlformats.org/officeDocument/2006/relationships/chart" Target="../charts/chart76.xml"/><Relationship Id="rId4" Type="http://schemas.openxmlformats.org/officeDocument/2006/relationships/chart" Target="../charts/chart79.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82.xml"/><Relationship Id="rId2" Type="http://schemas.openxmlformats.org/officeDocument/2006/relationships/chart" Target="../charts/chart81.xml"/><Relationship Id="rId1" Type="http://schemas.openxmlformats.org/officeDocument/2006/relationships/chart" Target="../charts/chart80.xml"/><Relationship Id="rId4" Type="http://schemas.openxmlformats.org/officeDocument/2006/relationships/chart" Target="../charts/chart83.xml"/></Relationships>
</file>

<file path=xl/drawings/_rels/drawing26.xml.rels><?xml version="1.0" encoding="UTF-8" standalone="yes"?>
<Relationships xmlns="http://schemas.openxmlformats.org/package/2006/relationships"><Relationship Id="rId8" Type="http://schemas.openxmlformats.org/officeDocument/2006/relationships/chart" Target="../charts/chart91.xml"/><Relationship Id="rId3" Type="http://schemas.openxmlformats.org/officeDocument/2006/relationships/chart" Target="../charts/chart86.xml"/><Relationship Id="rId7" Type="http://schemas.openxmlformats.org/officeDocument/2006/relationships/chart" Target="../charts/chart90.xml"/><Relationship Id="rId2" Type="http://schemas.openxmlformats.org/officeDocument/2006/relationships/chart" Target="../charts/chart85.xml"/><Relationship Id="rId1" Type="http://schemas.openxmlformats.org/officeDocument/2006/relationships/chart" Target="../charts/chart84.xml"/><Relationship Id="rId6" Type="http://schemas.openxmlformats.org/officeDocument/2006/relationships/chart" Target="../charts/chart89.xml"/><Relationship Id="rId5" Type="http://schemas.openxmlformats.org/officeDocument/2006/relationships/chart" Target="../charts/chart88.xml"/><Relationship Id="rId10" Type="http://schemas.openxmlformats.org/officeDocument/2006/relationships/chart" Target="../charts/chart93.xml"/><Relationship Id="rId4" Type="http://schemas.openxmlformats.org/officeDocument/2006/relationships/chart" Target="../charts/chart87.xml"/><Relationship Id="rId9" Type="http://schemas.openxmlformats.org/officeDocument/2006/relationships/chart" Target="../charts/chart92.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95.xml"/><Relationship Id="rId1" Type="http://schemas.openxmlformats.org/officeDocument/2006/relationships/chart" Target="../charts/chart9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98.xml"/><Relationship Id="rId7" Type="http://schemas.openxmlformats.org/officeDocument/2006/relationships/chart" Target="../charts/chart102.xml"/><Relationship Id="rId2" Type="http://schemas.openxmlformats.org/officeDocument/2006/relationships/chart" Target="../charts/chart97.xml"/><Relationship Id="rId1" Type="http://schemas.openxmlformats.org/officeDocument/2006/relationships/chart" Target="../charts/chart96.xml"/><Relationship Id="rId6" Type="http://schemas.openxmlformats.org/officeDocument/2006/relationships/chart" Target="../charts/chart101.xml"/><Relationship Id="rId5" Type="http://schemas.openxmlformats.org/officeDocument/2006/relationships/chart" Target="../charts/chart100.xml"/><Relationship Id="rId4" Type="http://schemas.openxmlformats.org/officeDocument/2006/relationships/chart" Target="../charts/chart9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chart" Target="../charts/chart11.xml"/><Relationship Id="rId4" Type="http://schemas.openxmlformats.org/officeDocument/2006/relationships/chart" Target="../charts/chart10.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chart" Target="../charts/chart27.xml"/><Relationship Id="rId4"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19</xdr:col>
      <xdr:colOff>117475</xdr:colOff>
      <xdr:row>8</xdr:row>
      <xdr:rowOff>49741</xdr:rowOff>
    </xdr:from>
    <xdr:to>
      <xdr:col>27</xdr:col>
      <xdr:colOff>787400</xdr:colOff>
      <xdr:row>27</xdr:row>
      <xdr:rowOff>76200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95248</xdr:colOff>
      <xdr:row>29</xdr:row>
      <xdr:rowOff>168273</xdr:rowOff>
    </xdr:from>
    <xdr:to>
      <xdr:col>27</xdr:col>
      <xdr:colOff>768350</xdr:colOff>
      <xdr:row>48</xdr:row>
      <xdr:rowOff>15874</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51857</xdr:colOff>
      <xdr:row>71</xdr:row>
      <xdr:rowOff>111127</xdr:rowOff>
    </xdr:from>
    <xdr:to>
      <xdr:col>27</xdr:col>
      <xdr:colOff>730251</xdr:colOff>
      <xdr:row>93</xdr:row>
      <xdr:rowOff>193675</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85725</xdr:colOff>
      <xdr:row>133</xdr:row>
      <xdr:rowOff>34924</xdr:rowOff>
    </xdr:from>
    <xdr:to>
      <xdr:col>27</xdr:col>
      <xdr:colOff>771525</xdr:colOff>
      <xdr:row>152</xdr:row>
      <xdr:rowOff>111125</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68791</xdr:colOff>
      <xdr:row>114</xdr:row>
      <xdr:rowOff>74084</xdr:rowOff>
    </xdr:from>
    <xdr:to>
      <xdr:col>27</xdr:col>
      <xdr:colOff>698500</xdr:colOff>
      <xdr:row>132</xdr:row>
      <xdr:rowOff>63500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741891</xdr:colOff>
      <xdr:row>11</xdr:row>
      <xdr:rowOff>59266</xdr:rowOff>
    </xdr:from>
    <xdr:to>
      <xdr:col>25</xdr:col>
      <xdr:colOff>582083</xdr:colOff>
      <xdr:row>13</xdr:row>
      <xdr:rowOff>7409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2477941" y="2592916"/>
          <a:ext cx="2354792" cy="3672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400" b="0" i="0" u="none" strike="noStrike">
              <a:solidFill>
                <a:schemeClr val="dk1"/>
              </a:solidFill>
              <a:effectLst/>
              <a:latin typeface="+mn-lt"/>
              <a:ea typeface="+mn-ea"/>
              <a:cs typeface="+mn-cs"/>
            </a:rPr>
            <a:t>Funding for Foundry Project</a:t>
          </a:r>
          <a:endParaRPr lang="en-US" sz="1400" b="0"/>
        </a:p>
      </xdr:txBody>
    </xdr:sp>
    <xdr:clientData/>
  </xdr:twoCellAnchor>
  <xdr:twoCellAnchor>
    <xdr:from>
      <xdr:col>25</xdr:col>
      <xdr:colOff>627593</xdr:colOff>
      <xdr:row>11</xdr:row>
      <xdr:rowOff>141816</xdr:rowOff>
    </xdr:from>
    <xdr:to>
      <xdr:col>26</xdr:col>
      <xdr:colOff>296334</xdr:colOff>
      <xdr:row>11</xdr:row>
      <xdr:rowOff>159809</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a:xfrm>
          <a:off x="24878243" y="2675466"/>
          <a:ext cx="506941" cy="17993"/>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19</xdr:col>
      <xdr:colOff>82550</xdr:colOff>
      <xdr:row>94</xdr:row>
      <xdr:rowOff>182563</xdr:rowOff>
    </xdr:from>
    <xdr:to>
      <xdr:col>27</xdr:col>
      <xdr:colOff>714375</xdr:colOff>
      <xdr:row>113</xdr:row>
      <xdr:rowOff>69851</xdr:rowOff>
    </xdr:to>
    <xdr:graphicFrame macro="">
      <xdr:nvGraphicFramePr>
        <xdr:cNvPr id="9" name="Chart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38100</xdr:colOff>
      <xdr:row>5</xdr:row>
      <xdr:rowOff>19051</xdr:rowOff>
    </xdr:from>
    <xdr:to>
      <xdr:col>20</xdr:col>
      <xdr:colOff>809625</xdr:colOff>
      <xdr:row>22</xdr:row>
      <xdr:rowOff>161925</xdr:rowOff>
    </xdr:to>
    <xdr:graphicFrame macro="">
      <xdr:nvGraphicFramePr>
        <xdr:cNvPr id="12" name="Chart 11">
          <a:extLst>
            <a:ext uri="{FF2B5EF4-FFF2-40B4-BE49-F238E27FC236}">
              <a16:creationId xmlns:a16="http://schemas.microsoft.com/office/drawing/2014/main" id="{00000000-0008-0000-08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19050</xdr:colOff>
      <xdr:row>23</xdr:row>
      <xdr:rowOff>185737</xdr:rowOff>
    </xdr:from>
    <xdr:to>
      <xdr:col>21</xdr:col>
      <xdr:colOff>0</xdr:colOff>
      <xdr:row>40</xdr:row>
      <xdr:rowOff>0</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28575</xdr:colOff>
      <xdr:row>40</xdr:row>
      <xdr:rowOff>152400</xdr:rowOff>
    </xdr:from>
    <xdr:to>
      <xdr:col>20</xdr:col>
      <xdr:colOff>828675</xdr:colOff>
      <xdr:row>58</xdr:row>
      <xdr:rowOff>95250</xdr:rowOff>
    </xdr:to>
    <xdr:graphicFrame macro="">
      <xdr:nvGraphicFramePr>
        <xdr:cNvPr id="3" name="Chart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19050</xdr:colOff>
      <xdr:row>59</xdr:row>
      <xdr:rowOff>66675</xdr:rowOff>
    </xdr:from>
    <xdr:to>
      <xdr:col>21</xdr:col>
      <xdr:colOff>19050</xdr:colOff>
      <xdr:row>78</xdr:row>
      <xdr:rowOff>0</xdr:rowOff>
    </xdr:to>
    <xdr:graphicFrame macro="">
      <xdr:nvGraphicFramePr>
        <xdr:cNvPr id="4" name="Chart 3">
          <a:extLst>
            <a:ext uri="{FF2B5EF4-FFF2-40B4-BE49-F238E27FC236}">
              <a16:creationId xmlns:a16="http://schemas.microsoft.com/office/drawing/2014/main" id="{00000000-0008-0000-0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28574</xdr:colOff>
      <xdr:row>16</xdr:row>
      <xdr:rowOff>28574</xdr:rowOff>
    </xdr:from>
    <xdr:to>
      <xdr:col>18</xdr:col>
      <xdr:colOff>685799</xdr:colOff>
      <xdr:row>18</xdr:row>
      <xdr:rowOff>133349</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16754474" y="3438524"/>
          <a:ext cx="149542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1"/>
            <a:t>Software Conversion; Election</a:t>
          </a:r>
        </a:p>
      </xdr:txBody>
    </xdr:sp>
    <xdr:clientData/>
  </xdr:twoCellAnchor>
  <xdr:twoCellAnchor>
    <xdr:from>
      <xdr:col>18</xdr:col>
      <xdr:colOff>552450</xdr:colOff>
      <xdr:row>13</xdr:row>
      <xdr:rowOff>9526</xdr:rowOff>
    </xdr:from>
    <xdr:to>
      <xdr:col>19</xdr:col>
      <xdr:colOff>695325</xdr:colOff>
      <xdr:row>15</xdr:row>
      <xdr:rowOff>190500</xdr:rowOff>
    </xdr:to>
    <xdr:cxnSp macro="">
      <xdr:nvCxnSpPr>
        <xdr:cNvPr id="7" name="Straight Arrow Connector 6">
          <a:extLst>
            <a:ext uri="{FF2B5EF4-FFF2-40B4-BE49-F238E27FC236}">
              <a16:creationId xmlns:a16="http://schemas.microsoft.com/office/drawing/2014/main" id="{00000000-0008-0000-0800-000007000000}"/>
            </a:ext>
          </a:extLst>
        </xdr:cNvPr>
        <xdr:cNvCxnSpPr/>
      </xdr:nvCxnSpPr>
      <xdr:spPr>
        <a:xfrm flipV="1">
          <a:off x="18116550" y="2771776"/>
          <a:ext cx="981075" cy="628649"/>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581026</xdr:colOff>
      <xdr:row>7</xdr:row>
      <xdr:rowOff>180974</xdr:rowOff>
    </xdr:from>
    <xdr:to>
      <xdr:col>18</xdr:col>
      <xdr:colOff>114300</xdr:colOff>
      <xdr:row>9</xdr:row>
      <xdr:rowOff>38099</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16468726" y="1714499"/>
          <a:ext cx="1209674"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Cost Allocations</a:t>
          </a:r>
        </a:p>
      </xdr:txBody>
    </xdr:sp>
    <xdr:clientData/>
  </xdr:twoCellAnchor>
  <xdr:twoCellAnchor>
    <xdr:from>
      <xdr:col>18</xdr:col>
      <xdr:colOff>142875</xdr:colOff>
      <xdr:row>8</xdr:row>
      <xdr:rowOff>76200</xdr:rowOff>
    </xdr:from>
    <xdr:to>
      <xdr:col>19</xdr:col>
      <xdr:colOff>314325</xdr:colOff>
      <xdr:row>9</xdr:row>
      <xdr:rowOff>38100</xdr:rowOff>
    </xdr:to>
    <xdr:cxnSp macro="">
      <xdr:nvCxnSpPr>
        <xdr:cNvPr id="10" name="Straight Arrow Connector 9">
          <a:extLst>
            <a:ext uri="{FF2B5EF4-FFF2-40B4-BE49-F238E27FC236}">
              <a16:creationId xmlns:a16="http://schemas.microsoft.com/office/drawing/2014/main" id="{00000000-0008-0000-0800-00000A000000}"/>
            </a:ext>
          </a:extLst>
        </xdr:cNvPr>
        <xdr:cNvCxnSpPr/>
      </xdr:nvCxnSpPr>
      <xdr:spPr>
        <a:xfrm>
          <a:off x="17706975" y="1809750"/>
          <a:ext cx="1009650" cy="16192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476249</xdr:colOff>
      <xdr:row>33</xdr:row>
      <xdr:rowOff>85724</xdr:rowOff>
    </xdr:from>
    <xdr:to>
      <xdr:col>18</xdr:col>
      <xdr:colOff>447674</xdr:colOff>
      <xdr:row>35</xdr:row>
      <xdr:rowOff>142874</xdr:rowOff>
    </xdr:to>
    <xdr:sp macro="" textlink="">
      <xdr:nvSpPr>
        <xdr:cNvPr id="11" name="TextBox 10">
          <a:extLst>
            <a:ext uri="{FF2B5EF4-FFF2-40B4-BE49-F238E27FC236}">
              <a16:creationId xmlns:a16="http://schemas.microsoft.com/office/drawing/2014/main" id="{00000000-0008-0000-0500-000008000000}"/>
            </a:ext>
          </a:extLst>
        </xdr:cNvPr>
        <xdr:cNvSpPr txBox="1"/>
      </xdr:nvSpPr>
      <xdr:spPr>
        <a:xfrm>
          <a:off x="16363949" y="6962774"/>
          <a:ext cx="1647825"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Reorg</a:t>
          </a:r>
          <a:r>
            <a:rPr lang="en-US" sz="1200" b="1" baseline="0"/>
            <a:t> of Muni Court back &amp; forth </a:t>
          </a:r>
          <a:endParaRPr lang="en-US" sz="1200" b="1"/>
        </a:p>
      </xdr:txBody>
    </xdr:sp>
    <xdr:clientData/>
  </xdr:twoCellAnchor>
  <xdr:twoCellAnchor>
    <xdr:from>
      <xdr:col>17</xdr:col>
      <xdr:colOff>523875</xdr:colOff>
      <xdr:row>29</xdr:row>
      <xdr:rowOff>66676</xdr:rowOff>
    </xdr:from>
    <xdr:to>
      <xdr:col>18</xdr:col>
      <xdr:colOff>276225</xdr:colOff>
      <xdr:row>33</xdr:row>
      <xdr:rowOff>57150</xdr:rowOff>
    </xdr:to>
    <xdr:cxnSp macro="">
      <xdr:nvCxnSpPr>
        <xdr:cNvPr id="13" name="Straight Arrow Connector 12">
          <a:extLst>
            <a:ext uri="{FF2B5EF4-FFF2-40B4-BE49-F238E27FC236}">
              <a16:creationId xmlns:a16="http://schemas.microsoft.com/office/drawing/2014/main" id="{00000000-0008-0000-0800-000007000000}"/>
            </a:ext>
          </a:extLst>
        </xdr:cNvPr>
        <xdr:cNvCxnSpPr/>
      </xdr:nvCxnSpPr>
      <xdr:spPr>
        <a:xfrm flipV="1">
          <a:off x="17249775" y="6143626"/>
          <a:ext cx="590550" cy="790574"/>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523875</xdr:colOff>
      <xdr:row>28</xdr:row>
      <xdr:rowOff>180976</xdr:rowOff>
    </xdr:from>
    <xdr:to>
      <xdr:col>19</xdr:col>
      <xdr:colOff>733425</xdr:colOff>
      <xdr:row>34</xdr:row>
      <xdr:rowOff>76200</xdr:rowOff>
    </xdr:to>
    <xdr:cxnSp macro="">
      <xdr:nvCxnSpPr>
        <xdr:cNvPr id="14" name="Straight Arrow Connector 13">
          <a:extLst>
            <a:ext uri="{FF2B5EF4-FFF2-40B4-BE49-F238E27FC236}">
              <a16:creationId xmlns:a16="http://schemas.microsoft.com/office/drawing/2014/main" id="{00000000-0008-0000-0800-000007000000}"/>
            </a:ext>
          </a:extLst>
        </xdr:cNvPr>
        <xdr:cNvCxnSpPr/>
      </xdr:nvCxnSpPr>
      <xdr:spPr>
        <a:xfrm flipV="1">
          <a:off x="18087975" y="6057901"/>
          <a:ext cx="1047750" cy="1095374"/>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38100</xdr:colOff>
      <xdr:row>5</xdr:row>
      <xdr:rowOff>1</xdr:rowOff>
    </xdr:from>
    <xdr:to>
      <xdr:col>22</xdr:col>
      <xdr:colOff>771525</xdr:colOff>
      <xdr:row>24</xdr:row>
      <xdr:rowOff>161925</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28576</xdr:colOff>
      <xdr:row>25</xdr:row>
      <xdr:rowOff>157162</xdr:rowOff>
    </xdr:from>
    <xdr:to>
      <xdr:col>22</xdr:col>
      <xdr:colOff>771526</xdr:colOff>
      <xdr:row>45</xdr:row>
      <xdr:rowOff>104775</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28574</xdr:colOff>
      <xdr:row>46</xdr:row>
      <xdr:rowOff>57149</xdr:rowOff>
    </xdr:from>
    <xdr:to>
      <xdr:col>22</xdr:col>
      <xdr:colOff>838199</xdr:colOff>
      <xdr:row>65</xdr:row>
      <xdr:rowOff>190499</xdr:rowOff>
    </xdr:to>
    <xdr:graphicFrame macro="">
      <xdr:nvGraphicFramePr>
        <xdr:cNvPr id="4" name="Chart 3">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67</xdr:row>
      <xdr:rowOff>66674</xdr:rowOff>
    </xdr:from>
    <xdr:to>
      <xdr:col>22</xdr:col>
      <xdr:colOff>819150</xdr:colOff>
      <xdr:row>85</xdr:row>
      <xdr:rowOff>114299</xdr:rowOff>
    </xdr:to>
    <xdr:graphicFrame macro="">
      <xdr:nvGraphicFramePr>
        <xdr:cNvPr id="5" name="Chart 4">
          <a:extLst>
            <a:ext uri="{FF2B5EF4-FFF2-40B4-BE49-F238E27FC236}">
              <a16:creationId xmlns:a16="http://schemas.microsoft.com/office/drawing/2014/main" id="{00000000-0008-0000-09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409575</xdr:colOff>
      <xdr:row>29</xdr:row>
      <xdr:rowOff>9525</xdr:rowOff>
    </xdr:from>
    <xdr:to>
      <xdr:col>18</xdr:col>
      <xdr:colOff>762000</xdr:colOff>
      <xdr:row>30</xdr:row>
      <xdr:rowOff>95250</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16649700" y="6000750"/>
          <a:ext cx="2867025"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b="1"/>
            <a:t>Art in Public Places, Large Art Purchase</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0.54987</cdr:x>
      <cdr:y>0.18772</cdr:y>
    </cdr:from>
    <cdr:to>
      <cdr:x>0.68376</cdr:x>
      <cdr:y>0.21689</cdr:y>
    </cdr:to>
    <cdr:cxnSp macro="">
      <cdr:nvCxnSpPr>
        <cdr:cNvPr id="3" name="Straight Arrow Connector 2">
          <a:extLst xmlns:a="http://schemas.openxmlformats.org/drawingml/2006/main">
            <a:ext uri="{FF2B5EF4-FFF2-40B4-BE49-F238E27FC236}">
              <a16:creationId xmlns:a16="http://schemas.microsoft.com/office/drawing/2014/main" id="{1F1194B9-A64B-4A61-BFD7-34539BCD0C4B}"/>
            </a:ext>
          </a:extLst>
        </cdr:cNvPr>
        <cdr:cNvCxnSpPr/>
      </cdr:nvCxnSpPr>
      <cdr:spPr>
        <a:xfrm xmlns:a="http://schemas.openxmlformats.org/drawingml/2006/main">
          <a:off x="4095749" y="757238"/>
          <a:ext cx="997299" cy="117641"/>
        </a:xfrm>
        <a:prstGeom xmlns:a="http://schemas.openxmlformats.org/drawingml/2006/main" prst="straightConnector1">
          <a:avLst/>
        </a:prstGeom>
        <a:ln xmlns:a="http://schemas.openxmlformats.org/drawingml/2006/main">
          <a:solidFill>
            <a:srgbClr val="FF0000"/>
          </a:solidFill>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13.xml><?xml version="1.0" encoding="utf-8"?>
<xdr:wsDr xmlns:xdr="http://schemas.openxmlformats.org/drawingml/2006/spreadsheetDrawing" xmlns:a="http://schemas.openxmlformats.org/drawingml/2006/main">
  <xdr:twoCellAnchor>
    <xdr:from>
      <xdr:col>14</xdr:col>
      <xdr:colOff>47625</xdr:colOff>
      <xdr:row>4</xdr:row>
      <xdr:rowOff>161925</xdr:rowOff>
    </xdr:from>
    <xdr:to>
      <xdr:col>21</xdr:col>
      <xdr:colOff>828675</xdr:colOff>
      <xdr:row>25</xdr:row>
      <xdr:rowOff>28575</xdr:rowOff>
    </xdr:to>
    <xdr:graphicFrame macro="">
      <xdr:nvGraphicFramePr>
        <xdr:cNvPr id="9" name="Chart 8">
          <a:extLst>
            <a:ext uri="{FF2B5EF4-FFF2-40B4-BE49-F238E27FC236}">
              <a16:creationId xmlns:a16="http://schemas.microsoft.com/office/drawing/2014/main"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57151</xdr:colOff>
      <xdr:row>26</xdr:row>
      <xdr:rowOff>23811</xdr:rowOff>
    </xdr:from>
    <xdr:to>
      <xdr:col>21</xdr:col>
      <xdr:colOff>809626</xdr:colOff>
      <xdr:row>45</xdr:row>
      <xdr:rowOff>123825</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47624</xdr:colOff>
      <xdr:row>46</xdr:row>
      <xdr:rowOff>114299</xdr:rowOff>
    </xdr:from>
    <xdr:to>
      <xdr:col>21</xdr:col>
      <xdr:colOff>809624</xdr:colOff>
      <xdr:row>65</xdr:row>
      <xdr:rowOff>57149</xdr:rowOff>
    </xdr:to>
    <xdr:graphicFrame macro="">
      <xdr:nvGraphicFramePr>
        <xdr:cNvPr id="3" name="Chart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47624</xdr:colOff>
      <xdr:row>66</xdr:row>
      <xdr:rowOff>133349</xdr:rowOff>
    </xdr:from>
    <xdr:to>
      <xdr:col>21</xdr:col>
      <xdr:colOff>828674</xdr:colOff>
      <xdr:row>84</xdr:row>
      <xdr:rowOff>123824</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47625</xdr:colOff>
      <xdr:row>5</xdr:row>
      <xdr:rowOff>9525</xdr:rowOff>
    </xdr:from>
    <xdr:to>
      <xdr:col>21</xdr:col>
      <xdr:colOff>771525</xdr:colOff>
      <xdr:row>24</xdr:row>
      <xdr:rowOff>28575</xdr:rowOff>
    </xdr:to>
    <xdr:graphicFrame macro="">
      <xdr:nvGraphicFramePr>
        <xdr:cNvPr id="7" name="Chart 6">
          <a:extLst>
            <a:ext uri="{FF2B5EF4-FFF2-40B4-BE49-F238E27FC236}">
              <a16:creationId xmlns:a16="http://schemas.microsoft.com/office/drawing/2014/main" id="{00000000-0008-0000-0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28574</xdr:colOff>
      <xdr:row>25</xdr:row>
      <xdr:rowOff>14287</xdr:rowOff>
    </xdr:from>
    <xdr:to>
      <xdr:col>21</xdr:col>
      <xdr:colOff>790575</xdr:colOff>
      <xdr:row>44</xdr:row>
      <xdr:rowOff>123825</xdr:rowOff>
    </xdr:to>
    <xdr:graphicFrame macro="">
      <xdr:nvGraphicFramePr>
        <xdr:cNvPr id="3" name="Chart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47624</xdr:colOff>
      <xdr:row>45</xdr:row>
      <xdr:rowOff>104775</xdr:rowOff>
    </xdr:from>
    <xdr:to>
      <xdr:col>21</xdr:col>
      <xdr:colOff>781049</xdr:colOff>
      <xdr:row>64</xdr:row>
      <xdr:rowOff>66675</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57150</xdr:colOff>
      <xdr:row>65</xdr:row>
      <xdr:rowOff>161924</xdr:rowOff>
    </xdr:from>
    <xdr:to>
      <xdr:col>21</xdr:col>
      <xdr:colOff>762000</xdr:colOff>
      <xdr:row>84</xdr:row>
      <xdr:rowOff>142874</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457199</xdr:colOff>
      <xdr:row>9</xdr:row>
      <xdr:rowOff>171450</xdr:rowOff>
    </xdr:from>
    <xdr:to>
      <xdr:col>17</xdr:col>
      <xdr:colOff>123825</xdr:colOff>
      <xdr:row>13</xdr:row>
      <xdr:rowOff>200025</xdr:rowOff>
    </xdr:to>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16659224" y="2057400"/>
          <a:ext cx="1343026"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1"/>
            <a:t>Establishment</a:t>
          </a:r>
          <a:r>
            <a:rPr lang="en-US" sz="1200" b="1" baseline="0"/>
            <a:t> of the Economic Incentives Fund and Evergreen Incentive</a:t>
          </a:r>
          <a:endParaRPr lang="en-US" sz="1200" b="1"/>
        </a:p>
      </xdr:txBody>
    </xdr:sp>
    <xdr:clientData/>
  </xdr:twoCellAnchor>
  <xdr:twoCellAnchor>
    <xdr:from>
      <xdr:col>17</xdr:col>
      <xdr:colOff>171450</xdr:colOff>
      <xdr:row>9</xdr:row>
      <xdr:rowOff>9525</xdr:rowOff>
    </xdr:from>
    <xdr:to>
      <xdr:col>18</xdr:col>
      <xdr:colOff>142875</xdr:colOff>
      <xdr:row>9</xdr:row>
      <xdr:rowOff>171450</xdr:rowOff>
    </xdr:to>
    <xdr:cxnSp macro="">
      <xdr:nvCxnSpPr>
        <xdr:cNvPr id="8" name="Straight Arrow Connector 7">
          <a:extLst>
            <a:ext uri="{FF2B5EF4-FFF2-40B4-BE49-F238E27FC236}">
              <a16:creationId xmlns:a16="http://schemas.microsoft.com/office/drawing/2014/main" id="{00000000-0008-0000-0B00-000008000000}"/>
            </a:ext>
          </a:extLst>
        </xdr:cNvPr>
        <xdr:cNvCxnSpPr/>
      </xdr:nvCxnSpPr>
      <xdr:spPr>
        <a:xfrm flipV="1">
          <a:off x="18049875" y="1895475"/>
          <a:ext cx="809625" cy="16192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57149</xdr:colOff>
      <xdr:row>31</xdr:row>
      <xdr:rowOff>9525</xdr:rowOff>
    </xdr:from>
    <xdr:to>
      <xdr:col>17</xdr:col>
      <xdr:colOff>390524</xdr:colOff>
      <xdr:row>33</xdr:row>
      <xdr:rowOff>104775</xdr:rowOff>
    </xdr:to>
    <xdr:sp macro="" textlink="">
      <xdr:nvSpPr>
        <xdr:cNvPr id="9" name="TextBox 8">
          <a:extLst>
            <a:ext uri="{FF2B5EF4-FFF2-40B4-BE49-F238E27FC236}">
              <a16:creationId xmlns:a16="http://schemas.microsoft.com/office/drawing/2014/main" id="{00000000-0008-0000-0B00-000009000000}"/>
            </a:ext>
          </a:extLst>
        </xdr:cNvPr>
        <xdr:cNvSpPr txBox="1"/>
      </xdr:nvSpPr>
      <xdr:spPr>
        <a:xfrm>
          <a:off x="16259174" y="6438900"/>
          <a:ext cx="2009775"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Evergreen Incentive</a:t>
          </a:r>
          <a:r>
            <a:rPr lang="en-US" sz="1200" b="1" baseline="0"/>
            <a:t> </a:t>
          </a:r>
          <a:r>
            <a:rPr lang="en-US" sz="1200" b="1"/>
            <a:t>(Sprouts Deal)</a:t>
          </a:r>
        </a:p>
      </xdr:txBody>
    </xdr:sp>
    <xdr:clientData/>
  </xdr:twoCellAnchor>
  <xdr:twoCellAnchor>
    <xdr:from>
      <xdr:col>17</xdr:col>
      <xdr:colOff>361950</xdr:colOff>
      <xdr:row>29</xdr:row>
      <xdr:rowOff>180975</xdr:rowOff>
    </xdr:from>
    <xdr:to>
      <xdr:col>18</xdr:col>
      <xdr:colOff>171450</xdr:colOff>
      <xdr:row>30</xdr:row>
      <xdr:rowOff>152400</xdr:rowOff>
    </xdr:to>
    <xdr:cxnSp macro="">
      <xdr:nvCxnSpPr>
        <xdr:cNvPr id="11" name="Straight Arrow Connector 10">
          <a:extLst>
            <a:ext uri="{FF2B5EF4-FFF2-40B4-BE49-F238E27FC236}">
              <a16:creationId xmlns:a16="http://schemas.microsoft.com/office/drawing/2014/main" id="{00000000-0008-0000-0B00-00000B000000}"/>
            </a:ext>
          </a:extLst>
        </xdr:cNvPr>
        <xdr:cNvCxnSpPr/>
      </xdr:nvCxnSpPr>
      <xdr:spPr>
        <a:xfrm flipV="1">
          <a:off x="18240375" y="6210300"/>
          <a:ext cx="647700" cy="1714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57150</xdr:colOff>
      <xdr:row>4</xdr:row>
      <xdr:rowOff>171449</xdr:rowOff>
    </xdr:from>
    <xdr:to>
      <xdr:col>22</xdr:col>
      <xdr:colOff>28575</xdr:colOff>
      <xdr:row>22</xdr:row>
      <xdr:rowOff>123825</xdr:rowOff>
    </xdr:to>
    <xdr:graphicFrame macro="">
      <xdr:nvGraphicFramePr>
        <xdr:cNvPr id="14" name="Chart 13">
          <a:extLst>
            <a:ext uri="{FF2B5EF4-FFF2-40B4-BE49-F238E27FC236}">
              <a16:creationId xmlns:a16="http://schemas.microsoft.com/office/drawing/2014/main" id="{00000000-0008-0000-0C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47625</xdr:colOff>
      <xdr:row>23</xdr:row>
      <xdr:rowOff>176212</xdr:rowOff>
    </xdr:from>
    <xdr:to>
      <xdr:col>21</xdr:col>
      <xdr:colOff>819151</xdr:colOff>
      <xdr:row>41</xdr:row>
      <xdr:rowOff>38100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57150</xdr:colOff>
      <xdr:row>42</xdr:row>
      <xdr:rowOff>76200</xdr:rowOff>
    </xdr:from>
    <xdr:to>
      <xdr:col>21</xdr:col>
      <xdr:colOff>819150</xdr:colOff>
      <xdr:row>59</xdr:row>
      <xdr:rowOff>180975</xdr:rowOff>
    </xdr:to>
    <xdr:graphicFrame macro="">
      <xdr:nvGraphicFramePr>
        <xdr:cNvPr id="3" name="Chart 2">
          <a:extLst>
            <a:ext uri="{FF2B5EF4-FFF2-40B4-BE49-F238E27FC236}">
              <a16:creationId xmlns:a16="http://schemas.microsoft.com/office/drawing/2014/main" id="{00000000-0008-0000-0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66675</xdr:colOff>
      <xdr:row>60</xdr:row>
      <xdr:rowOff>133350</xdr:rowOff>
    </xdr:from>
    <xdr:to>
      <xdr:col>21</xdr:col>
      <xdr:colOff>809625</xdr:colOff>
      <xdr:row>77</xdr:row>
      <xdr:rowOff>180975</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47625</xdr:colOff>
      <xdr:row>4</xdr:row>
      <xdr:rowOff>152400</xdr:rowOff>
    </xdr:from>
    <xdr:to>
      <xdr:col>21</xdr:col>
      <xdr:colOff>800100</xdr:colOff>
      <xdr:row>23</xdr:row>
      <xdr:rowOff>9525</xdr:rowOff>
    </xdr:to>
    <xdr:graphicFrame macro="">
      <xdr:nvGraphicFramePr>
        <xdr:cNvPr id="11" name="Chart 10">
          <a:extLst>
            <a:ext uri="{FF2B5EF4-FFF2-40B4-BE49-F238E27FC236}">
              <a16:creationId xmlns:a16="http://schemas.microsoft.com/office/drawing/2014/main" id="{00000000-0008-0000-0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57150</xdr:colOff>
      <xdr:row>23</xdr:row>
      <xdr:rowOff>128586</xdr:rowOff>
    </xdr:from>
    <xdr:to>
      <xdr:col>21</xdr:col>
      <xdr:colOff>809625</xdr:colOff>
      <xdr:row>42</xdr:row>
      <xdr:rowOff>152400</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57149</xdr:colOff>
      <xdr:row>43</xdr:row>
      <xdr:rowOff>114300</xdr:rowOff>
    </xdr:from>
    <xdr:to>
      <xdr:col>21</xdr:col>
      <xdr:colOff>800100</xdr:colOff>
      <xdr:row>61</xdr:row>
      <xdr:rowOff>76200</xdr:rowOff>
    </xdr:to>
    <xdr:graphicFrame macro="">
      <xdr:nvGraphicFramePr>
        <xdr:cNvPr id="3" name="Chart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47625</xdr:colOff>
      <xdr:row>62</xdr:row>
      <xdr:rowOff>152399</xdr:rowOff>
    </xdr:from>
    <xdr:to>
      <xdr:col>21</xdr:col>
      <xdr:colOff>809625</xdr:colOff>
      <xdr:row>80</xdr:row>
      <xdr:rowOff>180974</xdr:rowOff>
    </xdr:to>
    <xdr:graphicFrame macro="">
      <xdr:nvGraphicFramePr>
        <xdr:cNvPr id="4" name="Chart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828675</xdr:colOff>
      <xdr:row>30</xdr:row>
      <xdr:rowOff>161925</xdr:rowOff>
    </xdr:from>
    <xdr:to>
      <xdr:col>18</xdr:col>
      <xdr:colOff>66675</xdr:colOff>
      <xdr:row>32</xdr:row>
      <xdr:rowOff>9525</xdr:rowOff>
    </xdr:to>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15468600" y="6391275"/>
          <a:ext cx="25908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Performance Mngt, ADA, and Title VI</a:t>
          </a:r>
        </a:p>
      </xdr:txBody>
    </xdr:sp>
    <xdr:clientData/>
  </xdr:twoCellAnchor>
  <xdr:twoCellAnchor>
    <xdr:from>
      <xdr:col>17</xdr:col>
      <xdr:colOff>809625</xdr:colOff>
      <xdr:row>27</xdr:row>
      <xdr:rowOff>38099</xdr:rowOff>
    </xdr:from>
    <xdr:to>
      <xdr:col>19</xdr:col>
      <xdr:colOff>514350</xdr:colOff>
      <xdr:row>28</xdr:row>
      <xdr:rowOff>85725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7964150" y="5667374"/>
          <a:ext cx="1381125" cy="247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1"/>
            <a:t>Employee Benefits</a:t>
          </a:r>
        </a:p>
      </xdr:txBody>
    </xdr:sp>
    <xdr:clientData/>
  </xdr:twoCellAnchor>
  <xdr:twoCellAnchor>
    <xdr:from>
      <xdr:col>17</xdr:col>
      <xdr:colOff>723900</xdr:colOff>
      <xdr:row>29</xdr:row>
      <xdr:rowOff>142875</xdr:rowOff>
    </xdr:from>
    <xdr:to>
      <xdr:col>18</xdr:col>
      <xdr:colOff>657225</xdr:colOff>
      <xdr:row>30</xdr:row>
      <xdr:rowOff>28575</xdr:rowOff>
    </xdr:to>
    <xdr:cxnSp macro="">
      <xdr:nvCxnSpPr>
        <xdr:cNvPr id="8" name="Straight Arrow Connector 7">
          <a:extLst>
            <a:ext uri="{FF2B5EF4-FFF2-40B4-BE49-F238E27FC236}">
              <a16:creationId xmlns:a16="http://schemas.microsoft.com/office/drawing/2014/main" id="{00000000-0008-0000-0D00-000008000000}"/>
            </a:ext>
          </a:extLst>
        </xdr:cNvPr>
        <xdr:cNvCxnSpPr/>
      </xdr:nvCxnSpPr>
      <xdr:spPr>
        <a:xfrm flipV="1">
          <a:off x="17878425" y="6172200"/>
          <a:ext cx="771525" cy="8572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19</xdr:col>
      <xdr:colOff>742950</xdr:colOff>
      <xdr:row>28</xdr:row>
      <xdr:rowOff>9525</xdr:rowOff>
    </xdr:from>
    <xdr:to>
      <xdr:col>20</xdr:col>
      <xdr:colOff>609600</xdr:colOff>
      <xdr:row>28</xdr:row>
      <xdr:rowOff>76200</xdr:rowOff>
    </xdr:to>
    <xdr:cxnSp macro="">
      <xdr:nvCxnSpPr>
        <xdr:cNvPr id="10" name="Straight Arrow Connector 9">
          <a:extLst>
            <a:ext uri="{FF2B5EF4-FFF2-40B4-BE49-F238E27FC236}">
              <a16:creationId xmlns:a16="http://schemas.microsoft.com/office/drawing/2014/main" id="{00000000-0008-0000-0D00-00000A000000}"/>
            </a:ext>
          </a:extLst>
        </xdr:cNvPr>
        <xdr:cNvCxnSpPr/>
      </xdr:nvCxnSpPr>
      <xdr:spPr>
        <a:xfrm>
          <a:off x="19573875" y="5838825"/>
          <a:ext cx="704850" cy="6667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47625</xdr:colOff>
      <xdr:row>4</xdr:row>
      <xdr:rowOff>114301</xdr:rowOff>
    </xdr:from>
    <xdr:to>
      <xdr:col>22</xdr:col>
      <xdr:colOff>38101</xdr:colOff>
      <xdr:row>20</xdr:row>
      <xdr:rowOff>200025</xdr:rowOff>
    </xdr:to>
    <xdr:graphicFrame macro="">
      <xdr:nvGraphicFramePr>
        <xdr:cNvPr id="13" name="Chart 1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38100</xdr:colOff>
      <xdr:row>21</xdr:row>
      <xdr:rowOff>157161</xdr:rowOff>
    </xdr:from>
    <xdr:to>
      <xdr:col>22</xdr:col>
      <xdr:colOff>38100</xdr:colOff>
      <xdr:row>39</xdr:row>
      <xdr:rowOff>152399</xdr:rowOff>
    </xdr:to>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28574</xdr:colOff>
      <xdr:row>40</xdr:row>
      <xdr:rowOff>152400</xdr:rowOff>
    </xdr:from>
    <xdr:to>
      <xdr:col>22</xdr:col>
      <xdr:colOff>19049</xdr:colOff>
      <xdr:row>59</xdr:row>
      <xdr:rowOff>123825</xdr:rowOff>
    </xdr:to>
    <xdr:graphicFrame macro="">
      <xdr:nvGraphicFramePr>
        <xdr:cNvPr id="3" name="Chart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57149</xdr:colOff>
      <xdr:row>60</xdr:row>
      <xdr:rowOff>152400</xdr:rowOff>
    </xdr:from>
    <xdr:to>
      <xdr:col>22</xdr:col>
      <xdr:colOff>9524</xdr:colOff>
      <xdr:row>77</xdr:row>
      <xdr:rowOff>180975</xdr:rowOff>
    </xdr:to>
    <xdr:graphicFrame macro="">
      <xdr:nvGraphicFramePr>
        <xdr:cNvPr id="4" name="Chart 3">
          <a:extLst>
            <a:ext uri="{FF2B5EF4-FFF2-40B4-BE49-F238E27FC236}">
              <a16:creationId xmlns:a16="http://schemas.microsoft.com/office/drawing/2014/main" id="{00000000-0008-0000-0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22</xdr:col>
      <xdr:colOff>323850</xdr:colOff>
      <xdr:row>12</xdr:row>
      <xdr:rowOff>142875</xdr:rowOff>
    </xdr:from>
    <xdr:to>
      <xdr:col>22</xdr:col>
      <xdr:colOff>1228725</xdr:colOff>
      <xdr:row>13</xdr:row>
      <xdr:rowOff>9525</xdr:rowOff>
    </xdr:to>
    <xdr:cxnSp macro="">
      <xdr:nvCxnSpPr>
        <xdr:cNvPr id="7" name="Straight Arrow Connector 6">
          <a:extLst>
            <a:ext uri="{FF2B5EF4-FFF2-40B4-BE49-F238E27FC236}">
              <a16:creationId xmlns:a16="http://schemas.microsoft.com/office/drawing/2014/main" id="{00000000-0008-0000-0E00-000007000000}"/>
            </a:ext>
          </a:extLst>
        </xdr:cNvPr>
        <xdr:cNvCxnSpPr/>
      </xdr:nvCxnSpPr>
      <xdr:spPr>
        <a:xfrm>
          <a:off x="21555075" y="2695575"/>
          <a:ext cx="904875" cy="6667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47625</xdr:colOff>
      <xdr:row>4</xdr:row>
      <xdr:rowOff>171451</xdr:rowOff>
    </xdr:from>
    <xdr:to>
      <xdr:col>22</xdr:col>
      <xdr:colOff>0</xdr:colOff>
      <xdr:row>23</xdr:row>
      <xdr:rowOff>9525</xdr:rowOff>
    </xdr:to>
    <xdr:graphicFrame macro="">
      <xdr:nvGraphicFramePr>
        <xdr:cNvPr id="12" name="Chart 11">
          <a:extLst>
            <a:ext uri="{FF2B5EF4-FFF2-40B4-BE49-F238E27FC236}">
              <a16:creationId xmlns:a16="http://schemas.microsoft.com/office/drawing/2014/main" id="{00000000-0008-0000-0F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38099</xdr:colOff>
      <xdr:row>23</xdr:row>
      <xdr:rowOff>142875</xdr:rowOff>
    </xdr:from>
    <xdr:to>
      <xdr:col>22</xdr:col>
      <xdr:colOff>19050</xdr:colOff>
      <xdr:row>42</xdr:row>
      <xdr:rowOff>180975</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19050</xdr:colOff>
      <xdr:row>43</xdr:row>
      <xdr:rowOff>133349</xdr:rowOff>
    </xdr:from>
    <xdr:to>
      <xdr:col>21</xdr:col>
      <xdr:colOff>828675</xdr:colOff>
      <xdr:row>63</xdr:row>
      <xdr:rowOff>9525</xdr:rowOff>
    </xdr:to>
    <xdr:graphicFrame macro="">
      <xdr:nvGraphicFramePr>
        <xdr:cNvPr id="4" name="Chart 3">
          <a:extLst>
            <a:ext uri="{FF2B5EF4-FFF2-40B4-BE49-F238E27FC236}">
              <a16:creationId xmlns:a16="http://schemas.microsoft.com/office/drawing/2014/main" id="{00000000-0008-0000-0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19050</xdr:colOff>
      <xdr:row>64</xdr:row>
      <xdr:rowOff>57150</xdr:rowOff>
    </xdr:from>
    <xdr:to>
      <xdr:col>21</xdr:col>
      <xdr:colOff>819150</xdr:colOff>
      <xdr:row>81</xdr:row>
      <xdr:rowOff>180975</xdr:rowOff>
    </xdr:to>
    <xdr:graphicFrame macro="">
      <xdr:nvGraphicFramePr>
        <xdr:cNvPr id="5" name="Chart 4">
          <a:extLst>
            <a:ext uri="{FF2B5EF4-FFF2-40B4-BE49-F238E27FC236}">
              <a16:creationId xmlns:a16="http://schemas.microsoft.com/office/drawing/2014/main" id="{00000000-0008-0000-0F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200025</xdr:colOff>
      <xdr:row>28</xdr:row>
      <xdr:rowOff>161925</xdr:rowOff>
    </xdr:from>
    <xdr:to>
      <xdr:col>19</xdr:col>
      <xdr:colOff>523875</xdr:colOff>
      <xdr:row>30</xdr:row>
      <xdr:rowOff>0</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16687800" y="5991225"/>
          <a:ext cx="200025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Flatirons Library Consortium</a:t>
          </a:r>
        </a:p>
      </xdr:txBody>
    </xdr:sp>
    <xdr:clientData/>
  </xdr:twoCellAnchor>
  <xdr:twoCellAnchor>
    <xdr:from>
      <xdr:col>19</xdr:col>
      <xdr:colOff>600075</xdr:colOff>
      <xdr:row>29</xdr:row>
      <xdr:rowOff>47625</xdr:rowOff>
    </xdr:from>
    <xdr:to>
      <xdr:col>20</xdr:col>
      <xdr:colOff>514350</xdr:colOff>
      <xdr:row>29</xdr:row>
      <xdr:rowOff>161925</xdr:rowOff>
    </xdr:to>
    <xdr:cxnSp macro="">
      <xdr:nvCxnSpPr>
        <xdr:cNvPr id="7" name="Straight Arrow Connector 6">
          <a:extLst>
            <a:ext uri="{FF2B5EF4-FFF2-40B4-BE49-F238E27FC236}">
              <a16:creationId xmlns:a16="http://schemas.microsoft.com/office/drawing/2014/main" id="{00000000-0008-0000-0F00-000007000000}"/>
            </a:ext>
          </a:extLst>
        </xdr:cNvPr>
        <xdr:cNvCxnSpPr/>
      </xdr:nvCxnSpPr>
      <xdr:spPr>
        <a:xfrm>
          <a:off x="18764250" y="6076950"/>
          <a:ext cx="752475" cy="11430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twoCellAnchor>
    <xdr:from>
      <xdr:col>14</xdr:col>
      <xdr:colOff>28575</xdr:colOff>
      <xdr:row>4</xdr:row>
      <xdr:rowOff>104775</xdr:rowOff>
    </xdr:from>
    <xdr:to>
      <xdr:col>22</xdr:col>
      <xdr:colOff>752475</xdr:colOff>
      <xdr:row>25</xdr:row>
      <xdr:rowOff>47625</xdr:rowOff>
    </xdr:to>
    <xdr:graphicFrame macro="">
      <xdr:nvGraphicFramePr>
        <xdr:cNvPr id="8" name="Chart 7">
          <a:extLst>
            <a:ext uri="{FF2B5EF4-FFF2-40B4-BE49-F238E27FC236}">
              <a16:creationId xmlns:a16="http://schemas.microsoft.com/office/drawing/2014/main" id="{00000000-0008-0000-1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66675</xdr:colOff>
      <xdr:row>91</xdr:row>
      <xdr:rowOff>85725</xdr:rowOff>
    </xdr:from>
    <xdr:to>
      <xdr:col>22</xdr:col>
      <xdr:colOff>809625</xdr:colOff>
      <xdr:row>113</xdr:row>
      <xdr:rowOff>180975</xdr:rowOff>
    </xdr:to>
    <xdr:graphicFrame macro="">
      <xdr:nvGraphicFramePr>
        <xdr:cNvPr id="12" name="Chart 11">
          <a:extLst>
            <a:ext uri="{FF2B5EF4-FFF2-40B4-BE49-F238E27FC236}">
              <a16:creationId xmlns:a16="http://schemas.microsoft.com/office/drawing/2014/main" id="{00000000-0008-0000-1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28575</xdr:colOff>
      <xdr:row>26</xdr:row>
      <xdr:rowOff>4762</xdr:rowOff>
    </xdr:from>
    <xdr:to>
      <xdr:col>22</xdr:col>
      <xdr:colOff>781050</xdr:colOff>
      <xdr:row>47</xdr:row>
      <xdr:rowOff>9525</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38098</xdr:colOff>
      <xdr:row>47</xdr:row>
      <xdr:rowOff>161925</xdr:rowOff>
    </xdr:from>
    <xdr:to>
      <xdr:col>22</xdr:col>
      <xdr:colOff>800100</xdr:colOff>
      <xdr:row>68</xdr:row>
      <xdr:rowOff>123825</xdr:rowOff>
    </xdr:to>
    <xdr:graphicFrame macro="">
      <xdr:nvGraphicFramePr>
        <xdr:cNvPr id="3" name="Chart 2">
          <a:extLst>
            <a:ext uri="{FF2B5EF4-FFF2-40B4-BE49-F238E27FC236}">
              <a16:creationId xmlns:a16="http://schemas.microsoft.com/office/drawing/2014/main" id="{00000000-0008-0000-1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66675</xdr:colOff>
      <xdr:row>69</xdr:row>
      <xdr:rowOff>142874</xdr:rowOff>
    </xdr:from>
    <xdr:to>
      <xdr:col>22</xdr:col>
      <xdr:colOff>800101</xdr:colOff>
      <xdr:row>90</xdr:row>
      <xdr:rowOff>9524</xdr:rowOff>
    </xdr:to>
    <xdr:graphicFrame macro="">
      <xdr:nvGraphicFramePr>
        <xdr:cNvPr id="4" name="Chart 3">
          <a:extLst>
            <a:ext uri="{FF2B5EF4-FFF2-40B4-BE49-F238E27FC236}">
              <a16:creationId xmlns:a16="http://schemas.microsoft.com/office/drawing/2014/main" id="{00000000-0008-0000-1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476250</xdr:colOff>
      <xdr:row>72</xdr:row>
      <xdr:rowOff>171449</xdr:rowOff>
    </xdr:from>
    <xdr:to>
      <xdr:col>19</xdr:col>
      <xdr:colOff>333375</xdr:colOff>
      <xdr:row>74</xdr:row>
      <xdr:rowOff>28574</xdr:rowOff>
    </xdr:to>
    <xdr:sp macro="" textlink="">
      <xdr:nvSpPr>
        <xdr:cNvPr id="10" name="TextBox 9">
          <a:extLst>
            <a:ext uri="{FF2B5EF4-FFF2-40B4-BE49-F238E27FC236}">
              <a16:creationId xmlns:a16="http://schemas.microsoft.com/office/drawing/2014/main" id="{00000000-0008-0000-0E00-000005000000}"/>
            </a:ext>
          </a:extLst>
        </xdr:cNvPr>
        <xdr:cNvSpPr txBox="1"/>
      </xdr:nvSpPr>
      <xdr:spPr>
        <a:xfrm>
          <a:off x="16640175" y="14811374"/>
          <a:ext cx="2486025"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Equip Replacement, Capital Projects</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0.33967</cdr:x>
      <cdr:y>0.16571</cdr:y>
    </cdr:from>
    <cdr:to>
      <cdr:x>0.78834</cdr:x>
      <cdr:y>0.24571</cdr:y>
    </cdr:to>
    <cdr:sp macro="" textlink="">
      <cdr:nvSpPr>
        <cdr:cNvPr id="2" name="TextBox 1"/>
        <cdr:cNvSpPr txBox="1"/>
      </cdr:nvSpPr>
      <cdr:spPr>
        <a:xfrm xmlns:a="http://schemas.openxmlformats.org/drawingml/2006/main">
          <a:off x="2552701" y="690563"/>
          <a:ext cx="3371850" cy="3333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0.35868</cdr:x>
      <cdr:y>0.13371</cdr:y>
    </cdr:from>
    <cdr:to>
      <cdr:x>0.69328</cdr:x>
      <cdr:y>0.20457</cdr:y>
    </cdr:to>
    <cdr:sp macro="" textlink="">
      <cdr:nvSpPr>
        <cdr:cNvPr id="3" name="TextBox 2"/>
        <cdr:cNvSpPr txBox="1"/>
      </cdr:nvSpPr>
      <cdr:spPr>
        <a:xfrm xmlns:a="http://schemas.openxmlformats.org/drawingml/2006/main">
          <a:off x="2695576" y="557213"/>
          <a:ext cx="2514600"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0.42574</cdr:x>
      <cdr:y>0.1256</cdr:y>
    </cdr:from>
    <cdr:to>
      <cdr:x>0.64374</cdr:x>
      <cdr:y>0.19417</cdr:y>
    </cdr:to>
    <cdr:sp macro="" textlink="">
      <cdr:nvSpPr>
        <cdr:cNvPr id="4" name="TextBox 3"/>
        <cdr:cNvSpPr txBox="1"/>
      </cdr:nvSpPr>
      <cdr:spPr>
        <a:xfrm xmlns:a="http://schemas.openxmlformats.org/drawingml/2006/main">
          <a:off x="3192334" y="550657"/>
          <a:ext cx="1634627" cy="3006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1400" b="0"/>
            <a:t>Foundry Project</a:t>
          </a:r>
        </a:p>
      </cdr:txBody>
    </cdr:sp>
  </cdr:relSizeAnchor>
  <cdr:relSizeAnchor xmlns:cdr="http://schemas.openxmlformats.org/drawingml/2006/chartDrawing">
    <cdr:from>
      <cdr:x>0.63752</cdr:x>
      <cdr:y>0.152</cdr:y>
    </cdr:from>
    <cdr:to>
      <cdr:x>0.84664</cdr:x>
      <cdr:y>0.21143</cdr:y>
    </cdr:to>
    <cdr:cxnSp macro="">
      <cdr:nvCxnSpPr>
        <cdr:cNvPr id="6" name="Straight Arrow Connector 5">
          <a:extLst xmlns:a="http://schemas.openxmlformats.org/drawingml/2006/main">
            <a:ext uri="{FF2B5EF4-FFF2-40B4-BE49-F238E27FC236}">
              <a16:creationId xmlns:a16="http://schemas.microsoft.com/office/drawing/2014/main" id="{9414D770-3A14-4D30-BD8A-9B6033722655}"/>
            </a:ext>
          </a:extLst>
        </cdr:cNvPr>
        <cdr:cNvCxnSpPr/>
      </cdr:nvCxnSpPr>
      <cdr:spPr>
        <a:xfrm xmlns:a="http://schemas.openxmlformats.org/drawingml/2006/main">
          <a:off x="4791076" y="633413"/>
          <a:ext cx="1571625" cy="247650"/>
        </a:xfrm>
        <a:prstGeom xmlns:a="http://schemas.openxmlformats.org/drawingml/2006/main" prst="straightConnector1">
          <a:avLst/>
        </a:prstGeom>
        <a:ln xmlns:a="http://schemas.openxmlformats.org/drawingml/2006/main">
          <a:solidFill>
            <a:srgbClr val="FF0000"/>
          </a:solidFill>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20.xml><?xml version="1.0" encoding="utf-8"?>
<c:userShapes xmlns:c="http://schemas.openxmlformats.org/drawingml/2006/chart">
  <cdr:relSizeAnchor xmlns:cdr="http://schemas.openxmlformats.org/drawingml/2006/chartDrawing">
    <cdr:from>
      <cdr:x>0.60754</cdr:x>
      <cdr:y>0.17457</cdr:y>
    </cdr:from>
    <cdr:to>
      <cdr:x>0.84709</cdr:x>
      <cdr:y>0.23728</cdr:y>
    </cdr:to>
    <cdr:cxnSp macro="">
      <cdr:nvCxnSpPr>
        <cdr:cNvPr id="4" name="Straight Arrow Connector 3">
          <a:extLst xmlns:a="http://schemas.openxmlformats.org/drawingml/2006/main">
            <a:ext uri="{FF2B5EF4-FFF2-40B4-BE49-F238E27FC236}">
              <a16:creationId xmlns:a16="http://schemas.microsoft.com/office/drawing/2014/main" id="{6830BFE0-F3A3-46A8-A181-26028858C855}"/>
            </a:ext>
          </a:extLst>
        </cdr:cNvPr>
        <cdr:cNvCxnSpPr/>
      </cdr:nvCxnSpPr>
      <cdr:spPr>
        <a:xfrm xmlns:a="http://schemas.openxmlformats.org/drawingml/2006/main">
          <a:off x="4588966" y="668450"/>
          <a:ext cx="1809399" cy="240120"/>
        </a:xfrm>
        <a:prstGeom xmlns:a="http://schemas.openxmlformats.org/drawingml/2006/main" prst="straightConnector1">
          <a:avLst/>
        </a:prstGeom>
        <a:ln xmlns:a="http://schemas.openxmlformats.org/drawingml/2006/main">
          <a:solidFill>
            <a:srgbClr val="FF0000"/>
          </a:solidFill>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21.xml><?xml version="1.0" encoding="utf-8"?>
<xdr:wsDr xmlns:xdr="http://schemas.openxmlformats.org/drawingml/2006/spreadsheetDrawing" xmlns:a="http://schemas.openxmlformats.org/drawingml/2006/main">
  <xdr:twoCellAnchor>
    <xdr:from>
      <xdr:col>14</xdr:col>
      <xdr:colOff>38100</xdr:colOff>
      <xdr:row>4</xdr:row>
      <xdr:rowOff>123824</xdr:rowOff>
    </xdr:from>
    <xdr:to>
      <xdr:col>22</xdr:col>
      <xdr:colOff>0</xdr:colOff>
      <xdr:row>22</xdr:row>
      <xdr:rowOff>19049</xdr:rowOff>
    </xdr:to>
    <xdr:graphicFrame macro="">
      <xdr:nvGraphicFramePr>
        <xdr:cNvPr id="13" name="Chart 12">
          <a:extLst>
            <a:ext uri="{FF2B5EF4-FFF2-40B4-BE49-F238E27FC236}">
              <a16:creationId xmlns:a16="http://schemas.microsoft.com/office/drawing/2014/main" id="{00000000-0008-0000-1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47625</xdr:colOff>
      <xdr:row>23</xdr:row>
      <xdr:rowOff>4760</xdr:rowOff>
    </xdr:from>
    <xdr:to>
      <xdr:col>22</xdr:col>
      <xdr:colOff>0</xdr:colOff>
      <xdr:row>42</xdr:row>
      <xdr:rowOff>180974</xdr:rowOff>
    </xdr:to>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38099</xdr:colOff>
      <xdr:row>43</xdr:row>
      <xdr:rowOff>123824</xdr:rowOff>
    </xdr:from>
    <xdr:to>
      <xdr:col>21</xdr:col>
      <xdr:colOff>809624</xdr:colOff>
      <xdr:row>62</xdr:row>
      <xdr:rowOff>161924</xdr:rowOff>
    </xdr:to>
    <xdr:graphicFrame macro="">
      <xdr:nvGraphicFramePr>
        <xdr:cNvPr id="3" name="Chart 2">
          <a:extLst>
            <a:ext uri="{FF2B5EF4-FFF2-40B4-BE49-F238E27FC236}">
              <a16:creationId xmlns:a16="http://schemas.microsoft.com/office/drawing/2014/main" id="{00000000-0008-0000-1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66675</xdr:colOff>
      <xdr:row>63</xdr:row>
      <xdr:rowOff>200024</xdr:rowOff>
    </xdr:from>
    <xdr:to>
      <xdr:col>21</xdr:col>
      <xdr:colOff>828675</xdr:colOff>
      <xdr:row>81</xdr:row>
      <xdr:rowOff>180975</xdr:rowOff>
    </xdr:to>
    <xdr:graphicFrame macro="">
      <xdr:nvGraphicFramePr>
        <xdr:cNvPr id="4" name="Chart 3">
          <a:extLst>
            <a:ext uri="{FF2B5EF4-FFF2-40B4-BE49-F238E27FC236}">
              <a16:creationId xmlns:a16="http://schemas.microsoft.com/office/drawing/2014/main" id="{00000000-0008-0000-1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533400</xdr:colOff>
      <xdr:row>27</xdr:row>
      <xdr:rowOff>180975</xdr:rowOff>
    </xdr:from>
    <xdr:to>
      <xdr:col>18</xdr:col>
      <xdr:colOff>828675</xdr:colOff>
      <xdr:row>29</xdr:row>
      <xdr:rowOff>9525</xdr:rowOff>
    </xdr:to>
    <xdr:sp macro="" textlink="">
      <xdr:nvSpPr>
        <xdr:cNvPr id="6" name="TextBox 5">
          <a:extLst>
            <a:ext uri="{FF2B5EF4-FFF2-40B4-BE49-F238E27FC236}">
              <a16:creationId xmlns:a16="http://schemas.microsoft.com/office/drawing/2014/main" id="{00000000-0008-0000-0E00-000005000000}"/>
            </a:ext>
          </a:extLst>
        </xdr:cNvPr>
        <xdr:cNvSpPr txBox="1"/>
      </xdr:nvSpPr>
      <xdr:spPr>
        <a:xfrm>
          <a:off x="17249775" y="5886450"/>
          <a:ext cx="1133475"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Increased FTEs</a:t>
          </a:r>
        </a:p>
      </xdr:txBody>
    </xdr:sp>
    <xdr:clientData/>
  </xdr:twoCellAnchor>
</xdr:wsDr>
</file>

<file path=xl/drawings/drawing22.xml><?xml version="1.0" encoding="utf-8"?>
<c:userShapes xmlns:c="http://schemas.openxmlformats.org/drawingml/2006/chart">
  <cdr:relSizeAnchor xmlns:cdr="http://schemas.openxmlformats.org/drawingml/2006/chartDrawing">
    <cdr:from>
      <cdr:x>0.62518</cdr:x>
      <cdr:y>0.27856</cdr:y>
    </cdr:from>
    <cdr:to>
      <cdr:x>0.79972</cdr:x>
      <cdr:y>0.28513</cdr:y>
    </cdr:to>
    <cdr:cxnSp macro="">
      <cdr:nvCxnSpPr>
        <cdr:cNvPr id="4" name="Straight Arrow Connector 3">
          <a:extLst xmlns:a="http://schemas.openxmlformats.org/drawingml/2006/main">
            <a:ext uri="{FF2B5EF4-FFF2-40B4-BE49-F238E27FC236}">
              <a16:creationId xmlns:a16="http://schemas.microsoft.com/office/drawing/2014/main" id="{CF285BAE-FA1E-4529-83BE-3E00C1670639}"/>
            </a:ext>
          </a:extLst>
        </cdr:cNvPr>
        <cdr:cNvCxnSpPr/>
      </cdr:nvCxnSpPr>
      <cdr:spPr>
        <a:xfrm xmlns:a="http://schemas.openxmlformats.org/drawingml/2006/main">
          <a:off x="4162422" y="1054670"/>
          <a:ext cx="1162083" cy="24876"/>
        </a:xfrm>
        <a:prstGeom xmlns:a="http://schemas.openxmlformats.org/drawingml/2006/main" prst="straightConnector1">
          <a:avLst/>
        </a:prstGeom>
        <a:ln xmlns:a="http://schemas.openxmlformats.org/drawingml/2006/main">
          <a:solidFill>
            <a:srgbClr val="FF0000"/>
          </a:solidFill>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23.xml><?xml version="1.0" encoding="utf-8"?>
<xdr:wsDr xmlns:xdr="http://schemas.openxmlformats.org/drawingml/2006/spreadsheetDrawing" xmlns:a="http://schemas.openxmlformats.org/drawingml/2006/main">
  <xdr:twoCellAnchor>
    <xdr:from>
      <xdr:col>14</xdr:col>
      <xdr:colOff>41275</xdr:colOff>
      <xdr:row>4</xdr:row>
      <xdr:rowOff>152399</xdr:rowOff>
    </xdr:from>
    <xdr:to>
      <xdr:col>22</xdr:col>
      <xdr:colOff>806450</xdr:colOff>
      <xdr:row>21</xdr:row>
      <xdr:rowOff>209550</xdr:rowOff>
    </xdr:to>
    <xdr:graphicFrame macro="">
      <xdr:nvGraphicFramePr>
        <xdr:cNvPr id="12" name="Chart 11">
          <a:extLst>
            <a:ext uri="{FF2B5EF4-FFF2-40B4-BE49-F238E27FC236}">
              <a16:creationId xmlns:a16="http://schemas.microsoft.com/office/drawing/2014/main" id="{00000000-0008-0000-1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77258</xdr:colOff>
      <xdr:row>23</xdr:row>
      <xdr:rowOff>5819</xdr:rowOff>
    </xdr:from>
    <xdr:to>
      <xdr:col>22</xdr:col>
      <xdr:colOff>835025</xdr:colOff>
      <xdr:row>41</xdr:row>
      <xdr:rowOff>171450</xdr:rowOff>
    </xdr:to>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70906</xdr:colOff>
      <xdr:row>42</xdr:row>
      <xdr:rowOff>170391</xdr:rowOff>
    </xdr:from>
    <xdr:to>
      <xdr:col>23</xdr:col>
      <xdr:colOff>3174</xdr:colOff>
      <xdr:row>61</xdr:row>
      <xdr:rowOff>190500</xdr:rowOff>
    </xdr:to>
    <xdr:graphicFrame macro="">
      <xdr:nvGraphicFramePr>
        <xdr:cNvPr id="3" name="Chart 2">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48684</xdr:colOff>
      <xdr:row>63</xdr:row>
      <xdr:rowOff>48683</xdr:rowOff>
    </xdr:from>
    <xdr:to>
      <xdr:col>22</xdr:col>
      <xdr:colOff>815975</xdr:colOff>
      <xdr:row>82</xdr:row>
      <xdr:rowOff>190500</xdr:rowOff>
    </xdr:to>
    <xdr:graphicFrame macro="">
      <xdr:nvGraphicFramePr>
        <xdr:cNvPr id="4" name="Chart 3">
          <a:extLst>
            <a:ext uri="{FF2B5EF4-FFF2-40B4-BE49-F238E27FC236}">
              <a16:creationId xmlns:a16="http://schemas.microsoft.com/office/drawing/2014/main" id="{00000000-0008-0000-1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14</xdr:col>
      <xdr:colOff>66674</xdr:colOff>
      <xdr:row>4</xdr:row>
      <xdr:rowOff>142874</xdr:rowOff>
    </xdr:from>
    <xdr:to>
      <xdr:col>22</xdr:col>
      <xdr:colOff>809625</xdr:colOff>
      <xdr:row>23</xdr:row>
      <xdr:rowOff>85725</xdr:rowOff>
    </xdr:to>
    <xdr:graphicFrame macro="">
      <xdr:nvGraphicFramePr>
        <xdr:cNvPr id="8" name="Chart 7">
          <a:extLst>
            <a:ext uri="{FF2B5EF4-FFF2-40B4-BE49-F238E27FC236}">
              <a16:creationId xmlns:a16="http://schemas.microsoft.com/office/drawing/2014/main" id="{00000000-0008-0000-1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47624</xdr:colOff>
      <xdr:row>24</xdr:row>
      <xdr:rowOff>52387</xdr:rowOff>
    </xdr:from>
    <xdr:to>
      <xdr:col>22</xdr:col>
      <xdr:colOff>790575</xdr:colOff>
      <xdr:row>45</xdr:row>
      <xdr:rowOff>161925</xdr:rowOff>
    </xdr:to>
    <xdr:graphicFrame macro="">
      <xdr:nvGraphicFramePr>
        <xdr:cNvPr id="9" name="Chart 8">
          <a:extLst>
            <a:ext uri="{FF2B5EF4-FFF2-40B4-BE49-F238E27FC236}">
              <a16:creationId xmlns:a16="http://schemas.microsoft.com/office/drawing/2014/main" id="{00000000-0008-0000-1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19049</xdr:colOff>
      <xdr:row>46</xdr:row>
      <xdr:rowOff>190499</xdr:rowOff>
    </xdr:from>
    <xdr:to>
      <xdr:col>22</xdr:col>
      <xdr:colOff>790575</xdr:colOff>
      <xdr:row>65</xdr:row>
      <xdr:rowOff>152400</xdr:rowOff>
    </xdr:to>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38100</xdr:colOff>
      <xdr:row>67</xdr:row>
      <xdr:rowOff>76199</xdr:rowOff>
    </xdr:from>
    <xdr:to>
      <xdr:col>22</xdr:col>
      <xdr:colOff>809625</xdr:colOff>
      <xdr:row>85</xdr:row>
      <xdr:rowOff>123824</xdr:rowOff>
    </xdr:to>
    <xdr:graphicFrame macro="">
      <xdr:nvGraphicFramePr>
        <xdr:cNvPr id="3" name="Chart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438151</xdr:colOff>
      <xdr:row>28</xdr:row>
      <xdr:rowOff>104775</xdr:rowOff>
    </xdr:from>
    <xdr:to>
      <xdr:col>20</xdr:col>
      <xdr:colOff>647701</xdr:colOff>
      <xdr:row>30</xdr:row>
      <xdr:rowOff>9525</xdr:rowOff>
    </xdr:to>
    <xdr:sp macro="" textlink="">
      <xdr:nvSpPr>
        <xdr:cNvPr id="4" name="TextBox 3">
          <a:extLst>
            <a:ext uri="{FF2B5EF4-FFF2-40B4-BE49-F238E27FC236}">
              <a16:creationId xmlns:a16="http://schemas.microsoft.com/office/drawing/2014/main" id="{00000000-0008-0000-1300-000004000000}"/>
            </a:ext>
          </a:extLst>
        </xdr:cNvPr>
        <xdr:cNvSpPr txBox="1"/>
      </xdr:nvSpPr>
      <xdr:spPr>
        <a:xfrm>
          <a:off x="18935701" y="6010275"/>
          <a:ext cx="272415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Wastewater Treatment Plant Expansion</a:t>
          </a:r>
        </a:p>
      </xdr:txBody>
    </xdr:sp>
    <xdr:clientData/>
  </xdr:twoCellAnchor>
  <xdr:twoCellAnchor>
    <xdr:from>
      <xdr:col>15</xdr:col>
      <xdr:colOff>733425</xdr:colOff>
      <xdr:row>31</xdr:row>
      <xdr:rowOff>114300</xdr:rowOff>
    </xdr:from>
    <xdr:to>
      <xdr:col>18</xdr:col>
      <xdr:colOff>47625</xdr:colOff>
      <xdr:row>33</xdr:row>
      <xdr:rowOff>19050</xdr:rowOff>
    </xdr:to>
    <xdr:sp macro="" textlink="">
      <xdr:nvSpPr>
        <xdr:cNvPr id="5" name="TextBox 4">
          <a:extLst>
            <a:ext uri="{FF2B5EF4-FFF2-40B4-BE49-F238E27FC236}">
              <a16:creationId xmlns:a16="http://schemas.microsoft.com/office/drawing/2014/main" id="{00000000-0008-0000-1300-000005000000}"/>
            </a:ext>
          </a:extLst>
        </xdr:cNvPr>
        <xdr:cNvSpPr txBox="1"/>
      </xdr:nvSpPr>
      <xdr:spPr>
        <a:xfrm>
          <a:off x="17383125" y="6619875"/>
          <a:ext cx="200025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1"/>
            <a:t>Water Treatment Expansion</a:t>
          </a:r>
        </a:p>
      </xdr:txBody>
    </xdr:sp>
    <xdr:clientData/>
  </xdr:twoCellAnchor>
  <xdr:twoCellAnchor>
    <xdr:from>
      <xdr:col>20</xdr:col>
      <xdr:colOff>685800</xdr:colOff>
      <xdr:row>28</xdr:row>
      <xdr:rowOff>95250</xdr:rowOff>
    </xdr:from>
    <xdr:to>
      <xdr:col>21</xdr:col>
      <xdr:colOff>457200</xdr:colOff>
      <xdr:row>28</xdr:row>
      <xdr:rowOff>171450</xdr:rowOff>
    </xdr:to>
    <xdr:cxnSp macro="">
      <xdr:nvCxnSpPr>
        <xdr:cNvPr id="7" name="Straight Arrow Connector 6">
          <a:extLst>
            <a:ext uri="{FF2B5EF4-FFF2-40B4-BE49-F238E27FC236}">
              <a16:creationId xmlns:a16="http://schemas.microsoft.com/office/drawing/2014/main" id="{00000000-0008-0000-1300-000007000000}"/>
            </a:ext>
          </a:extLst>
        </xdr:cNvPr>
        <xdr:cNvCxnSpPr/>
      </xdr:nvCxnSpPr>
      <xdr:spPr>
        <a:xfrm flipV="1">
          <a:off x="21697950" y="6000750"/>
          <a:ext cx="609600" cy="7620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57150</xdr:colOff>
      <xdr:row>32</xdr:row>
      <xdr:rowOff>19050</xdr:rowOff>
    </xdr:from>
    <xdr:to>
      <xdr:col>19</xdr:col>
      <xdr:colOff>219075</xdr:colOff>
      <xdr:row>32</xdr:row>
      <xdr:rowOff>38100</xdr:rowOff>
    </xdr:to>
    <xdr:cxnSp macro="">
      <xdr:nvCxnSpPr>
        <xdr:cNvPr id="11" name="Straight Arrow Connector 10">
          <a:extLst>
            <a:ext uri="{FF2B5EF4-FFF2-40B4-BE49-F238E27FC236}">
              <a16:creationId xmlns:a16="http://schemas.microsoft.com/office/drawing/2014/main" id="{00000000-0008-0000-1300-00000B000000}"/>
            </a:ext>
          </a:extLst>
        </xdr:cNvPr>
        <xdr:cNvCxnSpPr/>
      </xdr:nvCxnSpPr>
      <xdr:spPr>
        <a:xfrm>
          <a:off x="19392900" y="6724650"/>
          <a:ext cx="1000125" cy="190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5.xml><?xml version="1.0" encoding="utf-8"?>
<xdr:wsDr xmlns:xdr="http://schemas.openxmlformats.org/drawingml/2006/spreadsheetDrawing" xmlns:a="http://schemas.openxmlformats.org/drawingml/2006/main">
  <xdr:twoCellAnchor>
    <xdr:from>
      <xdr:col>14</xdr:col>
      <xdr:colOff>47625</xdr:colOff>
      <xdr:row>4</xdr:row>
      <xdr:rowOff>185737</xdr:rowOff>
    </xdr:from>
    <xdr:to>
      <xdr:col>22</xdr:col>
      <xdr:colOff>771525</xdr:colOff>
      <xdr:row>24</xdr:row>
      <xdr:rowOff>9525</xdr:rowOff>
    </xdr:to>
    <xdr:graphicFrame macro="">
      <xdr:nvGraphicFramePr>
        <xdr:cNvPr id="3" name="Chart 2">
          <a:extLst>
            <a:ext uri="{FF2B5EF4-FFF2-40B4-BE49-F238E27FC236}">
              <a16:creationId xmlns:a16="http://schemas.microsoft.com/office/drawing/2014/main" id="{00000000-0008-0000-1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76199</xdr:colOff>
      <xdr:row>25</xdr:row>
      <xdr:rowOff>61911</xdr:rowOff>
    </xdr:from>
    <xdr:to>
      <xdr:col>22</xdr:col>
      <xdr:colOff>809625</xdr:colOff>
      <xdr:row>42</xdr:row>
      <xdr:rowOff>114299</xdr:rowOff>
    </xdr:to>
    <xdr:graphicFrame macro="">
      <xdr:nvGraphicFramePr>
        <xdr:cNvPr id="4" name="Chart 3">
          <a:extLst>
            <a:ext uri="{FF2B5EF4-FFF2-40B4-BE49-F238E27FC236}">
              <a16:creationId xmlns:a16="http://schemas.microsoft.com/office/drawing/2014/main" id="{00000000-0008-0000-1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66674</xdr:colOff>
      <xdr:row>43</xdr:row>
      <xdr:rowOff>85724</xdr:rowOff>
    </xdr:from>
    <xdr:to>
      <xdr:col>22</xdr:col>
      <xdr:colOff>800100</xdr:colOff>
      <xdr:row>61</xdr:row>
      <xdr:rowOff>200024</xdr:rowOff>
    </xdr:to>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57150</xdr:colOff>
      <xdr:row>63</xdr:row>
      <xdr:rowOff>38100</xdr:rowOff>
    </xdr:from>
    <xdr:to>
      <xdr:col>22</xdr:col>
      <xdr:colOff>790576</xdr:colOff>
      <xdr:row>86</xdr:row>
      <xdr:rowOff>85725</xdr:rowOff>
    </xdr:to>
    <xdr:graphicFrame macro="">
      <xdr:nvGraphicFramePr>
        <xdr:cNvPr id="6" name="Chart 5">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190500</xdr:colOff>
      <xdr:row>55</xdr:row>
      <xdr:rowOff>25400</xdr:rowOff>
    </xdr:from>
    <xdr:to>
      <xdr:col>11</xdr:col>
      <xdr:colOff>914400</xdr:colOff>
      <xdr:row>86</xdr:row>
      <xdr:rowOff>127000</xdr:rowOff>
    </xdr:to>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133350</xdr:colOff>
      <xdr:row>90</xdr:row>
      <xdr:rowOff>44450</xdr:rowOff>
    </xdr:from>
    <xdr:to>
      <xdr:col>12</xdr:col>
      <xdr:colOff>0</xdr:colOff>
      <xdr:row>123</xdr:row>
      <xdr:rowOff>38100</xdr:rowOff>
    </xdr:to>
    <xdr:graphicFrame macro="">
      <xdr:nvGraphicFramePr>
        <xdr:cNvPr id="3" name="Chart 2">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6350</xdr:colOff>
      <xdr:row>127</xdr:row>
      <xdr:rowOff>6350</xdr:rowOff>
    </xdr:from>
    <xdr:to>
      <xdr:col>11</xdr:col>
      <xdr:colOff>1028700</xdr:colOff>
      <xdr:row>154</xdr:row>
      <xdr:rowOff>101600</xdr:rowOff>
    </xdr:to>
    <xdr:graphicFrame macro="">
      <xdr:nvGraphicFramePr>
        <xdr:cNvPr id="4" name="Chart 3">
          <a:extLst>
            <a:ext uri="{FF2B5EF4-FFF2-40B4-BE49-F238E27FC236}">
              <a16:creationId xmlns:a16="http://schemas.microsoft.com/office/drawing/2014/main" id="{00000000-0008-0000-1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260350</xdr:colOff>
      <xdr:row>159</xdr:row>
      <xdr:rowOff>19050</xdr:rowOff>
    </xdr:from>
    <xdr:to>
      <xdr:col>11</xdr:col>
      <xdr:colOff>965200</xdr:colOff>
      <xdr:row>193</xdr:row>
      <xdr:rowOff>38100</xdr:rowOff>
    </xdr:to>
    <xdr:graphicFrame macro="">
      <xdr:nvGraphicFramePr>
        <xdr:cNvPr id="5" name="Chart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12706</xdr:colOff>
      <xdr:row>196</xdr:row>
      <xdr:rowOff>57150</xdr:rowOff>
    </xdr:from>
    <xdr:to>
      <xdr:col>11</xdr:col>
      <xdr:colOff>1016000</xdr:colOff>
      <xdr:row>229</xdr:row>
      <xdr:rowOff>76200</xdr:rowOff>
    </xdr:to>
    <xdr:graphicFrame macro="">
      <xdr:nvGraphicFramePr>
        <xdr:cNvPr id="6" name="Chart 5">
          <a:extLst>
            <a:ext uri="{FF2B5EF4-FFF2-40B4-BE49-F238E27FC236}">
              <a16:creationId xmlns:a16="http://schemas.microsoft.com/office/drawing/2014/main" id="{00000000-0008-0000-1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190500</xdr:colOff>
      <xdr:row>89</xdr:row>
      <xdr:rowOff>25400</xdr:rowOff>
    </xdr:from>
    <xdr:to>
      <xdr:col>11</xdr:col>
      <xdr:colOff>914400</xdr:colOff>
      <xdr:row>120</xdr:row>
      <xdr:rowOff>127000</xdr:rowOff>
    </xdr:to>
    <xdr:graphicFrame macro="">
      <xdr:nvGraphicFramePr>
        <xdr:cNvPr id="12" name="Chart 11">
          <a:extLst>
            <a:ext uri="{FF2B5EF4-FFF2-40B4-BE49-F238E27FC236}">
              <a16:creationId xmlns:a16="http://schemas.microsoft.com/office/drawing/2014/main" id="{00000000-0008-0000-15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133350</xdr:colOff>
      <xdr:row>124</xdr:row>
      <xdr:rowOff>44450</xdr:rowOff>
    </xdr:from>
    <xdr:to>
      <xdr:col>12</xdr:col>
      <xdr:colOff>0</xdr:colOff>
      <xdr:row>157</xdr:row>
      <xdr:rowOff>38100</xdr:rowOff>
    </xdr:to>
    <xdr:graphicFrame macro="">
      <xdr:nvGraphicFramePr>
        <xdr:cNvPr id="13" name="Chart 12">
          <a:extLst>
            <a:ext uri="{FF2B5EF4-FFF2-40B4-BE49-F238E27FC236}">
              <a16:creationId xmlns:a16="http://schemas.microsoft.com/office/drawing/2014/main" id="{00000000-0008-0000-15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6350</xdr:colOff>
      <xdr:row>161</xdr:row>
      <xdr:rowOff>6350</xdr:rowOff>
    </xdr:from>
    <xdr:to>
      <xdr:col>11</xdr:col>
      <xdr:colOff>1028700</xdr:colOff>
      <xdr:row>188</xdr:row>
      <xdr:rowOff>101600</xdr:rowOff>
    </xdr:to>
    <xdr:graphicFrame macro="">
      <xdr:nvGraphicFramePr>
        <xdr:cNvPr id="14" name="Chart 13">
          <a:extLst>
            <a:ext uri="{FF2B5EF4-FFF2-40B4-BE49-F238E27FC236}">
              <a16:creationId xmlns:a16="http://schemas.microsoft.com/office/drawing/2014/main" id="{00000000-0008-0000-15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260350</xdr:colOff>
      <xdr:row>193</xdr:row>
      <xdr:rowOff>19050</xdr:rowOff>
    </xdr:from>
    <xdr:to>
      <xdr:col>11</xdr:col>
      <xdr:colOff>965200</xdr:colOff>
      <xdr:row>227</xdr:row>
      <xdr:rowOff>38100</xdr:rowOff>
    </xdr:to>
    <xdr:graphicFrame macro="">
      <xdr:nvGraphicFramePr>
        <xdr:cNvPr id="15" name="Chart 14">
          <a:extLst>
            <a:ext uri="{FF2B5EF4-FFF2-40B4-BE49-F238E27FC236}">
              <a16:creationId xmlns:a16="http://schemas.microsoft.com/office/drawing/2014/main" id="{00000000-0008-0000-15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12706</xdr:colOff>
      <xdr:row>230</xdr:row>
      <xdr:rowOff>57150</xdr:rowOff>
    </xdr:from>
    <xdr:to>
      <xdr:col>11</xdr:col>
      <xdr:colOff>1016000</xdr:colOff>
      <xdr:row>263</xdr:row>
      <xdr:rowOff>76200</xdr:rowOff>
    </xdr:to>
    <xdr:graphicFrame macro="">
      <xdr:nvGraphicFramePr>
        <xdr:cNvPr id="16" name="Chart 15">
          <a:extLst>
            <a:ext uri="{FF2B5EF4-FFF2-40B4-BE49-F238E27FC236}">
              <a16:creationId xmlns:a16="http://schemas.microsoft.com/office/drawing/2014/main" id="{00000000-0008-0000-15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6</xdr:col>
      <xdr:colOff>57150</xdr:colOff>
      <xdr:row>129</xdr:row>
      <xdr:rowOff>38100</xdr:rowOff>
    </xdr:from>
    <xdr:to>
      <xdr:col>13</xdr:col>
      <xdr:colOff>333375</xdr:colOff>
      <xdr:row>129</xdr:row>
      <xdr:rowOff>66675</xdr:rowOff>
    </xdr:to>
    <xdr:cxnSp macro="">
      <xdr:nvCxnSpPr>
        <xdr:cNvPr id="10" name="Straight Arrow Connector 9">
          <a:extLst>
            <a:ext uri="{FF2B5EF4-FFF2-40B4-BE49-F238E27FC236}">
              <a16:creationId xmlns:a16="http://schemas.microsoft.com/office/drawing/2014/main" id="{00000000-0008-0000-1600-00000A000000}"/>
            </a:ext>
          </a:extLst>
        </xdr:cNvPr>
        <xdr:cNvCxnSpPr/>
      </xdr:nvCxnSpPr>
      <xdr:spPr>
        <a:xfrm flipH="1">
          <a:off x="7600950" y="6524625"/>
          <a:ext cx="6305550" cy="2857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28575</xdr:colOff>
      <xdr:row>4</xdr:row>
      <xdr:rowOff>85725</xdr:rowOff>
    </xdr:from>
    <xdr:to>
      <xdr:col>21</xdr:col>
      <xdr:colOff>628650</xdr:colOff>
      <xdr:row>23</xdr:row>
      <xdr:rowOff>128588</xdr:rowOff>
    </xdr:to>
    <xdr:graphicFrame macro="">
      <xdr:nvGraphicFramePr>
        <xdr:cNvPr id="3" name="Chart 2">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28575</xdr:colOff>
      <xdr:row>24</xdr:row>
      <xdr:rowOff>200025</xdr:rowOff>
    </xdr:from>
    <xdr:to>
      <xdr:col>21</xdr:col>
      <xdr:colOff>628650</xdr:colOff>
      <xdr:row>44</xdr:row>
      <xdr:rowOff>157163</xdr:rowOff>
    </xdr:to>
    <xdr:graphicFrame macro="">
      <xdr:nvGraphicFramePr>
        <xdr:cNvPr id="4" name="Chart 3">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6350</xdr:colOff>
      <xdr:row>142</xdr:row>
      <xdr:rowOff>6350</xdr:rowOff>
    </xdr:from>
    <xdr:to>
      <xdr:col>11</xdr:col>
      <xdr:colOff>1028700</xdr:colOff>
      <xdr:row>169</xdr:row>
      <xdr:rowOff>101600</xdr:rowOff>
    </xdr:to>
    <xdr:graphicFrame macro="">
      <xdr:nvGraphicFramePr>
        <xdr:cNvPr id="2" name="Chart 1">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260350</xdr:colOff>
      <xdr:row>174</xdr:row>
      <xdr:rowOff>19050</xdr:rowOff>
    </xdr:from>
    <xdr:to>
      <xdr:col>11</xdr:col>
      <xdr:colOff>965200</xdr:colOff>
      <xdr:row>208</xdr:row>
      <xdr:rowOff>38100</xdr:rowOff>
    </xdr:to>
    <xdr:graphicFrame macro="">
      <xdr:nvGraphicFramePr>
        <xdr:cNvPr id="3" name="Chart 2">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12706</xdr:colOff>
      <xdr:row>211</xdr:row>
      <xdr:rowOff>57150</xdr:rowOff>
    </xdr:from>
    <xdr:to>
      <xdr:col>11</xdr:col>
      <xdr:colOff>1016000</xdr:colOff>
      <xdr:row>244</xdr:row>
      <xdr:rowOff>76200</xdr:rowOff>
    </xdr:to>
    <xdr:graphicFrame macro="">
      <xdr:nvGraphicFramePr>
        <xdr:cNvPr id="4" name="Chart 3">
          <a:extLst>
            <a:ext uri="{FF2B5EF4-FFF2-40B4-BE49-F238E27FC236}">
              <a16:creationId xmlns:a16="http://schemas.microsoft.com/office/drawing/2014/main" id="{00000000-0008-0000-1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133350</xdr:colOff>
      <xdr:row>139</xdr:row>
      <xdr:rowOff>44450</xdr:rowOff>
    </xdr:from>
    <xdr:to>
      <xdr:col>12</xdr:col>
      <xdr:colOff>0</xdr:colOff>
      <xdr:row>172</xdr:row>
      <xdr:rowOff>38100</xdr:rowOff>
    </xdr:to>
    <xdr:graphicFrame macro="">
      <xdr:nvGraphicFramePr>
        <xdr:cNvPr id="5" name="Chart 4">
          <a:extLst>
            <a:ext uri="{FF2B5EF4-FFF2-40B4-BE49-F238E27FC236}">
              <a16:creationId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6350</xdr:colOff>
      <xdr:row>176</xdr:row>
      <xdr:rowOff>6350</xdr:rowOff>
    </xdr:from>
    <xdr:to>
      <xdr:col>11</xdr:col>
      <xdr:colOff>1028700</xdr:colOff>
      <xdr:row>203</xdr:row>
      <xdr:rowOff>101600</xdr:rowOff>
    </xdr:to>
    <xdr:graphicFrame macro="">
      <xdr:nvGraphicFramePr>
        <xdr:cNvPr id="6" name="Chart 5">
          <a:extLst>
            <a:ext uri="{FF2B5EF4-FFF2-40B4-BE49-F238E27FC236}">
              <a16:creationId xmlns:a16="http://schemas.microsoft.com/office/drawing/2014/main"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260350</xdr:colOff>
      <xdr:row>208</xdr:row>
      <xdr:rowOff>19050</xdr:rowOff>
    </xdr:from>
    <xdr:to>
      <xdr:col>11</xdr:col>
      <xdr:colOff>965200</xdr:colOff>
      <xdr:row>242</xdr:row>
      <xdr:rowOff>38100</xdr:rowOff>
    </xdr:to>
    <xdr:graphicFrame macro="">
      <xdr:nvGraphicFramePr>
        <xdr:cNvPr id="7" name="Chart 6">
          <a:extLst>
            <a:ext uri="{FF2B5EF4-FFF2-40B4-BE49-F238E27FC236}">
              <a16:creationId xmlns:a16="http://schemas.microsoft.com/office/drawing/2014/main" id="{00000000-0008-0000-1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12706</xdr:colOff>
      <xdr:row>245</xdr:row>
      <xdr:rowOff>57150</xdr:rowOff>
    </xdr:from>
    <xdr:to>
      <xdr:col>11</xdr:col>
      <xdr:colOff>1016000</xdr:colOff>
      <xdr:row>278</xdr:row>
      <xdr:rowOff>76200</xdr:rowOff>
    </xdr:to>
    <xdr:graphicFrame macro="">
      <xdr:nvGraphicFramePr>
        <xdr:cNvPr id="8" name="Chart 7">
          <a:extLst>
            <a:ext uri="{FF2B5EF4-FFF2-40B4-BE49-F238E27FC236}">
              <a16:creationId xmlns:a16="http://schemas.microsoft.com/office/drawing/2014/main" id="{00000000-0008-0000-1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190500</xdr:colOff>
      <xdr:row>90</xdr:row>
      <xdr:rowOff>25400</xdr:rowOff>
    </xdr:from>
    <xdr:to>
      <xdr:col>11</xdr:col>
      <xdr:colOff>914400</xdr:colOff>
      <xdr:row>121</xdr:row>
      <xdr:rowOff>127000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133350</xdr:colOff>
      <xdr:row>125</xdr:row>
      <xdr:rowOff>44450</xdr:rowOff>
    </xdr:from>
    <xdr:to>
      <xdr:col>12</xdr:col>
      <xdr:colOff>0</xdr:colOff>
      <xdr:row>158</xdr:row>
      <xdr:rowOff>38100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6350</xdr:colOff>
      <xdr:row>162</xdr:row>
      <xdr:rowOff>6350</xdr:rowOff>
    </xdr:from>
    <xdr:to>
      <xdr:col>11</xdr:col>
      <xdr:colOff>1028700</xdr:colOff>
      <xdr:row>189</xdr:row>
      <xdr:rowOff>101600</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260350</xdr:colOff>
      <xdr:row>194</xdr:row>
      <xdr:rowOff>19050</xdr:rowOff>
    </xdr:from>
    <xdr:to>
      <xdr:col>11</xdr:col>
      <xdr:colOff>965200</xdr:colOff>
      <xdr:row>228</xdr:row>
      <xdr:rowOff>38100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12706</xdr:colOff>
      <xdr:row>231</xdr:row>
      <xdr:rowOff>57150</xdr:rowOff>
    </xdr:from>
    <xdr:to>
      <xdr:col>11</xdr:col>
      <xdr:colOff>1016000</xdr:colOff>
      <xdr:row>264</xdr:row>
      <xdr:rowOff>76200</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14</xdr:col>
      <xdr:colOff>47625</xdr:colOff>
      <xdr:row>5</xdr:row>
      <xdr:rowOff>66675</xdr:rowOff>
    </xdr:from>
    <xdr:to>
      <xdr:col>21</xdr:col>
      <xdr:colOff>38100</xdr:colOff>
      <xdr:row>23</xdr:row>
      <xdr:rowOff>104775</xdr:rowOff>
    </xdr:to>
    <xdr:graphicFrame macro="">
      <xdr:nvGraphicFramePr>
        <xdr:cNvPr id="11" name="Chart 10">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47624</xdr:colOff>
      <xdr:row>24</xdr:row>
      <xdr:rowOff>9526</xdr:rowOff>
    </xdr:from>
    <xdr:to>
      <xdr:col>21</xdr:col>
      <xdr:colOff>28576</xdr:colOff>
      <xdr:row>41</xdr:row>
      <xdr:rowOff>142875</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76199</xdr:colOff>
      <xdr:row>42</xdr:row>
      <xdr:rowOff>28575</xdr:rowOff>
    </xdr:from>
    <xdr:to>
      <xdr:col>21</xdr:col>
      <xdr:colOff>85724</xdr:colOff>
      <xdr:row>59</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552450</xdr:colOff>
      <xdr:row>32</xdr:row>
      <xdr:rowOff>123825</xdr:rowOff>
    </xdr:from>
    <xdr:to>
      <xdr:col>19</xdr:col>
      <xdr:colOff>495299</xdr:colOff>
      <xdr:row>33</xdr:row>
      <xdr:rowOff>171450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7459325" y="6515100"/>
          <a:ext cx="2457449"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New computers; recruiting services</a:t>
          </a:r>
        </a:p>
      </xdr:txBody>
    </xdr:sp>
    <xdr:clientData/>
  </xdr:twoCellAnchor>
  <xdr:twoCellAnchor>
    <xdr:from>
      <xdr:col>17</xdr:col>
      <xdr:colOff>790575</xdr:colOff>
      <xdr:row>28</xdr:row>
      <xdr:rowOff>161925</xdr:rowOff>
    </xdr:from>
    <xdr:to>
      <xdr:col>18</xdr:col>
      <xdr:colOff>38099</xdr:colOff>
      <xdr:row>31</xdr:row>
      <xdr:rowOff>76200</xdr:rowOff>
    </xdr:to>
    <xdr:cxnSp macro="">
      <xdr:nvCxnSpPr>
        <xdr:cNvPr id="5" name="Straight Arrow Connector 4">
          <a:extLst>
            <a:ext uri="{FF2B5EF4-FFF2-40B4-BE49-F238E27FC236}">
              <a16:creationId xmlns:a16="http://schemas.microsoft.com/office/drawing/2014/main" id="{00000000-0008-0000-0300-000005000000}"/>
            </a:ext>
          </a:extLst>
        </xdr:cNvPr>
        <xdr:cNvCxnSpPr/>
      </xdr:nvCxnSpPr>
      <xdr:spPr>
        <a:xfrm flipH="1" flipV="1">
          <a:off x="18535650" y="5753100"/>
          <a:ext cx="85724" cy="5143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38100</xdr:colOff>
      <xdr:row>5</xdr:row>
      <xdr:rowOff>104775</xdr:rowOff>
    </xdr:from>
    <xdr:to>
      <xdr:col>21</xdr:col>
      <xdr:colOff>38100</xdr:colOff>
      <xdr:row>19</xdr:row>
      <xdr:rowOff>180975</xdr:rowOff>
    </xdr:to>
    <xdr:graphicFrame macro="">
      <xdr:nvGraphicFramePr>
        <xdr:cNvPr id="6" name="Chart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38100</xdr:colOff>
      <xdr:row>21</xdr:row>
      <xdr:rowOff>100012</xdr:rowOff>
    </xdr:from>
    <xdr:to>
      <xdr:col>21</xdr:col>
      <xdr:colOff>28575</xdr:colOff>
      <xdr:row>37</xdr:row>
      <xdr:rowOff>171449</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38100</xdr:colOff>
      <xdr:row>38</xdr:row>
      <xdr:rowOff>95249</xdr:rowOff>
    </xdr:from>
    <xdr:to>
      <xdr:col>21</xdr:col>
      <xdr:colOff>47625</xdr:colOff>
      <xdr:row>55</xdr:row>
      <xdr:rowOff>19050</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38100</xdr:colOff>
      <xdr:row>55</xdr:row>
      <xdr:rowOff>142874</xdr:rowOff>
    </xdr:from>
    <xdr:to>
      <xdr:col>21</xdr:col>
      <xdr:colOff>28575</xdr:colOff>
      <xdr:row>73</xdr:row>
      <xdr:rowOff>0</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542926</xdr:colOff>
      <xdr:row>7</xdr:row>
      <xdr:rowOff>66676</xdr:rowOff>
    </xdr:from>
    <xdr:to>
      <xdr:col>18</xdr:col>
      <xdr:colOff>723900</xdr:colOff>
      <xdr:row>8</xdr:row>
      <xdr:rowOff>123825</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17630776" y="1790701"/>
          <a:ext cx="1857374" cy="257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0" u="none" strike="noStrike">
              <a:solidFill>
                <a:schemeClr val="dk1"/>
              </a:solidFill>
              <a:effectLst/>
              <a:latin typeface="+mn-lt"/>
              <a:ea typeface="+mn-ea"/>
              <a:cs typeface="+mn-cs"/>
            </a:rPr>
            <a:t>Comm</a:t>
          </a:r>
          <a:r>
            <a:rPr lang="en-US" sz="1200" b="1" i="0" u="none" strike="noStrike" baseline="0">
              <a:solidFill>
                <a:schemeClr val="dk1"/>
              </a:solidFill>
              <a:effectLst/>
              <a:latin typeface="+mn-lt"/>
              <a:ea typeface="+mn-ea"/>
              <a:cs typeface="+mn-cs"/>
            </a:rPr>
            <a:t>. Partnership Reorg</a:t>
          </a:r>
          <a:endParaRPr lang="en-US" sz="1200" b="1"/>
        </a:p>
      </xdr:txBody>
    </xdr:sp>
    <xdr:clientData/>
  </xdr:twoCellAnchor>
  <xdr:twoCellAnchor>
    <xdr:from>
      <xdr:col>17</xdr:col>
      <xdr:colOff>133350</xdr:colOff>
      <xdr:row>25</xdr:row>
      <xdr:rowOff>38100</xdr:rowOff>
    </xdr:from>
    <xdr:to>
      <xdr:col>18</xdr:col>
      <xdr:colOff>495300</xdr:colOff>
      <xdr:row>26</xdr:row>
      <xdr:rowOff>95249</xdr:rowOff>
    </xdr:to>
    <xdr:sp macro="" textlink="">
      <xdr:nvSpPr>
        <xdr:cNvPr id="7" name="TextBox 6">
          <a:extLst>
            <a:ext uri="{FF2B5EF4-FFF2-40B4-BE49-F238E27FC236}">
              <a16:creationId xmlns:a16="http://schemas.microsoft.com/office/drawing/2014/main" id="{00000000-0008-0000-0400-000005000000}"/>
            </a:ext>
          </a:extLst>
        </xdr:cNvPr>
        <xdr:cNvSpPr txBox="1"/>
      </xdr:nvSpPr>
      <xdr:spPr>
        <a:xfrm>
          <a:off x="18059400" y="5581650"/>
          <a:ext cx="1200150" cy="257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0" u="none" strike="noStrike">
              <a:solidFill>
                <a:schemeClr val="dk1"/>
              </a:solidFill>
              <a:effectLst/>
              <a:latin typeface="+mn-lt"/>
              <a:ea typeface="+mn-ea"/>
              <a:cs typeface="+mn-cs"/>
            </a:rPr>
            <a:t>Additional</a:t>
          </a:r>
          <a:r>
            <a:rPr lang="en-US" sz="1200" b="1" i="0" u="none" strike="noStrike" baseline="0">
              <a:solidFill>
                <a:schemeClr val="dk1"/>
              </a:solidFill>
              <a:effectLst/>
              <a:latin typeface="+mn-lt"/>
              <a:ea typeface="+mn-ea"/>
              <a:cs typeface="+mn-cs"/>
            </a:rPr>
            <a:t> FTEs</a:t>
          </a:r>
          <a:r>
            <a:rPr lang="en-US" sz="1200" b="1"/>
            <a:t> </a:t>
          </a:r>
        </a:p>
      </xdr:txBody>
    </xdr:sp>
    <xdr:clientData/>
  </xdr:twoCellAnchor>
  <xdr:twoCellAnchor>
    <xdr:from>
      <xdr:col>18</xdr:col>
      <xdr:colOff>523875</xdr:colOff>
      <xdr:row>25</xdr:row>
      <xdr:rowOff>114300</xdr:rowOff>
    </xdr:from>
    <xdr:to>
      <xdr:col>19</xdr:col>
      <xdr:colOff>580982</xdr:colOff>
      <xdr:row>25</xdr:row>
      <xdr:rowOff>155890</xdr:rowOff>
    </xdr:to>
    <xdr:cxnSp macro="">
      <xdr:nvCxnSpPr>
        <xdr:cNvPr id="8" name="Straight Arrow Connector 7">
          <a:extLst>
            <a:ext uri="{FF2B5EF4-FFF2-40B4-BE49-F238E27FC236}">
              <a16:creationId xmlns:a16="http://schemas.microsoft.com/office/drawing/2014/main" id="{457A52C0-0E16-4342-B60E-9F3F65D186CF}"/>
            </a:ext>
          </a:extLst>
        </xdr:cNvPr>
        <xdr:cNvCxnSpPr/>
      </xdr:nvCxnSpPr>
      <xdr:spPr>
        <a:xfrm flipV="1">
          <a:off x="19288125" y="5657850"/>
          <a:ext cx="895307" cy="4159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6.xml><?xml version="1.0" encoding="utf-8"?>
<c:userShapes xmlns:c="http://schemas.openxmlformats.org/drawingml/2006/chart">
  <cdr:relSizeAnchor xmlns:cdr="http://schemas.openxmlformats.org/drawingml/2006/chartDrawing">
    <cdr:from>
      <cdr:x>0.68994</cdr:x>
      <cdr:y>0.21338</cdr:y>
    </cdr:from>
    <cdr:to>
      <cdr:x>0.84253</cdr:x>
      <cdr:y>0.22611</cdr:y>
    </cdr:to>
    <cdr:cxnSp macro="">
      <cdr:nvCxnSpPr>
        <cdr:cNvPr id="3" name="Straight Arrow Connector 2">
          <a:extLst xmlns:a="http://schemas.openxmlformats.org/drawingml/2006/main">
            <a:ext uri="{FF2B5EF4-FFF2-40B4-BE49-F238E27FC236}">
              <a16:creationId xmlns:a16="http://schemas.microsoft.com/office/drawing/2014/main" id="{457A52C0-0E16-4342-B60E-9F3F65D186CF}"/>
            </a:ext>
          </a:extLst>
        </cdr:cNvPr>
        <cdr:cNvCxnSpPr/>
      </cdr:nvCxnSpPr>
      <cdr:spPr>
        <a:xfrm xmlns:a="http://schemas.openxmlformats.org/drawingml/2006/main" flipV="1">
          <a:off x="4048125" y="638175"/>
          <a:ext cx="895350" cy="38100"/>
        </a:xfrm>
        <a:prstGeom xmlns:a="http://schemas.openxmlformats.org/drawingml/2006/main" prst="straightConnector1">
          <a:avLst/>
        </a:prstGeom>
        <a:ln xmlns:a="http://schemas.openxmlformats.org/drawingml/2006/main">
          <a:solidFill>
            <a:srgbClr val="FF0000"/>
          </a:solidFill>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twoCellAnchor>
    <xdr:from>
      <xdr:col>14</xdr:col>
      <xdr:colOff>19050</xdr:colOff>
      <xdr:row>26</xdr:row>
      <xdr:rowOff>152400</xdr:rowOff>
    </xdr:from>
    <xdr:to>
      <xdr:col>22</xdr:col>
      <xdr:colOff>9526</xdr:colOff>
      <xdr:row>44</xdr:row>
      <xdr:rowOff>9525</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28574</xdr:colOff>
      <xdr:row>5</xdr:row>
      <xdr:rowOff>76200</xdr:rowOff>
    </xdr:from>
    <xdr:to>
      <xdr:col>21</xdr:col>
      <xdr:colOff>838199</xdr:colOff>
      <xdr:row>26</xdr:row>
      <xdr:rowOff>9525</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9524</xdr:colOff>
      <xdr:row>44</xdr:row>
      <xdr:rowOff>133350</xdr:rowOff>
    </xdr:from>
    <xdr:to>
      <xdr:col>22</xdr:col>
      <xdr:colOff>38099</xdr:colOff>
      <xdr:row>62</xdr:row>
      <xdr:rowOff>142875</xdr:rowOff>
    </xdr:to>
    <xdr:graphicFrame macro="">
      <xdr:nvGraphicFramePr>
        <xdr:cNvPr id="6" name="Chart 5">
          <a:extLst>
            <a:ext uri="{FF2B5EF4-FFF2-40B4-BE49-F238E27FC236}">
              <a16:creationId xmlns:a16="http://schemas.microsoft.com/office/drawing/2014/main" id="{00000000-0008-0000-05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19049</xdr:colOff>
      <xdr:row>63</xdr:row>
      <xdr:rowOff>180975</xdr:rowOff>
    </xdr:from>
    <xdr:to>
      <xdr:col>22</xdr:col>
      <xdr:colOff>9524</xdr:colOff>
      <xdr:row>82</xdr:row>
      <xdr:rowOff>19050</xdr:rowOff>
    </xdr:to>
    <xdr:graphicFrame macro="">
      <xdr:nvGraphicFramePr>
        <xdr:cNvPr id="7" name="Chart 6">
          <a:extLst>
            <a:ext uri="{FF2B5EF4-FFF2-40B4-BE49-F238E27FC236}">
              <a16:creationId xmlns:a16="http://schemas.microsoft.com/office/drawing/2014/main" id="{00000000-0008-0000-05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28576</xdr:colOff>
      <xdr:row>7</xdr:row>
      <xdr:rowOff>180975</xdr:rowOff>
    </xdr:from>
    <xdr:to>
      <xdr:col>19</xdr:col>
      <xdr:colOff>171450</xdr:colOff>
      <xdr:row>9</xdr:row>
      <xdr:rowOff>104775</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7125951" y="1704975"/>
          <a:ext cx="2657474"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Community Engagement move to CMO</a:t>
          </a:r>
        </a:p>
      </xdr:txBody>
    </xdr:sp>
    <xdr:clientData/>
  </xdr:twoCellAnchor>
  <xdr:twoCellAnchor>
    <xdr:from>
      <xdr:col>19</xdr:col>
      <xdr:colOff>285750</xdr:colOff>
      <xdr:row>8</xdr:row>
      <xdr:rowOff>171450</xdr:rowOff>
    </xdr:from>
    <xdr:to>
      <xdr:col>20</xdr:col>
      <xdr:colOff>609600</xdr:colOff>
      <xdr:row>9</xdr:row>
      <xdr:rowOff>152400</xdr:rowOff>
    </xdr:to>
    <xdr:cxnSp macro="">
      <xdr:nvCxnSpPr>
        <xdr:cNvPr id="10" name="Straight Arrow Connector 9">
          <a:extLst>
            <a:ext uri="{FF2B5EF4-FFF2-40B4-BE49-F238E27FC236}">
              <a16:creationId xmlns:a16="http://schemas.microsoft.com/office/drawing/2014/main" id="{00000000-0008-0000-0500-00000A000000}"/>
            </a:ext>
          </a:extLst>
        </xdr:cNvPr>
        <xdr:cNvCxnSpPr/>
      </xdr:nvCxnSpPr>
      <xdr:spPr>
        <a:xfrm>
          <a:off x="19897725" y="1895475"/>
          <a:ext cx="1162050" cy="18097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38099</xdr:colOff>
      <xdr:row>4</xdr:row>
      <xdr:rowOff>171451</xdr:rowOff>
    </xdr:from>
    <xdr:to>
      <xdr:col>22</xdr:col>
      <xdr:colOff>9524</xdr:colOff>
      <xdr:row>22</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38100</xdr:colOff>
      <xdr:row>42</xdr:row>
      <xdr:rowOff>57150</xdr:rowOff>
    </xdr:from>
    <xdr:to>
      <xdr:col>22</xdr:col>
      <xdr:colOff>19050</xdr:colOff>
      <xdr:row>60</xdr:row>
      <xdr:rowOff>171450</xdr:rowOff>
    </xdr:to>
    <xdr:graphicFrame macro="">
      <xdr:nvGraphicFramePr>
        <xdr:cNvPr id="6" name="Chart 5">
          <a:extLst>
            <a:ext uri="{FF2B5EF4-FFF2-40B4-BE49-F238E27FC236}">
              <a16:creationId xmlns:a16="http://schemas.microsoft.com/office/drawing/2014/main" id="{00000000-0008-0000-0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28574</xdr:colOff>
      <xdr:row>61</xdr:row>
      <xdr:rowOff>114300</xdr:rowOff>
    </xdr:from>
    <xdr:to>
      <xdr:col>22</xdr:col>
      <xdr:colOff>28575</xdr:colOff>
      <xdr:row>81</xdr:row>
      <xdr:rowOff>0</xdr:rowOff>
    </xdr:to>
    <xdr:graphicFrame macro="">
      <xdr:nvGraphicFramePr>
        <xdr:cNvPr id="7" name="Chart 6">
          <a:extLst>
            <a:ext uri="{FF2B5EF4-FFF2-40B4-BE49-F238E27FC236}">
              <a16:creationId xmlns:a16="http://schemas.microsoft.com/office/drawing/2014/main" id="{00000000-0008-0000-0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1057274</xdr:colOff>
      <xdr:row>22</xdr:row>
      <xdr:rowOff>161925</xdr:rowOff>
    </xdr:from>
    <xdr:to>
      <xdr:col>21</xdr:col>
      <xdr:colOff>819150</xdr:colOff>
      <xdr:row>40</xdr:row>
      <xdr:rowOff>190500</xdr:rowOff>
    </xdr:to>
    <xdr:graphicFrame macro="">
      <xdr:nvGraphicFramePr>
        <xdr:cNvPr id="10" name="Chart 9">
          <a:extLst>
            <a:ext uri="{FF2B5EF4-FFF2-40B4-BE49-F238E27FC236}">
              <a16:creationId xmlns:a16="http://schemas.microsoft.com/office/drawing/2014/main" id="{00000000-0008-0000-06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695325</xdr:colOff>
      <xdr:row>8</xdr:row>
      <xdr:rowOff>190500</xdr:rowOff>
    </xdr:from>
    <xdr:to>
      <xdr:col>19</xdr:col>
      <xdr:colOff>276225</xdr:colOff>
      <xdr:row>10</xdr:row>
      <xdr:rowOff>114300</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8630900" y="1914525"/>
          <a:ext cx="125730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Cost Allocations</a:t>
          </a:r>
        </a:p>
      </xdr:txBody>
    </xdr:sp>
    <xdr:clientData/>
  </xdr:twoCellAnchor>
  <xdr:twoCellAnchor>
    <xdr:from>
      <xdr:col>19</xdr:col>
      <xdr:colOff>285750</xdr:colOff>
      <xdr:row>8</xdr:row>
      <xdr:rowOff>114300</xdr:rowOff>
    </xdr:from>
    <xdr:to>
      <xdr:col>20</xdr:col>
      <xdr:colOff>485775</xdr:colOff>
      <xdr:row>9</xdr:row>
      <xdr:rowOff>95250</xdr:rowOff>
    </xdr:to>
    <xdr:cxnSp macro="">
      <xdr:nvCxnSpPr>
        <xdr:cNvPr id="9" name="Straight Arrow Connector 8">
          <a:extLst>
            <a:ext uri="{FF2B5EF4-FFF2-40B4-BE49-F238E27FC236}">
              <a16:creationId xmlns:a16="http://schemas.microsoft.com/office/drawing/2014/main" id="{00000000-0008-0000-0500-00000A000000}"/>
            </a:ext>
          </a:extLst>
        </xdr:cNvPr>
        <xdr:cNvCxnSpPr/>
      </xdr:nvCxnSpPr>
      <xdr:spPr>
        <a:xfrm flipV="1">
          <a:off x="19897725" y="1838325"/>
          <a:ext cx="1038225" cy="18097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47625</xdr:colOff>
      <xdr:row>4</xdr:row>
      <xdr:rowOff>123825</xdr:rowOff>
    </xdr:from>
    <xdr:to>
      <xdr:col>22</xdr:col>
      <xdr:colOff>1</xdr:colOff>
      <xdr:row>21</xdr:row>
      <xdr:rowOff>57150</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76199</xdr:colOff>
      <xdr:row>22</xdr:row>
      <xdr:rowOff>76199</xdr:rowOff>
    </xdr:from>
    <xdr:to>
      <xdr:col>22</xdr:col>
      <xdr:colOff>38100</xdr:colOff>
      <xdr:row>41</xdr:row>
      <xdr:rowOff>38100</xdr:rowOff>
    </xdr:to>
    <xdr:graphicFrame macro="">
      <xdr:nvGraphicFramePr>
        <xdr:cNvPr id="6" name="Chart 5">
          <a:extLst>
            <a:ext uri="{FF2B5EF4-FFF2-40B4-BE49-F238E27FC236}">
              <a16:creationId xmlns:a16="http://schemas.microsoft.com/office/drawing/2014/main" id="{00000000-0008-0000-0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57150</xdr:colOff>
      <xdr:row>41</xdr:row>
      <xdr:rowOff>152399</xdr:rowOff>
    </xdr:from>
    <xdr:to>
      <xdr:col>22</xdr:col>
      <xdr:colOff>38100</xdr:colOff>
      <xdr:row>62</xdr:row>
      <xdr:rowOff>57150</xdr:rowOff>
    </xdr:to>
    <xdr:graphicFrame macro="">
      <xdr:nvGraphicFramePr>
        <xdr:cNvPr id="7" name="Chart 6">
          <a:extLst>
            <a:ext uri="{FF2B5EF4-FFF2-40B4-BE49-F238E27FC236}">
              <a16:creationId xmlns:a16="http://schemas.microsoft.com/office/drawing/2014/main" id="{00000000-0008-0000-07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57149</xdr:colOff>
      <xdr:row>63</xdr:row>
      <xdr:rowOff>28573</xdr:rowOff>
    </xdr:from>
    <xdr:to>
      <xdr:col>22</xdr:col>
      <xdr:colOff>47624</xdr:colOff>
      <xdr:row>82</xdr:row>
      <xdr:rowOff>180975</xdr:rowOff>
    </xdr:to>
    <xdr:graphicFrame macro="">
      <xdr:nvGraphicFramePr>
        <xdr:cNvPr id="8" name="Chart 7">
          <a:extLst>
            <a:ext uri="{FF2B5EF4-FFF2-40B4-BE49-F238E27FC236}">
              <a16:creationId xmlns:a16="http://schemas.microsoft.com/office/drawing/2014/main" id="{00000000-0008-0000-07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190500</xdr:colOff>
      <xdr:row>9</xdr:row>
      <xdr:rowOff>38100</xdr:rowOff>
    </xdr:from>
    <xdr:to>
      <xdr:col>19</xdr:col>
      <xdr:colOff>476250</xdr:colOff>
      <xdr:row>9</xdr:row>
      <xdr:rowOff>104775</xdr:rowOff>
    </xdr:to>
    <xdr:cxnSp macro="">
      <xdr:nvCxnSpPr>
        <xdr:cNvPr id="9" name="Straight Arrow Connector 8">
          <a:extLst>
            <a:ext uri="{FF2B5EF4-FFF2-40B4-BE49-F238E27FC236}">
              <a16:creationId xmlns:a16="http://schemas.microsoft.com/office/drawing/2014/main" id="{00000000-0008-0000-0500-00000A000000}"/>
            </a:ext>
          </a:extLst>
        </xdr:cNvPr>
        <xdr:cNvCxnSpPr/>
      </xdr:nvCxnSpPr>
      <xdr:spPr>
        <a:xfrm>
          <a:off x="18964275" y="1924050"/>
          <a:ext cx="1123950" cy="6667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533399</xdr:colOff>
      <xdr:row>8</xdr:row>
      <xdr:rowOff>0</xdr:rowOff>
    </xdr:from>
    <xdr:to>
      <xdr:col>18</xdr:col>
      <xdr:colOff>123824</xdr:colOff>
      <xdr:row>11</xdr:row>
      <xdr:rowOff>95250</xdr:rowOff>
    </xdr:to>
    <xdr:sp macro="" textlink="">
      <xdr:nvSpPr>
        <xdr:cNvPr id="10" name="TextBox 9">
          <a:extLst>
            <a:ext uri="{FF2B5EF4-FFF2-40B4-BE49-F238E27FC236}">
              <a16:creationId xmlns:a16="http://schemas.microsoft.com/office/drawing/2014/main" id="{00000000-0008-0000-0500-000008000000}"/>
            </a:ext>
          </a:extLst>
        </xdr:cNvPr>
        <xdr:cNvSpPr txBox="1"/>
      </xdr:nvSpPr>
      <xdr:spPr>
        <a:xfrm>
          <a:off x="17630774" y="1685925"/>
          <a:ext cx="1266825" cy="70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Shift of</a:t>
          </a:r>
          <a:r>
            <a:rPr lang="en-US" sz="1200" b="1" baseline="0"/>
            <a:t> Traffic Violations to Muni Court</a:t>
          </a:r>
          <a:endParaRPr lang="en-US" sz="12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8.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9.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5.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6.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7.xml"/><Relationship Id="rId1" Type="http://schemas.openxmlformats.org/officeDocument/2006/relationships/printerSettings" Target="../printerSettings/printerSettings10.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8.xml"/><Relationship Id="rId1" Type="http://schemas.openxmlformats.org/officeDocument/2006/relationships/printerSettings" Target="../printerSettings/printerSettings11.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9.xml"/><Relationship Id="rId1" Type="http://schemas.openxmlformats.org/officeDocument/2006/relationships/printerSettings" Target="../printerSettings/printerSettings12.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1.xml"/><Relationship Id="rId1" Type="http://schemas.openxmlformats.org/officeDocument/2006/relationships/printerSettings" Target="../printerSettings/printerSettings13.bin"/><Relationship Id="rId4" Type="http://schemas.openxmlformats.org/officeDocument/2006/relationships/comments" Target="../comments1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3.xml"/><Relationship Id="rId1" Type="http://schemas.openxmlformats.org/officeDocument/2006/relationships/printerSettings" Target="../printerSettings/printerSettings14.bin"/><Relationship Id="rId4" Type="http://schemas.openxmlformats.org/officeDocument/2006/relationships/comments" Target="../comments18.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4.xml"/><Relationship Id="rId1" Type="http://schemas.openxmlformats.org/officeDocument/2006/relationships/printerSettings" Target="../printerSettings/printerSettings15.bin"/><Relationship Id="rId4" Type="http://schemas.openxmlformats.org/officeDocument/2006/relationships/comments" Target="../comments1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5.xml"/><Relationship Id="rId1" Type="http://schemas.openxmlformats.org/officeDocument/2006/relationships/printerSettings" Target="../printerSettings/printerSettings16.bin"/><Relationship Id="rId4" Type="http://schemas.openxmlformats.org/officeDocument/2006/relationships/comments" Target="../comments20.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6.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8.xml"/><Relationship Id="rId1" Type="http://schemas.openxmlformats.org/officeDocument/2006/relationships/printerSettings" Target="../printerSettings/printerSettings19.bin"/><Relationship Id="rId4" Type="http://schemas.openxmlformats.org/officeDocument/2006/relationships/comments" Target="../comments23.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0"/>
  <sheetViews>
    <sheetView workbookViewId="0">
      <selection activeCell="H18" sqref="H18"/>
    </sheetView>
  </sheetViews>
  <sheetFormatPr defaultRowHeight="15.75" x14ac:dyDescent="0.25"/>
  <sheetData>
    <row r="1" spans="1:1" x14ac:dyDescent="0.25">
      <c r="A1" s="9" t="s">
        <v>192</v>
      </c>
    </row>
    <row r="2" spans="1:1" x14ac:dyDescent="0.25">
      <c r="A2" s="39" t="s">
        <v>272</v>
      </c>
    </row>
    <row r="4" spans="1:1" x14ac:dyDescent="0.25">
      <c r="A4" s="9" t="s">
        <v>195</v>
      </c>
    </row>
    <row r="5" spans="1:1" x14ac:dyDescent="0.25">
      <c r="A5" s="39" t="s">
        <v>193</v>
      </c>
    </row>
    <row r="6" spans="1:1" x14ac:dyDescent="0.25">
      <c r="A6" s="39" t="s">
        <v>194</v>
      </c>
    </row>
    <row r="7" spans="1:1" s="278" customFormat="1" x14ac:dyDescent="0.25">
      <c r="A7" s="39" t="s">
        <v>230</v>
      </c>
    </row>
    <row r="9" spans="1:1" x14ac:dyDescent="0.25">
      <c r="A9" s="9" t="s">
        <v>225</v>
      </c>
    </row>
    <row r="10" spans="1:1" x14ac:dyDescent="0.25">
      <c r="A10" s="39" t="s">
        <v>327</v>
      </c>
    </row>
    <row r="12" spans="1:1" x14ac:dyDescent="0.25">
      <c r="A12" s="9" t="s">
        <v>196</v>
      </c>
    </row>
    <row r="13" spans="1:1" x14ac:dyDescent="0.25">
      <c r="A13" s="39" t="s">
        <v>197</v>
      </c>
    </row>
    <row r="15" spans="1:1" x14ac:dyDescent="0.25">
      <c r="A15" s="9" t="s">
        <v>198</v>
      </c>
    </row>
    <row r="16" spans="1:1" x14ac:dyDescent="0.25">
      <c r="A16" s="39" t="s">
        <v>211</v>
      </c>
    </row>
    <row r="18" spans="1:1" x14ac:dyDescent="0.25">
      <c r="A18" s="9" t="s">
        <v>199</v>
      </c>
    </row>
    <row r="19" spans="1:1" x14ac:dyDescent="0.25">
      <c r="A19" s="39" t="s">
        <v>247</v>
      </c>
    </row>
    <row r="21" spans="1:1" x14ac:dyDescent="0.25">
      <c r="A21" s="9" t="s">
        <v>203</v>
      </c>
    </row>
    <row r="22" spans="1:1" x14ac:dyDescent="0.25">
      <c r="A22" s="39" t="s">
        <v>273</v>
      </c>
    </row>
    <row r="24" spans="1:1" x14ac:dyDescent="0.25">
      <c r="A24" s="9" t="s">
        <v>204</v>
      </c>
    </row>
    <row r="25" spans="1:1" x14ac:dyDescent="0.25">
      <c r="A25" s="39" t="s">
        <v>246</v>
      </c>
    </row>
    <row r="27" spans="1:1" x14ac:dyDescent="0.25">
      <c r="A27" s="9" t="s">
        <v>212</v>
      </c>
    </row>
    <row r="28" spans="1:1" x14ac:dyDescent="0.25">
      <c r="A28" s="39" t="s">
        <v>244</v>
      </c>
    </row>
    <row r="30" spans="1:1" x14ac:dyDescent="0.25">
      <c r="A30" s="292" t="s">
        <v>231</v>
      </c>
    </row>
    <row r="31" spans="1:1" x14ac:dyDescent="0.25">
      <c r="A31" s="39" t="s">
        <v>234</v>
      </c>
    </row>
    <row r="32" spans="1:1" x14ac:dyDescent="0.25">
      <c r="A32" s="39" t="s">
        <v>226</v>
      </c>
    </row>
    <row r="33" spans="1:1" x14ac:dyDescent="0.25">
      <c r="A33" s="39" t="s">
        <v>227</v>
      </c>
    </row>
    <row r="35" spans="1:1" x14ac:dyDescent="0.25">
      <c r="A35" s="9" t="s">
        <v>228</v>
      </c>
    </row>
    <row r="36" spans="1:1" x14ac:dyDescent="0.25">
      <c r="A36" s="39" t="s">
        <v>229</v>
      </c>
    </row>
    <row r="38" spans="1:1" x14ac:dyDescent="0.25">
      <c r="A38" s="292" t="s">
        <v>232</v>
      </c>
    </row>
    <row r="39" spans="1:1" x14ac:dyDescent="0.25">
      <c r="A39" s="39" t="s">
        <v>233</v>
      </c>
    </row>
    <row r="41" spans="1:1" x14ac:dyDescent="0.25">
      <c r="A41" s="9" t="s">
        <v>235</v>
      </c>
    </row>
    <row r="42" spans="1:1" x14ac:dyDescent="0.25">
      <c r="A42" s="39" t="s">
        <v>236</v>
      </c>
    </row>
    <row r="44" spans="1:1" x14ac:dyDescent="0.25">
      <c r="A44" s="292" t="s">
        <v>237</v>
      </c>
    </row>
    <row r="45" spans="1:1" x14ac:dyDescent="0.25">
      <c r="A45" s="39" t="s">
        <v>242</v>
      </c>
    </row>
    <row r="46" spans="1:1" x14ac:dyDescent="0.25">
      <c r="A46" s="39" t="s">
        <v>243</v>
      </c>
    </row>
    <row r="47" spans="1:1" s="278" customFormat="1" x14ac:dyDescent="0.25"/>
    <row r="48" spans="1:1" x14ac:dyDescent="0.25">
      <c r="A48" s="9" t="s">
        <v>239</v>
      </c>
    </row>
    <row r="49" spans="1:2" x14ac:dyDescent="0.25">
      <c r="A49" s="271" t="s">
        <v>274</v>
      </c>
    </row>
    <row r="50" spans="1:2" x14ac:dyDescent="0.25">
      <c r="A50" s="19"/>
      <c r="B50" s="19"/>
    </row>
    <row r="51" spans="1:2" x14ac:dyDescent="0.25">
      <c r="A51" s="9" t="s">
        <v>245</v>
      </c>
    </row>
    <row r="52" spans="1:2" x14ac:dyDescent="0.25">
      <c r="A52" s="39" t="s">
        <v>275</v>
      </c>
    </row>
    <row r="54" spans="1:2" x14ac:dyDescent="0.25">
      <c r="A54" s="292" t="s">
        <v>254</v>
      </c>
    </row>
    <row r="55" spans="1:2" x14ac:dyDescent="0.25">
      <c r="A55" s="39" t="s">
        <v>255</v>
      </c>
    </row>
    <row r="56" spans="1:2" s="278" customFormat="1" x14ac:dyDescent="0.25">
      <c r="A56" s="39" t="s">
        <v>256</v>
      </c>
    </row>
    <row r="58" spans="1:2" x14ac:dyDescent="0.25">
      <c r="A58" s="9" t="s">
        <v>249</v>
      </c>
    </row>
    <row r="59" spans="1:2" x14ac:dyDescent="0.25">
      <c r="A59" s="39" t="s">
        <v>250</v>
      </c>
    </row>
    <row r="61" spans="1:2" x14ac:dyDescent="0.25">
      <c r="A61" s="9" t="s">
        <v>251</v>
      </c>
    </row>
    <row r="62" spans="1:2" x14ac:dyDescent="0.25">
      <c r="A62" s="39" t="s">
        <v>276</v>
      </c>
    </row>
    <row r="64" spans="1:2" x14ac:dyDescent="0.25">
      <c r="A64" s="292" t="s">
        <v>257</v>
      </c>
    </row>
    <row r="65" spans="1:1" x14ac:dyDescent="0.25">
      <c r="A65" s="39" t="s">
        <v>258</v>
      </c>
    </row>
    <row r="67" spans="1:1" x14ac:dyDescent="0.25">
      <c r="A67" s="292" t="s">
        <v>259</v>
      </c>
    </row>
    <row r="68" spans="1:1" x14ac:dyDescent="0.25">
      <c r="A68" s="39" t="s">
        <v>261</v>
      </c>
    </row>
    <row r="69" spans="1:1" x14ac:dyDescent="0.25">
      <c r="A69" s="39" t="s">
        <v>260</v>
      </c>
    </row>
    <row r="71" spans="1:1" x14ac:dyDescent="0.25">
      <c r="A71" s="292" t="s">
        <v>262</v>
      </c>
    </row>
    <row r="72" spans="1:1" x14ac:dyDescent="0.25">
      <c r="A72" s="39" t="s">
        <v>263</v>
      </c>
    </row>
    <row r="74" spans="1:1" x14ac:dyDescent="0.25">
      <c r="A74" s="292" t="s">
        <v>264</v>
      </c>
    </row>
    <row r="75" spans="1:1" x14ac:dyDescent="0.25">
      <c r="A75" s="39" t="s">
        <v>265</v>
      </c>
    </row>
    <row r="76" spans="1:1" s="278" customFormat="1" x14ac:dyDescent="0.25">
      <c r="A76" s="39" t="s">
        <v>270</v>
      </c>
    </row>
    <row r="77" spans="1:1" s="278" customFormat="1" x14ac:dyDescent="0.25">
      <c r="A77" s="39" t="s">
        <v>277</v>
      </c>
    </row>
    <row r="79" spans="1:1" x14ac:dyDescent="0.25">
      <c r="A79" s="9" t="s">
        <v>266</v>
      </c>
    </row>
    <row r="80" spans="1:1" x14ac:dyDescent="0.25">
      <c r="A80" s="39" t="s">
        <v>267</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Z1070"/>
  <sheetViews>
    <sheetView workbookViewId="0">
      <pane ySplit="4" topLeftCell="A5" activePane="bottomLeft" state="frozen"/>
      <selection pane="bottomLeft" activeCell="V33" sqref="V33"/>
    </sheetView>
  </sheetViews>
  <sheetFormatPr defaultColWidth="11" defaultRowHeight="15.75" x14ac:dyDescent="0.25"/>
  <cols>
    <col min="1" max="1" width="31.25" customWidth="1"/>
    <col min="2" max="2" width="15.125" bestFit="1" customWidth="1"/>
    <col min="3" max="9" width="12.5" bestFit="1" customWidth="1"/>
    <col min="10" max="12" width="13.875" customWidth="1"/>
    <col min="13" max="13" width="15.125" hidden="1" customWidth="1"/>
    <col min="14" max="14" width="11" style="124"/>
    <col min="22" max="22" width="52.375" customWidth="1"/>
    <col min="27" max="27" width="23.25" customWidth="1"/>
  </cols>
  <sheetData>
    <row r="1" spans="1:26" ht="18.75" x14ac:dyDescent="0.3">
      <c r="A1" s="36" t="s">
        <v>46</v>
      </c>
      <c r="F1" s="1020" t="s">
        <v>339</v>
      </c>
      <c r="G1" s="1020"/>
      <c r="H1" s="1020"/>
      <c r="J1" s="357"/>
      <c r="L1" s="357"/>
      <c r="M1" s="357"/>
    </row>
    <row r="2" spans="1:26" x14ac:dyDescent="0.25">
      <c r="A2" s="2"/>
    </row>
    <row r="3" spans="1:26" x14ac:dyDescent="0.25">
      <c r="A3" s="2"/>
      <c r="B3" s="435" t="s">
        <v>58</v>
      </c>
      <c r="C3" s="360" t="s">
        <v>58</v>
      </c>
      <c r="D3" s="360" t="s">
        <v>58</v>
      </c>
      <c r="E3" s="360" t="s">
        <v>58</v>
      </c>
      <c r="F3" s="360" t="s">
        <v>58</v>
      </c>
      <c r="G3" s="360" t="s">
        <v>58</v>
      </c>
      <c r="H3" s="360" t="s">
        <v>58</v>
      </c>
      <c r="I3" s="360" t="s">
        <v>58</v>
      </c>
      <c r="J3" s="436" t="s">
        <v>58</v>
      </c>
      <c r="K3" s="435" t="s">
        <v>58</v>
      </c>
      <c r="L3" s="441" t="s">
        <v>58</v>
      </c>
      <c r="M3" s="360" t="s">
        <v>58</v>
      </c>
    </row>
    <row r="4" spans="1:26" x14ac:dyDescent="0.25">
      <c r="A4" s="2"/>
      <c r="B4" s="437" t="s">
        <v>55</v>
      </c>
      <c r="C4" s="205" t="s">
        <v>55</v>
      </c>
      <c r="D4" s="205" t="s">
        <v>55</v>
      </c>
      <c r="E4" s="205" t="s">
        <v>55</v>
      </c>
      <c r="F4" s="205" t="s">
        <v>55</v>
      </c>
      <c r="G4" s="205" t="s">
        <v>55</v>
      </c>
      <c r="H4" s="205" t="s">
        <v>55</v>
      </c>
      <c r="I4" s="205" t="s">
        <v>55</v>
      </c>
      <c r="J4" s="438" t="s">
        <v>55</v>
      </c>
      <c r="K4" s="437" t="s">
        <v>151</v>
      </c>
      <c r="L4" s="442" t="s">
        <v>56</v>
      </c>
      <c r="M4" s="205" t="s">
        <v>253</v>
      </c>
    </row>
    <row r="5" spans="1:26" ht="16.5" thickBot="1" x14ac:dyDescent="0.3">
      <c r="A5" s="2"/>
      <c r="B5" s="439">
        <v>2009</v>
      </c>
      <c r="C5" s="367">
        <v>2010</v>
      </c>
      <c r="D5" s="367">
        <v>2011</v>
      </c>
      <c r="E5" s="367">
        <v>2012</v>
      </c>
      <c r="F5" s="367">
        <v>2013</v>
      </c>
      <c r="G5" s="367">
        <v>2014</v>
      </c>
      <c r="H5" s="367">
        <v>2015</v>
      </c>
      <c r="I5" s="367">
        <v>2016</v>
      </c>
      <c r="J5" s="440">
        <v>2017</v>
      </c>
      <c r="K5" s="439">
        <v>2018</v>
      </c>
      <c r="L5" s="456">
        <v>2019</v>
      </c>
      <c r="M5" s="367">
        <v>2018</v>
      </c>
    </row>
    <row r="6" spans="1:26" s="278" customFormat="1" ht="18.75" x14ac:dyDescent="0.3">
      <c r="A6" s="850" t="s">
        <v>333</v>
      </c>
      <c r="B6" s="378"/>
      <c r="C6" s="371"/>
      <c r="D6" s="371"/>
      <c r="E6" s="371"/>
      <c r="F6" s="371"/>
      <c r="G6" s="371"/>
      <c r="H6" s="371"/>
      <c r="I6" s="371"/>
      <c r="J6" s="379"/>
      <c r="K6" s="463"/>
      <c r="L6" s="464"/>
      <c r="M6" s="379"/>
      <c r="N6" s="126"/>
    </row>
    <row r="7" spans="1:26" ht="19.5" customHeight="1" x14ac:dyDescent="0.25">
      <c r="A7" s="851" t="s">
        <v>92</v>
      </c>
      <c r="B7" s="380">
        <v>0</v>
      </c>
      <c r="C7" s="315">
        <v>0</v>
      </c>
      <c r="D7" s="315">
        <v>31395</v>
      </c>
      <c r="E7" s="315">
        <v>45784</v>
      </c>
      <c r="F7" s="315">
        <f>44049+122310+165878</f>
        <v>332237</v>
      </c>
      <c r="G7" s="315">
        <f>39065+141192</f>
        <v>180257</v>
      </c>
      <c r="H7" s="315">
        <f>52501+10+141015</f>
        <v>193526</v>
      </c>
      <c r="I7" s="315">
        <f>45876+15+136006</f>
        <v>181897</v>
      </c>
      <c r="J7" s="381">
        <v>272128</v>
      </c>
      <c r="K7" s="315">
        <v>520348</v>
      </c>
      <c r="L7" s="372">
        <v>151000</v>
      </c>
      <c r="M7" s="381">
        <v>520348</v>
      </c>
      <c r="N7" s="121"/>
      <c r="V7" s="144"/>
    </row>
    <row r="8" spans="1:26" x14ac:dyDescent="0.25">
      <c r="A8" s="852" t="s">
        <v>88</v>
      </c>
      <c r="B8" s="380">
        <v>0</v>
      </c>
      <c r="C8" s="315">
        <v>0</v>
      </c>
      <c r="D8" s="315">
        <v>0</v>
      </c>
      <c r="E8" s="315">
        <v>0</v>
      </c>
      <c r="F8" s="315">
        <v>0</v>
      </c>
      <c r="G8" s="315">
        <v>0</v>
      </c>
      <c r="H8" s="315">
        <v>0</v>
      </c>
      <c r="I8" s="315">
        <v>0</v>
      </c>
      <c r="J8" s="381">
        <v>0</v>
      </c>
      <c r="K8" s="315">
        <v>0</v>
      </c>
      <c r="L8" s="372">
        <v>0</v>
      </c>
      <c r="M8" s="381">
        <v>0</v>
      </c>
      <c r="N8" s="121"/>
    </row>
    <row r="9" spans="1:26" x14ac:dyDescent="0.25">
      <c r="A9" s="853" t="s">
        <v>93</v>
      </c>
      <c r="B9" s="380">
        <v>0</v>
      </c>
      <c r="C9" s="315">
        <v>0</v>
      </c>
      <c r="D9" s="315">
        <v>0</v>
      </c>
      <c r="E9" s="315">
        <v>0</v>
      </c>
      <c r="F9" s="315">
        <v>0</v>
      </c>
      <c r="G9" s="315">
        <v>0</v>
      </c>
      <c r="H9" s="315">
        <v>0</v>
      </c>
      <c r="I9" s="315">
        <v>0</v>
      </c>
      <c r="J9" s="381">
        <v>0</v>
      </c>
      <c r="K9" s="315">
        <v>0</v>
      </c>
      <c r="L9" s="372">
        <v>0</v>
      </c>
      <c r="M9" s="381">
        <v>0</v>
      </c>
      <c r="N9" s="121"/>
    </row>
    <row r="10" spans="1:26" x14ac:dyDescent="0.25">
      <c r="A10" s="854" t="s">
        <v>78</v>
      </c>
      <c r="B10" s="380">
        <v>0</v>
      </c>
      <c r="C10" s="315">
        <v>0</v>
      </c>
      <c r="D10" s="315">
        <v>0</v>
      </c>
      <c r="E10" s="315">
        <v>0</v>
      </c>
      <c r="F10" s="315">
        <v>0</v>
      </c>
      <c r="G10" s="315">
        <v>0</v>
      </c>
      <c r="H10" s="315">
        <v>0</v>
      </c>
      <c r="I10" s="315">
        <v>0</v>
      </c>
      <c r="J10" s="381">
        <v>0</v>
      </c>
      <c r="K10" s="315">
        <v>0</v>
      </c>
      <c r="L10" s="372">
        <v>0</v>
      </c>
      <c r="M10" s="381">
        <v>0</v>
      </c>
      <c r="N10" s="121"/>
    </row>
    <row r="11" spans="1:26" s="19" customFormat="1" ht="16.5" thickBot="1" x14ac:dyDescent="0.3">
      <c r="A11" s="856"/>
      <c r="B11" s="382"/>
      <c r="C11" s="369"/>
      <c r="D11" s="369"/>
      <c r="E11" s="369"/>
      <c r="F11" s="369"/>
      <c r="G11" s="369"/>
      <c r="H11" s="369"/>
      <c r="I11" s="369"/>
      <c r="J11" s="383"/>
      <c r="K11" s="369"/>
      <c r="L11" s="373"/>
      <c r="M11" s="383">
        <v>0</v>
      </c>
      <c r="N11" s="121"/>
    </row>
    <row r="12" spans="1:26" ht="17.25" thickTop="1" thickBot="1" x14ac:dyDescent="0.3">
      <c r="A12" s="896" t="s">
        <v>100</v>
      </c>
      <c r="B12" s="475">
        <f>SUM(B7:B11)</f>
        <v>0</v>
      </c>
      <c r="C12" s="476">
        <f t="shared" ref="C12:L12" si="0">SUM(C7:C11)</f>
        <v>0</v>
      </c>
      <c r="D12" s="476">
        <f t="shared" si="0"/>
        <v>31395</v>
      </c>
      <c r="E12" s="476">
        <f t="shared" si="0"/>
        <v>45784</v>
      </c>
      <c r="F12" s="476">
        <f t="shared" si="0"/>
        <v>332237</v>
      </c>
      <c r="G12" s="476">
        <f t="shared" si="0"/>
        <v>180257</v>
      </c>
      <c r="H12" s="476">
        <f t="shared" si="0"/>
        <v>193526</v>
      </c>
      <c r="I12" s="476">
        <f t="shared" si="0"/>
        <v>181897</v>
      </c>
      <c r="J12" s="477">
        <f t="shared" si="0"/>
        <v>272128</v>
      </c>
      <c r="K12" s="476">
        <f>SUM(K7:K11)</f>
        <v>520348</v>
      </c>
      <c r="L12" s="478">
        <f t="shared" si="0"/>
        <v>151000</v>
      </c>
      <c r="M12" s="433">
        <f>SUM(M7:M11)</f>
        <v>520348</v>
      </c>
      <c r="N12" s="126"/>
    </row>
    <row r="13" spans="1:26" x14ac:dyDescent="0.25">
      <c r="A13" s="988"/>
      <c r="B13" s="397"/>
      <c r="C13" s="398"/>
      <c r="D13" s="398"/>
      <c r="E13" s="398"/>
      <c r="F13" s="398"/>
      <c r="G13" s="315"/>
      <c r="H13" s="315"/>
      <c r="I13" s="315"/>
      <c r="J13" s="381"/>
      <c r="K13" s="315"/>
      <c r="L13" s="372"/>
      <c r="M13" s="381"/>
      <c r="N13" s="126"/>
    </row>
    <row r="14" spans="1:26" s="9" customFormat="1" ht="16.5" thickBot="1" x14ac:dyDescent="0.3">
      <c r="A14" s="874"/>
      <c r="B14" s="399"/>
      <c r="C14" s="116"/>
      <c r="D14" s="116"/>
      <c r="E14" s="116"/>
      <c r="F14" s="116"/>
      <c r="G14" s="116"/>
      <c r="H14" s="116"/>
      <c r="I14" s="116"/>
      <c r="J14" s="400"/>
      <c r="K14" s="116"/>
      <c r="L14" s="444"/>
      <c r="M14" s="400"/>
      <c r="N14" s="126"/>
      <c r="Z14" s="92"/>
    </row>
    <row r="15" spans="1:26" ht="18.75" x14ac:dyDescent="0.3">
      <c r="A15" s="860" t="s">
        <v>332</v>
      </c>
      <c r="B15" s="521">
        <v>2009</v>
      </c>
      <c r="C15" s="522">
        <v>2010</v>
      </c>
      <c r="D15" s="522">
        <v>2011</v>
      </c>
      <c r="E15" s="522">
        <v>2012</v>
      </c>
      <c r="F15" s="522">
        <v>2013</v>
      </c>
      <c r="G15" s="522">
        <v>2014</v>
      </c>
      <c r="H15" s="522">
        <v>2015</v>
      </c>
      <c r="I15" s="522">
        <v>2016</v>
      </c>
      <c r="J15" s="523">
        <v>2017</v>
      </c>
      <c r="K15" s="522">
        <v>2018</v>
      </c>
      <c r="L15" s="524">
        <v>2019</v>
      </c>
      <c r="M15" s="520">
        <v>2018</v>
      </c>
      <c r="N15" s="535"/>
    </row>
    <row r="16" spans="1:26" x14ac:dyDescent="0.25">
      <c r="A16" s="851" t="s">
        <v>92</v>
      </c>
      <c r="B16" s="380">
        <v>359189</v>
      </c>
      <c r="C16" s="315">
        <v>492843</v>
      </c>
      <c r="D16" s="315">
        <v>438062</v>
      </c>
      <c r="E16" s="315">
        <v>441233</v>
      </c>
      <c r="F16" s="315">
        <v>454431</v>
      </c>
      <c r="G16" s="315">
        <v>599214</v>
      </c>
      <c r="H16" s="315">
        <v>947688</v>
      </c>
      <c r="I16" s="315">
        <v>586611</v>
      </c>
      <c r="J16" s="381">
        <v>745450</v>
      </c>
      <c r="K16" s="315">
        <v>949562</v>
      </c>
      <c r="L16" s="372">
        <v>719859</v>
      </c>
      <c r="M16" s="381">
        <v>921108</v>
      </c>
      <c r="N16" s="126"/>
    </row>
    <row r="17" spans="1:22" x14ac:dyDescent="0.25">
      <c r="A17" s="852" t="s">
        <v>88</v>
      </c>
      <c r="B17" s="380">
        <v>0</v>
      </c>
      <c r="C17" s="315">
        <v>0</v>
      </c>
      <c r="D17" s="315">
        <v>0</v>
      </c>
      <c r="E17" s="315">
        <v>0</v>
      </c>
      <c r="F17" s="315">
        <v>0</v>
      </c>
      <c r="G17" s="315">
        <v>0</v>
      </c>
      <c r="H17" s="315">
        <v>0</v>
      </c>
      <c r="I17" s="315">
        <v>0</v>
      </c>
      <c r="J17" s="381">
        <v>0</v>
      </c>
      <c r="K17" s="315">
        <v>0</v>
      </c>
      <c r="L17" s="372">
        <v>0</v>
      </c>
      <c r="M17" s="381">
        <v>0</v>
      </c>
      <c r="N17" s="127"/>
    </row>
    <row r="18" spans="1:22" x14ac:dyDescent="0.25">
      <c r="A18" s="853" t="s">
        <v>93</v>
      </c>
      <c r="B18" s="380">
        <v>0</v>
      </c>
      <c r="C18" s="315">
        <v>0</v>
      </c>
      <c r="D18" s="315">
        <v>0</v>
      </c>
      <c r="E18" s="315">
        <v>0</v>
      </c>
      <c r="F18" s="315">
        <v>0</v>
      </c>
      <c r="G18" s="315">
        <v>0</v>
      </c>
      <c r="H18" s="315">
        <v>0</v>
      </c>
      <c r="I18" s="315">
        <v>0</v>
      </c>
      <c r="J18" s="381">
        <v>0</v>
      </c>
      <c r="K18" s="315">
        <v>0</v>
      </c>
      <c r="L18" s="372">
        <v>0</v>
      </c>
      <c r="M18" s="381">
        <v>0</v>
      </c>
    </row>
    <row r="19" spans="1:22" x14ac:dyDescent="0.25">
      <c r="A19" s="854" t="s">
        <v>78</v>
      </c>
      <c r="B19" s="380">
        <v>0</v>
      </c>
      <c r="C19" s="315">
        <v>0</v>
      </c>
      <c r="D19" s="315">
        <v>0</v>
      </c>
      <c r="E19" s="315">
        <v>0</v>
      </c>
      <c r="F19" s="315">
        <v>0</v>
      </c>
      <c r="G19" s="315">
        <v>0</v>
      </c>
      <c r="H19" s="315">
        <v>0</v>
      </c>
      <c r="I19" s="315">
        <v>0</v>
      </c>
      <c r="J19" s="381">
        <v>0</v>
      </c>
      <c r="K19" s="315">
        <v>0</v>
      </c>
      <c r="L19" s="372">
        <v>0</v>
      </c>
      <c r="M19" s="381">
        <v>0</v>
      </c>
    </row>
    <row r="20" spans="1:22" ht="16.5" thickBot="1" x14ac:dyDescent="0.3">
      <c r="A20" s="907"/>
      <c r="B20" s="382"/>
      <c r="C20" s="369"/>
      <c r="D20" s="369"/>
      <c r="E20" s="369"/>
      <c r="F20" s="369"/>
      <c r="G20" s="369"/>
      <c r="H20" s="369"/>
      <c r="I20" s="369"/>
      <c r="J20" s="383"/>
      <c r="K20" s="369"/>
      <c r="L20" s="373"/>
      <c r="M20" s="383">
        <v>0</v>
      </c>
      <c r="N20" s="488"/>
    </row>
    <row r="21" spans="1:22" ht="17.25" thickTop="1" thickBot="1" x14ac:dyDescent="0.3">
      <c r="A21" s="896" t="s">
        <v>102</v>
      </c>
      <c r="B21" s="475">
        <f t="shared" ref="B21:L21" si="1">SUM(B16:B20)</f>
        <v>359189</v>
      </c>
      <c r="C21" s="476">
        <f t="shared" si="1"/>
        <v>492843</v>
      </c>
      <c r="D21" s="476">
        <f t="shared" si="1"/>
        <v>438062</v>
      </c>
      <c r="E21" s="476">
        <f t="shared" si="1"/>
        <v>441233</v>
      </c>
      <c r="F21" s="476">
        <f t="shared" si="1"/>
        <v>454431</v>
      </c>
      <c r="G21" s="476">
        <f t="shared" si="1"/>
        <v>599214</v>
      </c>
      <c r="H21" s="476">
        <f t="shared" si="1"/>
        <v>947688</v>
      </c>
      <c r="I21" s="476">
        <f t="shared" si="1"/>
        <v>586611</v>
      </c>
      <c r="J21" s="477">
        <f t="shared" si="1"/>
        <v>745450</v>
      </c>
      <c r="K21" s="476">
        <f>SUM(K16:K20)</f>
        <v>949562</v>
      </c>
      <c r="L21" s="478">
        <f t="shared" si="1"/>
        <v>719859</v>
      </c>
      <c r="M21" s="433">
        <f>SUM(M16:M20)</f>
        <v>921108</v>
      </c>
      <c r="N21" s="488"/>
    </row>
    <row r="22" spans="1:22" ht="18.75" x14ac:dyDescent="0.3">
      <c r="A22" s="861"/>
      <c r="B22" s="578"/>
      <c r="C22" s="579"/>
      <c r="D22" s="579"/>
      <c r="E22" s="579"/>
      <c r="F22" s="579"/>
      <c r="G22" s="579"/>
      <c r="H22" s="579"/>
      <c r="I22" s="579"/>
      <c r="J22" s="580"/>
      <c r="K22" s="579"/>
      <c r="L22" s="581"/>
      <c r="M22" s="580"/>
      <c r="N22" s="488"/>
    </row>
    <row r="23" spans="1:22" x14ac:dyDescent="0.25">
      <c r="A23" s="875"/>
      <c r="B23" s="392"/>
      <c r="J23" s="393"/>
      <c r="K23" s="278"/>
      <c r="L23" s="163"/>
      <c r="N23" s="120"/>
    </row>
    <row r="24" spans="1:22" x14ac:dyDescent="0.25">
      <c r="A24" s="875"/>
      <c r="B24" s="582">
        <v>2009</v>
      </c>
      <c r="C24" s="44">
        <v>2010</v>
      </c>
      <c r="D24" s="44">
        <v>2011</v>
      </c>
      <c r="E24" s="44">
        <v>2012</v>
      </c>
      <c r="F24" s="44">
        <v>2013</v>
      </c>
      <c r="G24" s="44">
        <v>2014</v>
      </c>
      <c r="H24" s="44">
        <v>2015</v>
      </c>
      <c r="I24" s="44">
        <v>2016</v>
      </c>
      <c r="J24" s="583">
        <v>2017</v>
      </c>
      <c r="K24" s="44">
        <v>2018</v>
      </c>
      <c r="L24" s="584">
        <v>2019</v>
      </c>
      <c r="M24" s="17">
        <v>2018</v>
      </c>
      <c r="N24" s="120"/>
    </row>
    <row r="25" spans="1:22" x14ac:dyDescent="0.25">
      <c r="A25" s="851" t="s">
        <v>152</v>
      </c>
      <c r="B25" s="511">
        <f>+B21/B26</f>
        <v>5.6867895253475194</v>
      </c>
      <c r="C25" s="512">
        <f t="shared" ref="C25:L25" si="2">+C21/C26</f>
        <v>7.2752944997195241</v>
      </c>
      <c r="D25" s="512">
        <f t="shared" si="2"/>
        <v>6.370791582437719</v>
      </c>
      <c r="E25" s="512">
        <f t="shared" si="2"/>
        <v>6.3632338731774851</v>
      </c>
      <c r="F25" s="512">
        <f t="shared" si="2"/>
        <v>6.457737672303538</v>
      </c>
      <c r="G25" s="512">
        <f t="shared" si="2"/>
        <v>8.4364255846368277</v>
      </c>
      <c r="H25" s="512">
        <f t="shared" si="2"/>
        <v>12.907763552165623</v>
      </c>
      <c r="I25" s="512">
        <f t="shared" si="2"/>
        <v>7.8861464004839688</v>
      </c>
      <c r="J25" s="513">
        <f t="shared" si="2"/>
        <v>9.8292457805907176</v>
      </c>
      <c r="K25" s="512">
        <f t="shared" ref="K25" si="3">+K21/K26</f>
        <v>12.290155574538582</v>
      </c>
      <c r="L25" s="514">
        <f t="shared" si="2"/>
        <v>9.1144466953659151</v>
      </c>
      <c r="M25" s="8">
        <f>+M21/M26</f>
        <v>11.921876213403744</v>
      </c>
      <c r="N25" s="120"/>
    </row>
    <row r="26" spans="1:22" x14ac:dyDescent="0.25">
      <c r="A26" s="980" t="s">
        <v>340</v>
      </c>
      <c r="B26" s="506">
        <f>+Stats!D4</f>
        <v>63162</v>
      </c>
      <c r="C26" s="16">
        <f>+Stats!E4</f>
        <v>67742</v>
      </c>
      <c r="D26" s="16">
        <f>+Stats!F4</f>
        <v>68761</v>
      </c>
      <c r="E26" s="16">
        <f>+Stats!G4</f>
        <v>69341</v>
      </c>
      <c r="F26" s="16">
        <f>+Stats!H4</f>
        <v>70370</v>
      </c>
      <c r="G26" s="16">
        <f>+Stats!I4</f>
        <v>71027</v>
      </c>
      <c r="H26" s="16">
        <f>+Stats!J4</f>
        <v>73420</v>
      </c>
      <c r="I26" s="16">
        <f>+Stats!K4</f>
        <v>74385</v>
      </c>
      <c r="J26" s="498">
        <f>+Stats!L4</f>
        <v>75840</v>
      </c>
      <c r="K26" s="16">
        <f>+Stats!M4</f>
        <v>77262</v>
      </c>
      <c r="L26" s="491">
        <f>+Stats!N4</f>
        <v>78980</v>
      </c>
      <c r="M26" s="16">
        <f>+Stats!M4</f>
        <v>77262</v>
      </c>
      <c r="N26" s="120"/>
    </row>
    <row r="27" spans="1:22" x14ac:dyDescent="0.25">
      <c r="A27" s="875"/>
      <c r="B27" s="561"/>
      <c r="C27" s="17"/>
      <c r="D27" s="17"/>
      <c r="E27" s="17"/>
      <c r="F27" s="17"/>
      <c r="G27" s="17"/>
      <c r="H27" s="17"/>
      <c r="I27" s="17"/>
      <c r="J27" s="565"/>
      <c r="K27" s="17"/>
      <c r="L27" s="568"/>
      <c r="M27" s="17"/>
      <c r="N27" s="120"/>
    </row>
    <row r="28" spans="1:22" x14ac:dyDescent="0.25">
      <c r="A28" s="851" t="s">
        <v>130</v>
      </c>
      <c r="B28" s="516">
        <f>+B21/B29</f>
        <v>71837.8</v>
      </c>
      <c r="C28" s="79">
        <f t="shared" ref="C28:J28" si="4">+C21/C29</f>
        <v>123210.75</v>
      </c>
      <c r="D28" s="79">
        <f t="shared" si="4"/>
        <v>116816.53333333334</v>
      </c>
      <c r="E28" s="79">
        <f t="shared" si="4"/>
        <v>117662.13333333333</v>
      </c>
      <c r="F28" s="79">
        <f t="shared" si="4"/>
        <v>110031.71912832931</v>
      </c>
      <c r="G28" s="79">
        <f t="shared" si="4"/>
        <v>145088.13559322033</v>
      </c>
      <c r="H28" s="79">
        <f t="shared" si="4"/>
        <v>229464.40677966102</v>
      </c>
      <c r="I28" s="79">
        <f t="shared" si="4"/>
        <v>142036.56174334142</v>
      </c>
      <c r="J28" s="517">
        <f t="shared" si="4"/>
        <v>138688.37209302327</v>
      </c>
      <c r="K28" s="79">
        <f>+K21/K29</f>
        <v>189912.4</v>
      </c>
      <c r="L28" s="518">
        <f>+L21/L29</f>
        <v>143971.79999999999</v>
      </c>
      <c r="M28" s="1">
        <f>+M21/M29</f>
        <v>171368.93023255814</v>
      </c>
    </row>
    <row r="29" spans="1:22" x14ac:dyDescent="0.25">
      <c r="A29" s="980" t="s">
        <v>341</v>
      </c>
      <c r="B29" s="562">
        <f>+B36</f>
        <v>5</v>
      </c>
      <c r="C29" s="269">
        <f t="shared" ref="C29:L29" si="5">+C36</f>
        <v>4</v>
      </c>
      <c r="D29" s="269">
        <f t="shared" si="5"/>
        <v>3.75</v>
      </c>
      <c r="E29" s="269">
        <f t="shared" si="5"/>
        <v>3.75</v>
      </c>
      <c r="F29" s="269">
        <f t="shared" si="5"/>
        <v>4.13</v>
      </c>
      <c r="G29" s="269">
        <f t="shared" si="5"/>
        <v>4.13</v>
      </c>
      <c r="H29" s="269">
        <f t="shared" si="5"/>
        <v>4.13</v>
      </c>
      <c r="I29" s="269">
        <f t="shared" si="5"/>
        <v>4.13</v>
      </c>
      <c r="J29" s="566">
        <f t="shared" si="5"/>
        <v>5.375</v>
      </c>
      <c r="K29" s="269">
        <f t="shared" ref="K29" si="6">+K36</f>
        <v>5</v>
      </c>
      <c r="L29" s="569">
        <f t="shared" si="5"/>
        <v>5</v>
      </c>
      <c r="M29" s="269">
        <f>+M36</f>
        <v>5.375</v>
      </c>
      <c r="V29" s="19"/>
    </row>
    <row r="30" spans="1:22" x14ac:dyDescent="0.25">
      <c r="A30" s="877"/>
      <c r="B30" s="408"/>
      <c r="C30" s="124"/>
      <c r="D30" s="124"/>
      <c r="E30" s="124"/>
      <c r="F30" s="124"/>
      <c r="G30" s="124"/>
      <c r="H30" s="124"/>
      <c r="I30" s="124"/>
      <c r="J30" s="410"/>
      <c r="K30" s="124"/>
      <c r="L30" s="449"/>
      <c r="M30" s="124"/>
      <c r="N30" s="120"/>
    </row>
    <row r="31" spans="1:22" x14ac:dyDescent="0.25">
      <c r="A31" s="877"/>
      <c r="B31" s="408"/>
      <c r="C31" s="124"/>
      <c r="D31" s="124"/>
      <c r="E31" s="124"/>
      <c r="F31" s="124"/>
      <c r="G31" s="124"/>
      <c r="H31" s="124"/>
      <c r="I31" s="124"/>
      <c r="J31" s="410"/>
      <c r="K31" s="124"/>
      <c r="L31" s="449"/>
      <c r="M31" s="124"/>
      <c r="N31" s="120"/>
    </row>
    <row r="32" spans="1:22" x14ac:dyDescent="0.25">
      <c r="A32" s="862"/>
      <c r="B32" s="563"/>
      <c r="C32" s="217"/>
      <c r="D32" s="217"/>
      <c r="E32" s="217"/>
      <c r="F32" s="217"/>
      <c r="G32" s="217"/>
      <c r="H32" s="217"/>
      <c r="I32" s="217"/>
      <c r="J32" s="567"/>
      <c r="L32" s="570"/>
      <c r="M32" s="217"/>
      <c r="N32" s="120"/>
    </row>
    <row r="33" spans="1:14" x14ac:dyDescent="0.25">
      <c r="A33" s="878" t="s">
        <v>60</v>
      </c>
      <c r="B33" s="413"/>
      <c r="C33" s="15"/>
      <c r="D33" s="15"/>
      <c r="E33" s="15"/>
      <c r="F33" s="15"/>
      <c r="G33" s="15"/>
      <c r="H33" s="15"/>
      <c r="I33" s="15"/>
      <c r="J33" s="415"/>
      <c r="K33" s="1"/>
      <c r="L33" s="451"/>
      <c r="M33" s="15"/>
      <c r="N33" s="120"/>
    </row>
    <row r="34" spans="1:14" x14ac:dyDescent="0.25">
      <c r="A34" s="879" t="s">
        <v>46</v>
      </c>
      <c r="B34" s="791">
        <v>5</v>
      </c>
      <c r="C34" s="745">
        <v>4</v>
      </c>
      <c r="D34" s="745">
        <v>3.75</v>
      </c>
      <c r="E34" s="745">
        <v>3.75</v>
      </c>
      <c r="F34" s="745">
        <v>4.13</v>
      </c>
      <c r="G34" s="745">
        <v>4.13</v>
      </c>
      <c r="H34" s="745">
        <v>4.13</v>
      </c>
      <c r="I34" s="745">
        <v>4.13</v>
      </c>
      <c r="J34" s="746">
        <v>5.375</v>
      </c>
      <c r="K34" s="745">
        <v>5</v>
      </c>
      <c r="L34" s="794">
        <v>5</v>
      </c>
      <c r="M34" s="22">
        <v>5.375</v>
      </c>
      <c r="N34" s="120"/>
    </row>
    <row r="35" spans="1:14" ht="16.5" thickBot="1" x14ac:dyDescent="0.3">
      <c r="A35" s="897"/>
      <c r="B35" s="564">
        <v>0</v>
      </c>
      <c r="C35" s="34">
        <v>0</v>
      </c>
      <c r="D35" s="34">
        <v>0</v>
      </c>
      <c r="E35" s="34">
        <v>0</v>
      </c>
      <c r="F35" s="34">
        <v>0</v>
      </c>
      <c r="G35" s="34">
        <v>0</v>
      </c>
      <c r="H35" s="34">
        <v>0</v>
      </c>
      <c r="I35" s="34">
        <v>0</v>
      </c>
      <c r="J35" s="499">
        <v>0</v>
      </c>
      <c r="K35" s="34">
        <v>0</v>
      </c>
      <c r="L35" s="492">
        <v>0</v>
      </c>
      <c r="M35" s="34">
        <v>0</v>
      </c>
      <c r="N35" s="120"/>
    </row>
    <row r="36" spans="1:14" x14ac:dyDescent="0.25">
      <c r="A36" s="880" t="s">
        <v>335</v>
      </c>
      <c r="B36" s="793">
        <f t="shared" ref="B36:L36" si="7">SUM(B34:B35)</f>
        <v>5</v>
      </c>
      <c r="C36" s="305">
        <f t="shared" si="7"/>
        <v>4</v>
      </c>
      <c r="D36" s="305">
        <f t="shared" si="7"/>
        <v>3.75</v>
      </c>
      <c r="E36" s="305">
        <f t="shared" si="7"/>
        <v>3.75</v>
      </c>
      <c r="F36" s="305">
        <f t="shared" si="7"/>
        <v>4.13</v>
      </c>
      <c r="G36" s="305">
        <f t="shared" si="7"/>
        <v>4.13</v>
      </c>
      <c r="H36" s="305">
        <f t="shared" si="7"/>
        <v>4.13</v>
      </c>
      <c r="I36" s="305">
        <f t="shared" si="7"/>
        <v>4.13</v>
      </c>
      <c r="J36" s="839">
        <f t="shared" si="7"/>
        <v>5.375</v>
      </c>
      <c r="K36" s="305">
        <f t="shared" ref="K36" si="8">SUM(K34:K35)</f>
        <v>5</v>
      </c>
      <c r="L36" s="840">
        <f t="shared" si="7"/>
        <v>5</v>
      </c>
      <c r="M36" s="305">
        <f>SUM(M34:M35)</f>
        <v>5.375</v>
      </c>
      <c r="N36" s="956"/>
    </row>
    <row r="37" spans="1:14" x14ac:dyDescent="0.25">
      <c r="A37" s="978" t="s">
        <v>366</v>
      </c>
      <c r="B37" s="622" t="s">
        <v>348</v>
      </c>
      <c r="C37" s="947">
        <f>C36/B36</f>
        <v>0.8</v>
      </c>
      <c r="D37" s="947">
        <f t="shared" ref="D37:I37" si="9">D36/C36</f>
        <v>0.9375</v>
      </c>
      <c r="E37" s="947">
        <f t="shared" si="9"/>
        <v>1</v>
      </c>
      <c r="F37" s="947">
        <f t="shared" si="9"/>
        <v>1.1013333333333333</v>
      </c>
      <c r="G37" s="947">
        <f t="shared" si="9"/>
        <v>1</v>
      </c>
      <c r="H37" s="947">
        <f t="shared" si="9"/>
        <v>1</v>
      </c>
      <c r="I37" s="947">
        <f t="shared" si="9"/>
        <v>1</v>
      </c>
      <c r="J37" s="948">
        <f>J36/I36</f>
        <v>1.3014527845036319</v>
      </c>
      <c r="K37" s="947">
        <f>K36/L36</f>
        <v>1</v>
      </c>
      <c r="L37" s="949">
        <f>L36/M36</f>
        <v>0.93023255813953487</v>
      </c>
      <c r="M37" s="947">
        <f>M36/J36</f>
        <v>1</v>
      </c>
      <c r="N37" s="956"/>
    </row>
    <row r="38" spans="1:14" x14ac:dyDescent="0.25">
      <c r="A38" s="884"/>
      <c r="B38" s="416"/>
      <c r="C38" s="193"/>
      <c r="D38" s="193"/>
      <c r="E38" s="193"/>
      <c r="F38" s="193"/>
      <c r="G38" s="193"/>
      <c r="H38" s="193"/>
      <c r="I38" s="193"/>
      <c r="J38" s="501"/>
      <c r="K38" s="3"/>
      <c r="L38" s="465"/>
      <c r="M38" s="193"/>
      <c r="N38" s="121"/>
    </row>
    <row r="39" spans="1:14" x14ac:dyDescent="0.25">
      <c r="A39" s="885"/>
      <c r="B39" s="416"/>
      <c r="C39" s="93"/>
      <c r="D39" s="93"/>
      <c r="E39" s="93"/>
      <c r="F39" s="93"/>
      <c r="G39" s="93"/>
      <c r="H39" s="93"/>
      <c r="I39" s="93"/>
      <c r="J39" s="417"/>
      <c r="K39" s="3"/>
      <c r="L39" s="465"/>
      <c r="M39" s="93"/>
      <c r="N39" s="121"/>
    </row>
    <row r="40" spans="1:14" x14ac:dyDescent="0.25">
      <c r="A40" s="882"/>
      <c r="B40" s="416"/>
      <c r="C40" s="93"/>
      <c r="D40" s="93"/>
      <c r="E40" s="93"/>
      <c r="F40" s="93"/>
      <c r="G40" s="93"/>
      <c r="H40" s="93"/>
      <c r="I40" s="93"/>
      <c r="J40" s="417"/>
      <c r="K40" s="3"/>
      <c r="L40" s="109"/>
      <c r="M40" s="93"/>
      <c r="N40" s="121"/>
    </row>
    <row r="41" spans="1:14" x14ac:dyDescent="0.25">
      <c r="A41" s="862"/>
      <c r="B41" s="380"/>
      <c r="C41" s="105"/>
      <c r="D41" s="105"/>
      <c r="E41" s="105"/>
      <c r="F41" s="105"/>
      <c r="G41" s="105"/>
      <c r="H41" s="105"/>
      <c r="I41" s="105"/>
      <c r="J41" s="381"/>
      <c r="K41" s="3"/>
      <c r="L41" s="372"/>
      <c r="M41" s="105"/>
      <c r="N41" s="121"/>
    </row>
    <row r="42" spans="1:14" x14ac:dyDescent="0.25">
      <c r="A42" s="891"/>
      <c r="B42" s="380"/>
      <c r="C42" s="105"/>
      <c r="D42" s="105"/>
      <c r="E42" s="105"/>
      <c r="F42" s="105"/>
      <c r="G42" s="105"/>
      <c r="H42" s="105"/>
      <c r="I42" s="105"/>
      <c r="J42" s="381"/>
      <c r="K42" s="3"/>
      <c r="L42" s="372"/>
      <c r="M42" s="105"/>
      <c r="N42" s="121"/>
    </row>
    <row r="43" spans="1:14" x14ac:dyDescent="0.25">
      <c r="A43" s="989"/>
      <c r="B43" s="380"/>
      <c r="C43" s="105"/>
      <c r="D43" s="105"/>
      <c r="E43" s="105"/>
      <c r="F43" s="105"/>
      <c r="G43" s="105"/>
      <c r="H43" s="105"/>
      <c r="I43" s="105"/>
      <c r="J43" s="381"/>
      <c r="K43" s="3"/>
      <c r="L43" s="372"/>
      <c r="M43" s="105"/>
      <c r="N43" s="121"/>
    </row>
    <row r="44" spans="1:14" x14ac:dyDescent="0.25">
      <c r="A44" s="990"/>
      <c r="B44" s="380"/>
      <c r="C44" s="105"/>
      <c r="D44" s="105"/>
      <c r="E44" s="105"/>
      <c r="F44" s="105"/>
      <c r="G44" s="105"/>
      <c r="H44" s="105"/>
      <c r="I44" s="105"/>
      <c r="J44" s="381"/>
      <c r="K44" s="3"/>
      <c r="L44" s="372"/>
      <c r="M44" s="105"/>
      <c r="N44" s="121"/>
    </row>
    <row r="45" spans="1:14" x14ac:dyDescent="0.25">
      <c r="A45" s="891"/>
      <c r="B45" s="380"/>
      <c r="C45" s="105"/>
      <c r="D45" s="105"/>
      <c r="E45" s="105"/>
      <c r="F45" s="105"/>
      <c r="G45" s="105"/>
      <c r="H45" s="105"/>
      <c r="I45" s="105"/>
      <c r="J45" s="381"/>
      <c r="K45" s="3"/>
      <c r="L45" s="372"/>
      <c r="M45" s="105"/>
      <c r="N45" s="121"/>
    </row>
    <row r="46" spans="1:14" x14ac:dyDescent="0.25">
      <c r="A46" s="891"/>
      <c r="B46" s="418"/>
      <c r="C46" s="114"/>
      <c r="D46" s="114"/>
      <c r="E46" s="114"/>
      <c r="F46" s="114"/>
      <c r="G46" s="114"/>
      <c r="H46" s="114"/>
      <c r="I46" s="114"/>
      <c r="J46" s="419"/>
      <c r="K46" s="3"/>
      <c r="L46" s="455"/>
      <c r="M46" s="114"/>
      <c r="N46" s="121"/>
    </row>
    <row r="47" spans="1:14" x14ac:dyDescent="0.25">
      <c r="A47" s="888"/>
      <c r="B47" s="575"/>
      <c r="C47" s="214"/>
      <c r="D47" s="214"/>
      <c r="E47" s="214"/>
      <c r="F47" s="214"/>
      <c r="G47" s="214"/>
      <c r="H47" s="214"/>
      <c r="I47" s="214"/>
      <c r="J47" s="573"/>
      <c r="K47" s="3"/>
      <c r="L47" s="571"/>
      <c r="M47" s="214"/>
      <c r="N47" s="121"/>
    </row>
    <row r="48" spans="1:14" x14ac:dyDescent="0.25">
      <c r="A48" s="891"/>
      <c r="B48" s="380"/>
      <c r="C48" s="105"/>
      <c r="D48" s="105"/>
      <c r="E48" s="105"/>
      <c r="F48" s="105"/>
      <c r="G48" s="105"/>
      <c r="H48" s="105"/>
      <c r="I48" s="105"/>
      <c r="J48" s="381"/>
      <c r="K48" s="1"/>
      <c r="L48" s="372"/>
      <c r="M48" s="105"/>
      <c r="N48" s="120"/>
    </row>
    <row r="49" spans="1:14" x14ac:dyDescent="0.25">
      <c r="A49" s="887"/>
      <c r="B49" s="416"/>
      <c r="C49" s="93"/>
      <c r="D49" s="93"/>
      <c r="E49" s="93"/>
      <c r="F49" s="93"/>
      <c r="G49" s="93"/>
      <c r="H49" s="93"/>
      <c r="I49" s="93"/>
      <c r="J49" s="417"/>
      <c r="K49" s="1"/>
      <c r="L49" s="109"/>
      <c r="M49" s="93"/>
      <c r="N49" s="120"/>
    </row>
    <row r="50" spans="1:14" x14ac:dyDescent="0.25">
      <c r="A50" s="887"/>
      <c r="B50" s="563"/>
      <c r="C50" s="217"/>
      <c r="D50" s="217"/>
      <c r="E50" s="217"/>
      <c r="F50" s="217"/>
      <c r="G50" s="217"/>
      <c r="H50" s="217"/>
      <c r="I50" s="217"/>
      <c r="J50" s="567"/>
      <c r="L50" s="570"/>
      <c r="M50" s="217"/>
    </row>
    <row r="51" spans="1:14" x14ac:dyDescent="0.25">
      <c r="A51" s="887"/>
      <c r="B51" s="416"/>
      <c r="C51" s="93"/>
      <c r="D51" s="93"/>
      <c r="E51" s="93"/>
      <c r="F51" s="93"/>
      <c r="G51" s="93"/>
      <c r="H51" s="93"/>
      <c r="I51" s="93"/>
      <c r="J51" s="417"/>
      <c r="K51" s="1"/>
      <c r="L51" s="109"/>
      <c r="M51" s="93"/>
      <c r="N51" s="120"/>
    </row>
    <row r="52" spans="1:14" x14ac:dyDescent="0.25">
      <c r="A52" s="887"/>
      <c r="B52" s="416"/>
      <c r="C52" s="93"/>
      <c r="D52" s="93"/>
      <c r="E52" s="93"/>
      <c r="F52" s="93"/>
      <c r="G52" s="93"/>
      <c r="H52" s="93"/>
      <c r="I52" s="93"/>
      <c r="J52" s="417"/>
      <c r="K52" s="1"/>
      <c r="L52" s="109"/>
      <c r="M52" s="93"/>
      <c r="N52" s="120"/>
    </row>
    <row r="53" spans="1:14" x14ac:dyDescent="0.25">
      <c r="A53" s="882"/>
      <c r="B53" s="416"/>
      <c r="C53" s="93"/>
      <c r="D53" s="93"/>
      <c r="E53" s="93"/>
      <c r="F53" s="93"/>
      <c r="G53" s="93"/>
      <c r="H53" s="93"/>
      <c r="I53" s="93"/>
      <c r="J53" s="417"/>
      <c r="K53" s="1"/>
      <c r="L53" s="109"/>
      <c r="M53" s="93"/>
      <c r="N53" s="120"/>
    </row>
    <row r="54" spans="1:14" x14ac:dyDescent="0.25">
      <c r="A54" s="883"/>
      <c r="B54" s="515"/>
      <c r="C54" s="125"/>
      <c r="D54" s="125"/>
      <c r="E54" s="125"/>
      <c r="F54" s="125"/>
      <c r="G54" s="125"/>
      <c r="H54" s="125"/>
      <c r="I54" s="125"/>
      <c r="J54" s="483"/>
      <c r="K54" s="1"/>
      <c r="L54" s="486"/>
      <c r="M54" s="125"/>
      <c r="N54" s="120"/>
    </row>
    <row r="55" spans="1:14" s="17" customFormat="1" x14ac:dyDescent="0.25">
      <c r="A55" s="883"/>
      <c r="B55" s="418"/>
      <c r="C55" s="114"/>
      <c r="D55" s="114"/>
      <c r="E55" s="114"/>
      <c r="F55" s="114"/>
      <c r="G55" s="114"/>
      <c r="H55" s="114"/>
      <c r="I55" s="114"/>
      <c r="J55" s="419"/>
      <c r="K55" s="32"/>
      <c r="L55" s="455"/>
      <c r="M55" s="114"/>
      <c r="N55" s="128"/>
    </row>
    <row r="56" spans="1:14" x14ac:dyDescent="0.25">
      <c r="A56" s="883"/>
      <c r="B56" s="416"/>
      <c r="C56" s="93"/>
      <c r="D56" s="93"/>
      <c r="E56" s="93"/>
      <c r="F56" s="93"/>
      <c r="G56" s="93"/>
      <c r="H56" s="93"/>
      <c r="I56" s="93"/>
      <c r="J56" s="417"/>
      <c r="K56" s="1"/>
      <c r="L56" s="109"/>
      <c r="M56" s="93"/>
      <c r="N56" s="120"/>
    </row>
    <row r="57" spans="1:14" x14ac:dyDescent="0.25">
      <c r="A57" s="883"/>
      <c r="B57" s="576"/>
      <c r="C57" s="200"/>
      <c r="D57" s="200"/>
      <c r="E57" s="200"/>
      <c r="F57" s="200"/>
      <c r="G57" s="200"/>
      <c r="H57" s="200"/>
      <c r="I57" s="200"/>
      <c r="J57" s="459"/>
      <c r="K57" s="1"/>
      <c r="L57" s="468"/>
      <c r="M57" s="200"/>
      <c r="N57" s="120"/>
    </row>
    <row r="58" spans="1:14" x14ac:dyDescent="0.25">
      <c r="A58" s="863"/>
      <c r="B58" s="577"/>
      <c r="C58" s="202"/>
      <c r="D58" s="202"/>
      <c r="E58" s="202"/>
      <c r="F58" s="202"/>
      <c r="G58" s="202"/>
      <c r="H58" s="202"/>
      <c r="I58" s="202"/>
      <c r="J58" s="460"/>
      <c r="K58" s="1"/>
      <c r="L58" s="469"/>
      <c r="M58" s="202"/>
      <c r="N58" s="120"/>
    </row>
    <row r="59" spans="1:14" x14ac:dyDescent="0.25">
      <c r="A59" s="889"/>
      <c r="B59" s="577"/>
      <c r="C59" s="202"/>
      <c r="D59" s="202"/>
      <c r="E59" s="202"/>
      <c r="F59" s="202"/>
      <c r="G59" s="202"/>
      <c r="H59" s="202"/>
      <c r="I59" s="202"/>
      <c r="J59" s="460"/>
      <c r="K59" s="1"/>
      <c r="L59" s="469"/>
      <c r="M59" s="202"/>
      <c r="N59" s="120"/>
    </row>
    <row r="60" spans="1:14" x14ac:dyDescent="0.25">
      <c r="A60" s="987"/>
      <c r="B60" s="508"/>
      <c r="C60" s="204"/>
      <c r="D60" s="204"/>
      <c r="E60" s="204"/>
      <c r="F60" s="204"/>
      <c r="G60" s="204"/>
      <c r="H60" s="204"/>
      <c r="I60" s="204"/>
      <c r="J60" s="574"/>
      <c r="K60" s="1"/>
      <c r="L60" s="572"/>
      <c r="M60" s="204"/>
      <c r="N60" s="120"/>
    </row>
    <row r="61" spans="1:14" x14ac:dyDescent="0.25">
      <c r="A61" s="884"/>
      <c r="B61" s="576"/>
      <c r="C61" s="140"/>
      <c r="D61" s="140"/>
      <c r="E61" s="140"/>
      <c r="F61" s="140"/>
      <c r="G61" s="140"/>
      <c r="H61" s="140"/>
      <c r="I61" s="140"/>
      <c r="J61" s="461"/>
      <c r="K61" s="1"/>
      <c r="L61" s="470"/>
      <c r="M61" s="140"/>
      <c r="N61" s="120"/>
    </row>
    <row r="62" spans="1:14" x14ac:dyDescent="0.25">
      <c r="A62" s="889"/>
      <c r="B62" s="576"/>
      <c r="C62" s="140"/>
      <c r="D62" s="140"/>
      <c r="E62" s="140"/>
      <c r="F62" s="140"/>
      <c r="G62" s="140"/>
      <c r="H62" s="140"/>
      <c r="I62" s="140"/>
      <c r="J62" s="461"/>
      <c r="K62" s="1"/>
      <c r="L62" s="470"/>
      <c r="M62" s="140"/>
      <c r="N62" s="120"/>
    </row>
    <row r="63" spans="1:14" x14ac:dyDescent="0.25">
      <c r="A63" s="114"/>
      <c r="B63" s="93"/>
      <c r="C63" s="93"/>
      <c r="D63" s="93"/>
      <c r="E63" s="93"/>
      <c r="F63" s="93"/>
      <c r="G63" s="93"/>
      <c r="H63" s="93"/>
      <c r="I63" s="93"/>
      <c r="J63" s="93"/>
      <c r="K63" s="1"/>
      <c r="L63" s="93"/>
      <c r="M63" s="93"/>
      <c r="N63" s="26"/>
    </row>
    <row r="64" spans="1:14" ht="18.75" x14ac:dyDescent="0.3">
      <c r="A64" s="206"/>
      <c r="B64" s="217"/>
      <c r="C64" s="217"/>
      <c r="D64" s="217"/>
      <c r="E64" s="217"/>
      <c r="F64" s="217"/>
      <c r="G64" s="217"/>
      <c r="H64" s="217"/>
      <c r="I64" s="217"/>
      <c r="J64" s="217"/>
      <c r="K64" s="1"/>
      <c r="L64" s="217"/>
      <c r="M64" s="217"/>
      <c r="N64" s="26"/>
    </row>
    <row r="65" spans="1:26" x14ac:dyDescent="0.25">
      <c r="A65" s="116"/>
      <c r="B65" s="207"/>
      <c r="C65" s="207"/>
      <c r="D65" s="207"/>
      <c r="E65" s="207"/>
      <c r="F65" s="207"/>
      <c r="G65" s="207"/>
      <c r="H65" s="207"/>
      <c r="I65" s="207"/>
      <c r="J65" s="207"/>
      <c r="K65" s="1"/>
      <c r="L65" s="207"/>
      <c r="M65" s="207"/>
      <c r="N65" s="26"/>
    </row>
    <row r="66" spans="1:26" x14ac:dyDescent="0.25">
      <c r="A66" s="114"/>
      <c r="B66" s="93"/>
      <c r="C66" s="93"/>
      <c r="D66" s="93"/>
      <c r="E66" s="93"/>
      <c r="F66" s="93"/>
      <c r="G66" s="93"/>
      <c r="H66" s="93"/>
      <c r="I66" s="93"/>
      <c r="J66" s="93"/>
      <c r="K66" s="1"/>
      <c r="L66" s="93"/>
      <c r="M66" s="93"/>
      <c r="N66" s="26"/>
    </row>
    <row r="67" spans="1:26" x14ac:dyDescent="0.25">
      <c r="A67" s="114"/>
      <c r="B67" s="93"/>
      <c r="C67" s="93"/>
      <c r="D67" s="93"/>
      <c r="E67" s="93"/>
      <c r="F67" s="93"/>
      <c r="G67" s="93"/>
      <c r="H67" s="93"/>
      <c r="I67" s="93"/>
      <c r="J67" s="93"/>
      <c r="K67" s="1"/>
      <c r="L67" s="93"/>
      <c r="M67" s="93"/>
      <c r="N67" s="26"/>
    </row>
    <row r="68" spans="1:26" x14ac:dyDescent="0.25">
      <c r="A68" s="201"/>
      <c r="B68" s="93"/>
      <c r="C68" s="93"/>
      <c r="D68" s="93"/>
      <c r="E68" s="93"/>
      <c r="F68" s="93"/>
      <c r="G68" s="93"/>
      <c r="H68" s="93"/>
      <c r="I68" s="93"/>
      <c r="J68" s="93"/>
      <c r="K68" s="1"/>
      <c r="L68" s="93"/>
      <c r="M68" s="93"/>
      <c r="N68" s="26"/>
    </row>
    <row r="69" spans="1:26" x14ac:dyDescent="0.25">
      <c r="A69" s="201"/>
      <c r="B69" s="93"/>
      <c r="C69" s="93"/>
      <c r="D69" s="93"/>
      <c r="E69" s="93"/>
      <c r="F69" s="93"/>
      <c r="G69" s="93"/>
      <c r="H69" s="93"/>
      <c r="I69" s="93"/>
      <c r="J69" s="93"/>
      <c r="K69" s="1"/>
      <c r="L69" s="93"/>
      <c r="M69" s="93"/>
      <c r="N69" s="26"/>
    </row>
    <row r="70" spans="1:26" x14ac:dyDescent="0.25">
      <c r="A70" s="199"/>
      <c r="B70" s="93"/>
      <c r="C70" s="93"/>
      <c r="D70" s="93"/>
      <c r="E70" s="93"/>
      <c r="F70" s="93"/>
      <c r="G70" s="93"/>
      <c r="H70" s="93"/>
      <c r="I70" s="93"/>
      <c r="J70" s="93"/>
      <c r="K70" s="1"/>
      <c r="L70" s="93"/>
      <c r="M70" s="93"/>
      <c r="N70" s="26"/>
    </row>
    <row r="71" spans="1:26" x14ac:dyDescent="0.25">
      <c r="A71" s="114"/>
      <c r="B71" s="93"/>
      <c r="C71" s="93"/>
      <c r="D71" s="93"/>
      <c r="E71" s="93"/>
      <c r="F71" s="93"/>
      <c r="G71" s="93"/>
      <c r="H71" s="93"/>
      <c r="I71" s="93"/>
      <c r="J71" s="93"/>
      <c r="K71" s="1"/>
      <c r="L71" s="93"/>
      <c r="M71" s="93"/>
      <c r="N71" s="26"/>
    </row>
    <row r="72" spans="1:26" x14ac:dyDescent="0.25">
      <c r="A72" s="114"/>
      <c r="B72" s="217"/>
      <c r="C72" s="217"/>
      <c r="D72" s="217"/>
      <c r="E72" s="217"/>
      <c r="F72" s="217"/>
      <c r="G72" s="217"/>
      <c r="H72" s="217"/>
      <c r="I72" s="217"/>
      <c r="J72" s="217"/>
      <c r="K72" s="1"/>
      <c r="L72" s="217"/>
      <c r="M72" s="217"/>
      <c r="N72" s="26"/>
    </row>
    <row r="73" spans="1:26" x14ac:dyDescent="0.25">
      <c r="A73" s="114"/>
      <c r="B73" s="112"/>
      <c r="C73" s="112"/>
      <c r="D73" s="112"/>
      <c r="E73" s="112"/>
      <c r="F73" s="112"/>
      <c r="G73" s="112"/>
      <c r="H73" s="112"/>
      <c r="I73" s="112"/>
      <c r="J73" s="112"/>
      <c r="K73" s="1"/>
      <c r="L73" s="112"/>
      <c r="M73" s="112"/>
      <c r="N73" s="26"/>
    </row>
    <row r="74" spans="1:26" x14ac:dyDescent="0.25">
      <c r="A74" s="114"/>
      <c r="B74" s="93"/>
      <c r="C74" s="93"/>
      <c r="D74" s="93"/>
      <c r="E74" s="93"/>
      <c r="F74" s="93"/>
      <c r="G74" s="93"/>
      <c r="H74" s="93"/>
      <c r="I74" s="93"/>
      <c r="J74" s="93"/>
      <c r="K74" s="1"/>
      <c r="L74" s="93"/>
      <c r="M74" s="93"/>
      <c r="N74" s="26"/>
    </row>
    <row r="75" spans="1:26" x14ac:dyDescent="0.25">
      <c r="A75" s="114"/>
      <c r="B75" s="93"/>
      <c r="C75" s="93"/>
      <c r="D75" s="93"/>
      <c r="E75" s="93"/>
      <c r="F75" s="93"/>
      <c r="G75" s="93"/>
      <c r="H75" s="93"/>
      <c r="I75" s="93"/>
      <c r="J75" s="93"/>
      <c r="K75" s="1"/>
      <c r="L75" s="93"/>
      <c r="M75" s="93"/>
      <c r="N75" s="26"/>
    </row>
    <row r="76" spans="1:26" x14ac:dyDescent="0.25">
      <c r="A76" s="114"/>
      <c r="B76" s="93"/>
      <c r="C76" s="93"/>
      <c r="D76" s="93"/>
      <c r="E76" s="93"/>
      <c r="F76" s="93"/>
      <c r="G76" s="93"/>
      <c r="H76" s="93"/>
      <c r="I76" s="93"/>
      <c r="J76" s="93"/>
      <c r="K76" s="1"/>
      <c r="L76" s="93"/>
      <c r="M76" s="93"/>
      <c r="N76" s="26"/>
    </row>
    <row r="77" spans="1:26" x14ac:dyDescent="0.25">
      <c r="A77" s="114"/>
      <c r="B77" s="93"/>
      <c r="C77" s="93"/>
      <c r="D77" s="93"/>
      <c r="E77" s="93"/>
      <c r="F77" s="93"/>
      <c r="G77" s="93"/>
      <c r="H77" s="93"/>
      <c r="I77" s="93"/>
      <c r="J77" s="93"/>
      <c r="K77" s="1"/>
      <c r="L77" s="93"/>
      <c r="M77" s="93"/>
      <c r="N77" s="26"/>
    </row>
    <row r="78" spans="1:26" x14ac:dyDescent="0.25">
      <c r="A78" s="114"/>
      <c r="B78" s="93"/>
      <c r="C78" s="93"/>
      <c r="D78" s="93"/>
      <c r="E78" s="93"/>
      <c r="F78" s="93"/>
      <c r="G78" s="93"/>
      <c r="H78" s="93"/>
      <c r="I78" s="93"/>
      <c r="J78" s="93"/>
      <c r="K78" s="1"/>
      <c r="L78" s="93"/>
      <c r="M78" s="93"/>
      <c r="N78" s="26"/>
    </row>
    <row r="79" spans="1:26" x14ac:dyDescent="0.25">
      <c r="A79" s="114"/>
      <c r="B79" s="93"/>
      <c r="C79" s="93"/>
      <c r="D79" s="93"/>
      <c r="E79" s="93"/>
      <c r="F79" s="93"/>
      <c r="G79" s="93"/>
      <c r="H79" s="93"/>
      <c r="I79" s="93"/>
      <c r="J79" s="93"/>
      <c r="K79" s="1"/>
      <c r="L79" s="93"/>
      <c r="M79" s="93"/>
      <c r="N79" s="26"/>
    </row>
    <row r="80" spans="1:26" x14ac:dyDescent="0.25">
      <c r="A80" s="114"/>
      <c r="B80" s="93"/>
      <c r="C80" s="93"/>
      <c r="D80" s="93"/>
      <c r="E80" s="93"/>
      <c r="F80" s="93"/>
      <c r="G80" s="93"/>
      <c r="H80" s="93"/>
      <c r="I80" s="93"/>
      <c r="J80" s="93"/>
      <c r="K80" s="1"/>
      <c r="L80" s="93"/>
      <c r="M80" s="93"/>
      <c r="N80" s="26"/>
      <c r="Z80" s="103"/>
    </row>
    <row r="81" spans="1:14" x14ac:dyDescent="0.25">
      <c r="A81" s="114"/>
      <c r="B81" s="93"/>
      <c r="C81" s="93"/>
      <c r="D81" s="93"/>
      <c r="E81" s="93"/>
      <c r="F81" s="93"/>
      <c r="G81" s="93"/>
      <c r="H81" s="93"/>
      <c r="I81" s="93"/>
      <c r="J81" s="93"/>
      <c r="K81" s="1"/>
      <c r="L81" s="93"/>
      <c r="M81" s="93"/>
      <c r="N81" s="26"/>
    </row>
    <row r="82" spans="1:14" x14ac:dyDescent="0.25">
      <c r="A82" s="114"/>
      <c r="B82" s="93"/>
      <c r="C82" s="93"/>
      <c r="D82" s="93"/>
      <c r="E82" s="93"/>
      <c r="F82" s="93"/>
      <c r="G82" s="93"/>
      <c r="H82" s="93"/>
      <c r="I82" s="93"/>
      <c r="J82" s="93"/>
      <c r="K82" s="1"/>
      <c r="L82" s="93"/>
      <c r="M82" s="93"/>
      <c r="N82" s="26"/>
    </row>
    <row r="83" spans="1:14" x14ac:dyDescent="0.25">
      <c r="A83" s="114"/>
      <c r="B83" s="93"/>
      <c r="C83" s="93"/>
      <c r="D83" s="93"/>
      <c r="E83" s="93"/>
      <c r="F83" s="93"/>
      <c r="G83" s="93"/>
      <c r="H83" s="93"/>
      <c r="I83" s="93"/>
      <c r="J83" s="93"/>
      <c r="K83" s="1"/>
      <c r="L83" s="93"/>
      <c r="M83" s="93"/>
      <c r="N83" s="26"/>
    </row>
    <row r="84" spans="1:14" x14ac:dyDescent="0.25">
      <c r="A84" s="114"/>
      <c r="B84" s="93"/>
      <c r="C84" s="93"/>
      <c r="D84" s="93"/>
      <c r="E84" s="93"/>
      <c r="F84" s="93"/>
      <c r="G84" s="93"/>
      <c r="H84" s="93"/>
      <c r="I84" s="93"/>
      <c r="J84" s="93"/>
      <c r="K84" s="1"/>
      <c r="L84" s="93"/>
      <c r="M84" s="93"/>
      <c r="N84" s="26"/>
    </row>
    <row r="85" spans="1:14" x14ac:dyDescent="0.25">
      <c r="A85" s="114"/>
      <c r="B85" s="93"/>
      <c r="C85" s="93"/>
      <c r="D85" s="93"/>
      <c r="E85" s="93"/>
      <c r="F85" s="93"/>
      <c r="G85" s="93"/>
      <c r="H85" s="93"/>
      <c r="I85" s="93"/>
      <c r="J85" s="93"/>
      <c r="K85" s="1"/>
      <c r="L85" s="93"/>
      <c r="M85" s="93"/>
      <c r="N85" s="26"/>
    </row>
    <row r="86" spans="1:14" x14ac:dyDescent="0.25">
      <c r="A86" s="114"/>
      <c r="B86" s="93"/>
      <c r="C86" s="93"/>
      <c r="D86" s="93"/>
      <c r="E86" s="93"/>
      <c r="F86" s="93"/>
      <c r="G86" s="93"/>
      <c r="H86" s="93"/>
      <c r="I86" s="93"/>
      <c r="J86" s="93"/>
      <c r="K86" s="1"/>
      <c r="L86" s="93"/>
      <c r="M86" s="93"/>
      <c r="N86" s="26"/>
    </row>
    <row r="87" spans="1:14" x14ac:dyDescent="0.25">
      <c r="A87" s="114"/>
      <c r="B87" s="93"/>
      <c r="C87" s="93"/>
      <c r="D87" s="93"/>
      <c r="E87" s="93"/>
      <c r="F87" s="93"/>
      <c r="G87" s="93"/>
      <c r="H87" s="93"/>
      <c r="I87" s="93"/>
      <c r="J87" s="93"/>
      <c r="K87" s="1"/>
      <c r="L87" s="93"/>
      <c r="M87" s="93"/>
      <c r="N87" s="26"/>
    </row>
    <row r="88" spans="1:14" x14ac:dyDescent="0.25">
      <c r="A88" s="114"/>
      <c r="B88" s="93"/>
      <c r="C88" s="93"/>
      <c r="D88" s="93"/>
      <c r="E88" s="93"/>
      <c r="F88" s="93"/>
      <c r="G88" s="93"/>
      <c r="H88" s="93"/>
      <c r="I88" s="93"/>
      <c r="J88" s="93"/>
      <c r="K88" s="1"/>
      <c r="L88" s="93"/>
      <c r="M88" s="93"/>
      <c r="N88" s="26"/>
    </row>
    <row r="89" spans="1:14" x14ac:dyDescent="0.25">
      <c r="A89" s="114"/>
      <c r="B89" s="93"/>
      <c r="C89" s="93"/>
      <c r="D89" s="93"/>
      <c r="E89" s="93"/>
      <c r="F89" s="93"/>
      <c r="G89" s="93"/>
      <c r="H89" s="93"/>
      <c r="I89" s="93"/>
      <c r="J89" s="93"/>
      <c r="K89" s="1"/>
      <c r="L89" s="93"/>
      <c r="M89" s="93"/>
      <c r="N89" s="26"/>
    </row>
    <row r="90" spans="1:14" x14ac:dyDescent="0.25">
      <c r="A90" s="114"/>
      <c r="B90" s="93"/>
      <c r="C90" s="93"/>
      <c r="D90" s="93"/>
      <c r="E90" s="93"/>
      <c r="F90" s="93"/>
      <c r="G90" s="93"/>
      <c r="H90" s="93"/>
      <c r="I90" s="93"/>
      <c r="J90" s="93"/>
      <c r="K90" s="1"/>
      <c r="L90" s="93"/>
      <c r="M90" s="93"/>
      <c r="N90" s="26"/>
    </row>
    <row r="91" spans="1:14" x14ac:dyDescent="0.25">
      <c r="A91" s="114"/>
      <c r="B91" s="93"/>
      <c r="C91" s="93"/>
      <c r="D91" s="93"/>
      <c r="E91" s="93"/>
      <c r="F91" s="93"/>
      <c r="G91" s="93"/>
      <c r="H91" s="93"/>
      <c r="I91" s="93"/>
      <c r="J91" s="93"/>
      <c r="K91" s="1"/>
      <c r="L91" s="93"/>
      <c r="M91" s="93"/>
      <c r="N91" s="26"/>
    </row>
    <row r="92" spans="1:14" x14ac:dyDescent="0.25">
      <c r="A92" s="114"/>
      <c r="B92" s="93"/>
      <c r="C92" s="93"/>
      <c r="D92" s="93"/>
      <c r="E92" s="93"/>
      <c r="F92" s="93"/>
      <c r="G92" s="93"/>
      <c r="H92" s="93"/>
      <c r="I92" s="93"/>
      <c r="J92" s="93"/>
      <c r="K92" s="1"/>
      <c r="L92" s="93"/>
      <c r="M92" s="93"/>
      <c r="N92" s="26"/>
    </row>
    <row r="93" spans="1:14" x14ac:dyDescent="0.25">
      <c r="A93" s="114"/>
      <c r="B93" s="93"/>
      <c r="C93" s="93"/>
      <c r="D93" s="93"/>
      <c r="E93" s="93"/>
      <c r="F93" s="93"/>
      <c r="G93" s="93"/>
      <c r="H93" s="93"/>
      <c r="I93" s="93"/>
      <c r="J93" s="93"/>
      <c r="K93" s="1"/>
      <c r="L93" s="93"/>
      <c r="M93" s="93"/>
      <c r="N93" s="26"/>
    </row>
    <row r="94" spans="1:14" x14ac:dyDescent="0.25">
      <c r="A94" s="114"/>
      <c r="B94" s="93"/>
      <c r="C94" s="93"/>
      <c r="D94" s="93"/>
      <c r="E94" s="93"/>
      <c r="F94" s="93"/>
      <c r="G94" s="93"/>
      <c r="H94" s="93"/>
      <c r="I94" s="93"/>
      <c r="J94" s="93"/>
      <c r="K94" s="1"/>
      <c r="L94" s="93"/>
      <c r="M94" s="93"/>
      <c r="N94" s="26"/>
    </row>
    <row r="95" spans="1:14" x14ac:dyDescent="0.25">
      <c r="A95" s="114"/>
      <c r="B95" s="93"/>
      <c r="C95" s="93"/>
      <c r="D95" s="93"/>
      <c r="E95" s="93"/>
      <c r="F95" s="93"/>
      <c r="G95" s="93"/>
      <c r="H95" s="93"/>
      <c r="I95" s="93"/>
      <c r="J95" s="93"/>
      <c r="K95" s="1"/>
      <c r="L95" s="93"/>
      <c r="M95" s="93"/>
      <c r="N95" s="26"/>
    </row>
    <row r="96" spans="1:14" x14ac:dyDescent="0.25">
      <c r="A96" s="114"/>
      <c r="B96" s="93"/>
      <c r="C96" s="93"/>
      <c r="D96" s="93"/>
      <c r="E96" s="93"/>
      <c r="F96" s="93"/>
      <c r="G96" s="93"/>
      <c r="H96" s="93"/>
      <c r="I96" s="93"/>
      <c r="J96" s="93"/>
      <c r="K96" s="1"/>
      <c r="L96" s="93"/>
      <c r="M96" s="93"/>
      <c r="N96" s="26"/>
    </row>
    <row r="97" spans="1:14" x14ac:dyDescent="0.25">
      <c r="A97" s="114"/>
      <c r="B97" s="93"/>
      <c r="C97" s="93"/>
      <c r="D97" s="93"/>
      <c r="E97" s="93"/>
      <c r="F97" s="93"/>
      <c r="G97" s="93"/>
      <c r="H97" s="93"/>
      <c r="I97" s="93"/>
      <c r="J97" s="93"/>
      <c r="K97" s="1"/>
      <c r="L97" s="93"/>
      <c r="M97" s="93"/>
      <c r="N97" s="26"/>
    </row>
    <row r="98" spans="1:14" x14ac:dyDescent="0.25">
      <c r="A98" s="114"/>
      <c r="B98" s="93"/>
      <c r="C98" s="93"/>
      <c r="D98" s="93"/>
      <c r="E98" s="93"/>
      <c r="F98" s="93"/>
      <c r="G98" s="93"/>
      <c r="H98" s="93"/>
      <c r="I98" s="93"/>
      <c r="J98" s="93"/>
      <c r="K98" s="1"/>
      <c r="L98" s="93"/>
      <c r="M98" s="93"/>
      <c r="N98" s="26"/>
    </row>
    <row r="99" spans="1:14" x14ac:dyDescent="0.25">
      <c r="A99" s="114"/>
      <c r="B99" s="93"/>
      <c r="C99" s="93"/>
      <c r="D99" s="93"/>
      <c r="E99" s="93"/>
      <c r="F99" s="93"/>
      <c r="G99" s="93"/>
      <c r="H99" s="93"/>
      <c r="I99" s="93"/>
      <c r="J99" s="93"/>
      <c r="K99" s="1"/>
      <c r="L99" s="93"/>
      <c r="M99" s="93"/>
      <c r="N99" s="26"/>
    </row>
    <row r="100" spans="1:14" x14ac:dyDescent="0.25">
      <c r="A100" s="114"/>
      <c r="B100" s="93"/>
      <c r="C100" s="93"/>
      <c r="D100" s="93"/>
      <c r="E100" s="93"/>
      <c r="F100" s="93"/>
      <c r="G100" s="93"/>
      <c r="H100" s="93"/>
      <c r="I100" s="93"/>
      <c r="J100" s="93"/>
      <c r="K100" s="1"/>
      <c r="L100" s="93"/>
      <c r="M100" s="93"/>
      <c r="N100" s="26"/>
    </row>
    <row r="101" spans="1:14" x14ac:dyDescent="0.25">
      <c r="A101" s="114"/>
      <c r="B101" s="93"/>
      <c r="C101" s="93"/>
      <c r="D101" s="93"/>
      <c r="E101" s="93"/>
      <c r="F101" s="93"/>
      <c r="G101" s="93"/>
      <c r="H101" s="93"/>
      <c r="I101" s="93"/>
      <c r="J101" s="93"/>
      <c r="K101" s="1"/>
      <c r="L101" s="93"/>
      <c r="M101" s="93"/>
      <c r="N101" s="26"/>
    </row>
    <row r="102" spans="1:14" x14ac:dyDescent="0.25">
      <c r="A102" s="114"/>
      <c r="B102" s="93"/>
      <c r="C102" s="93"/>
      <c r="D102" s="93"/>
      <c r="E102" s="93"/>
      <c r="F102" s="93"/>
      <c r="G102" s="93"/>
      <c r="H102" s="93"/>
      <c r="I102" s="93"/>
      <c r="J102" s="93"/>
      <c r="K102" s="1"/>
      <c r="L102" s="93"/>
      <c r="M102" s="93"/>
      <c r="N102" s="26"/>
    </row>
    <row r="103" spans="1:14" x14ac:dyDescent="0.25">
      <c r="A103" s="114"/>
      <c r="B103" s="93"/>
      <c r="C103" s="93"/>
      <c r="D103" s="93"/>
      <c r="E103" s="93"/>
      <c r="F103" s="93"/>
      <c r="G103" s="93"/>
      <c r="H103" s="93"/>
      <c r="I103" s="93"/>
      <c r="J103" s="93"/>
      <c r="K103" s="1"/>
      <c r="L103" s="93"/>
      <c r="M103" s="93"/>
      <c r="N103" s="26"/>
    </row>
    <row r="104" spans="1:14" x14ac:dyDescent="0.25">
      <c r="A104" s="114"/>
      <c r="B104" s="93"/>
      <c r="C104" s="93"/>
      <c r="D104" s="93"/>
      <c r="E104" s="93"/>
      <c r="F104" s="93"/>
      <c r="G104" s="93"/>
      <c r="H104" s="93"/>
      <c r="I104" s="93"/>
      <c r="J104" s="93"/>
      <c r="K104" s="1"/>
      <c r="L104" s="93"/>
      <c r="M104" s="93"/>
      <c r="N104" s="26"/>
    </row>
    <row r="105" spans="1:14" x14ac:dyDescent="0.25">
      <c r="A105" s="114"/>
      <c r="B105" s="93"/>
      <c r="C105" s="93"/>
      <c r="D105" s="93"/>
      <c r="E105" s="93"/>
      <c r="F105" s="93"/>
      <c r="G105" s="93"/>
      <c r="H105" s="93"/>
      <c r="I105" s="93"/>
      <c r="J105" s="93"/>
      <c r="K105" s="1"/>
      <c r="L105" s="93"/>
      <c r="M105" s="93"/>
      <c r="N105" s="26"/>
    </row>
    <row r="106" spans="1:14" x14ac:dyDescent="0.25">
      <c r="A106" s="114"/>
      <c r="B106" s="93"/>
      <c r="C106" s="93"/>
      <c r="D106" s="93"/>
      <c r="E106" s="93"/>
      <c r="F106" s="93"/>
      <c r="G106" s="93"/>
      <c r="H106" s="93"/>
      <c r="I106" s="93"/>
      <c r="J106" s="93"/>
      <c r="K106" s="1"/>
      <c r="L106" s="93"/>
      <c r="M106" s="93"/>
      <c r="N106" s="26"/>
    </row>
    <row r="107" spans="1:14" x14ac:dyDescent="0.25">
      <c r="A107" s="114"/>
      <c r="B107" s="93"/>
      <c r="C107" s="93"/>
      <c r="D107" s="93"/>
      <c r="E107" s="93"/>
      <c r="F107" s="93"/>
      <c r="G107" s="93"/>
      <c r="H107" s="93"/>
      <c r="I107" s="93"/>
      <c r="J107" s="93"/>
      <c r="K107" s="1"/>
      <c r="L107" s="93"/>
      <c r="M107" s="93"/>
      <c r="N107" s="26"/>
    </row>
    <row r="108" spans="1:14" x14ac:dyDescent="0.25">
      <c r="A108" s="114"/>
      <c r="B108" s="93"/>
      <c r="C108" s="93"/>
      <c r="D108" s="93"/>
      <c r="E108" s="93"/>
      <c r="F108" s="93"/>
      <c r="G108" s="93"/>
      <c r="H108" s="93"/>
      <c r="I108" s="93"/>
      <c r="J108" s="93"/>
      <c r="K108" s="1"/>
      <c r="L108" s="93"/>
      <c r="M108" s="93"/>
      <c r="N108" s="26"/>
    </row>
    <row r="109" spans="1:14" x14ac:dyDescent="0.25">
      <c r="A109" s="114"/>
      <c r="B109" s="93"/>
      <c r="C109" s="93"/>
      <c r="D109" s="93"/>
      <c r="E109" s="93"/>
      <c r="F109" s="93"/>
      <c r="G109" s="93"/>
      <c r="H109" s="93"/>
      <c r="I109" s="93"/>
      <c r="J109" s="93"/>
      <c r="K109" s="1"/>
      <c r="L109" s="93"/>
      <c r="M109" s="93"/>
      <c r="N109" s="26"/>
    </row>
    <row r="110" spans="1:14" x14ac:dyDescent="0.25">
      <c r="A110" s="114"/>
      <c r="B110" s="93"/>
      <c r="C110" s="93"/>
      <c r="D110" s="93"/>
      <c r="E110" s="93"/>
      <c r="F110" s="93"/>
      <c r="G110" s="93"/>
      <c r="H110" s="93"/>
      <c r="I110" s="93"/>
      <c r="J110" s="93"/>
      <c r="K110" s="1"/>
      <c r="L110" s="93"/>
      <c r="M110" s="93"/>
      <c r="N110" s="26"/>
    </row>
    <row r="111" spans="1:14" x14ac:dyDescent="0.25">
      <c r="A111" s="114"/>
      <c r="B111" s="93"/>
      <c r="C111" s="93"/>
      <c r="D111" s="93"/>
      <c r="E111" s="93"/>
      <c r="F111" s="93"/>
      <c r="G111" s="93"/>
      <c r="H111" s="93"/>
      <c r="I111" s="93"/>
      <c r="J111" s="93"/>
      <c r="K111" s="1"/>
      <c r="L111" s="93"/>
      <c r="M111" s="93"/>
      <c r="N111" s="26"/>
    </row>
    <row r="112" spans="1:14" x14ac:dyDescent="0.25">
      <c r="A112" s="114"/>
      <c r="B112" s="93"/>
      <c r="C112" s="93"/>
      <c r="D112" s="93"/>
      <c r="E112" s="93"/>
      <c r="F112" s="93"/>
      <c r="G112" s="93"/>
      <c r="H112" s="93"/>
      <c r="I112" s="93"/>
      <c r="J112" s="93"/>
      <c r="K112" s="1"/>
      <c r="L112" s="93"/>
      <c r="M112" s="93"/>
      <c r="N112" s="26"/>
    </row>
    <row r="113" spans="1:14" x14ac:dyDescent="0.25">
      <c r="A113" s="114"/>
      <c r="B113" s="93"/>
      <c r="C113" s="93"/>
      <c r="D113" s="93"/>
      <c r="E113" s="93"/>
      <c r="F113" s="93"/>
      <c r="G113" s="93"/>
      <c r="H113" s="93"/>
      <c r="I113" s="93"/>
      <c r="J113" s="93"/>
      <c r="K113" s="1"/>
      <c r="L113" s="93"/>
      <c r="M113" s="93"/>
      <c r="N113" s="26"/>
    </row>
    <row r="114" spans="1:14" x14ac:dyDescent="0.25">
      <c r="A114" s="114"/>
      <c r="B114" s="114"/>
      <c r="C114" s="114"/>
      <c r="D114" s="114"/>
      <c r="E114" s="114"/>
      <c r="F114" s="114"/>
      <c r="G114" s="114"/>
      <c r="H114" s="114"/>
      <c r="I114" s="114"/>
      <c r="J114" s="114"/>
      <c r="K114" s="1"/>
      <c r="L114" s="114"/>
      <c r="M114" s="114"/>
      <c r="N114" s="26"/>
    </row>
    <row r="115" spans="1:14" x14ac:dyDescent="0.25">
      <c r="A115" s="114"/>
      <c r="B115" s="114"/>
      <c r="C115" s="114"/>
      <c r="D115" s="114"/>
      <c r="E115" s="114"/>
      <c r="F115" s="114"/>
      <c r="G115" s="114"/>
      <c r="H115" s="114"/>
      <c r="I115" s="114"/>
      <c r="J115" s="114"/>
      <c r="K115" s="1"/>
      <c r="L115" s="114"/>
      <c r="M115" s="114"/>
      <c r="N115" s="26"/>
    </row>
    <row r="116" spans="1:14" x14ac:dyDescent="0.25">
      <c r="A116" s="114"/>
      <c r="B116" s="114"/>
      <c r="C116" s="114"/>
      <c r="D116" s="114"/>
      <c r="E116" s="114"/>
      <c r="F116" s="114"/>
      <c r="G116" s="114"/>
      <c r="H116" s="114"/>
      <c r="I116" s="114"/>
      <c r="J116" s="114"/>
      <c r="K116" s="1"/>
      <c r="L116" s="114"/>
      <c r="M116" s="114"/>
      <c r="N116" s="26"/>
    </row>
    <row r="117" spans="1:14" x14ac:dyDescent="0.25">
      <c r="A117" s="114"/>
      <c r="B117" s="114"/>
      <c r="C117" s="114"/>
      <c r="D117" s="114"/>
      <c r="E117" s="114"/>
      <c r="F117" s="114"/>
      <c r="G117" s="114"/>
      <c r="H117" s="114"/>
      <c r="I117" s="114"/>
      <c r="J117" s="114"/>
      <c r="K117" s="1"/>
      <c r="L117" s="114"/>
      <c r="M117" s="114"/>
      <c r="N117" s="26"/>
    </row>
    <row r="118" spans="1:14" x14ac:dyDescent="0.25">
      <c r="A118" s="114"/>
      <c r="B118" s="114"/>
      <c r="C118" s="114"/>
      <c r="D118" s="114"/>
      <c r="E118" s="114"/>
      <c r="F118" s="114"/>
      <c r="G118" s="114"/>
      <c r="H118" s="114"/>
      <c r="I118" s="114"/>
      <c r="J118" s="114"/>
      <c r="K118" s="1"/>
      <c r="L118" s="114"/>
      <c r="M118" s="114"/>
      <c r="N118" s="26"/>
    </row>
    <row r="119" spans="1:14" x14ac:dyDescent="0.25">
      <c r="A119" s="114"/>
      <c r="B119" s="114"/>
      <c r="C119" s="114"/>
      <c r="D119" s="114"/>
      <c r="E119" s="114"/>
      <c r="F119" s="114"/>
      <c r="G119" s="114"/>
      <c r="H119" s="114"/>
      <c r="I119" s="114"/>
      <c r="J119" s="114"/>
      <c r="K119" s="1"/>
      <c r="L119" s="114"/>
      <c r="M119" s="114"/>
      <c r="N119" s="26"/>
    </row>
    <row r="120" spans="1:14" x14ac:dyDescent="0.25">
      <c r="A120" s="114"/>
      <c r="B120" s="114"/>
      <c r="C120" s="114"/>
      <c r="D120" s="114"/>
      <c r="E120" s="114"/>
      <c r="F120" s="114"/>
      <c r="G120" s="114"/>
      <c r="H120" s="114"/>
      <c r="I120" s="114"/>
      <c r="J120" s="114"/>
      <c r="K120" s="1"/>
      <c r="L120" s="114"/>
      <c r="M120" s="114"/>
      <c r="N120" s="26"/>
    </row>
    <row r="121" spans="1:14" x14ac:dyDescent="0.25">
      <c r="A121" s="114"/>
      <c r="B121" s="114"/>
      <c r="C121" s="114"/>
      <c r="D121" s="114"/>
      <c r="E121" s="114"/>
      <c r="F121" s="114"/>
      <c r="G121" s="114"/>
      <c r="H121" s="114"/>
      <c r="I121" s="114"/>
      <c r="J121" s="114"/>
      <c r="K121" s="1"/>
      <c r="L121" s="114"/>
      <c r="M121" s="114"/>
      <c r="N121" s="26"/>
    </row>
    <row r="122" spans="1:14" x14ac:dyDescent="0.25">
      <c r="A122" s="114"/>
      <c r="B122" s="114"/>
      <c r="C122" s="114"/>
      <c r="D122" s="114"/>
      <c r="E122" s="114"/>
      <c r="F122" s="114"/>
      <c r="G122" s="114"/>
      <c r="H122" s="114"/>
      <c r="I122" s="114"/>
      <c r="J122" s="114"/>
      <c r="K122" s="1"/>
      <c r="L122" s="114"/>
      <c r="M122" s="114"/>
      <c r="N122" s="26"/>
    </row>
    <row r="123" spans="1:14" x14ac:dyDescent="0.25">
      <c r="A123" s="114"/>
      <c r="B123" s="114"/>
      <c r="C123" s="114"/>
      <c r="D123" s="114"/>
      <c r="E123" s="114"/>
      <c r="F123" s="114"/>
      <c r="G123" s="114"/>
      <c r="H123" s="114"/>
      <c r="I123" s="114"/>
      <c r="J123" s="114"/>
      <c r="K123" s="1"/>
      <c r="L123" s="114"/>
      <c r="M123" s="114"/>
      <c r="N123" s="26"/>
    </row>
    <row r="124" spans="1:14" x14ac:dyDescent="0.25">
      <c r="A124" s="114"/>
      <c r="B124" s="114"/>
      <c r="C124" s="114"/>
      <c r="D124" s="114"/>
      <c r="E124" s="114"/>
      <c r="F124" s="114"/>
      <c r="G124" s="114"/>
      <c r="H124" s="114"/>
      <c r="I124" s="114"/>
      <c r="J124" s="114"/>
      <c r="K124" s="1"/>
      <c r="L124" s="114"/>
      <c r="M124" s="114"/>
      <c r="N124" s="26"/>
    </row>
    <row r="125" spans="1:14" x14ac:dyDescent="0.25">
      <c r="A125" s="114"/>
      <c r="B125" s="114"/>
      <c r="C125" s="114"/>
      <c r="D125" s="114"/>
      <c r="E125" s="114"/>
      <c r="F125" s="114"/>
      <c r="G125" s="114"/>
      <c r="H125" s="114"/>
      <c r="I125" s="114"/>
      <c r="J125" s="114"/>
      <c r="K125" s="1"/>
      <c r="L125" s="114"/>
      <c r="M125" s="114"/>
      <c r="N125" s="26"/>
    </row>
    <row r="126" spans="1:14" x14ac:dyDescent="0.25">
      <c r="A126" s="114"/>
      <c r="B126" s="114"/>
      <c r="C126" s="114"/>
      <c r="D126" s="114"/>
      <c r="E126" s="114"/>
      <c r="F126" s="114"/>
      <c r="G126" s="114"/>
      <c r="H126" s="114"/>
      <c r="I126" s="114"/>
      <c r="J126" s="114"/>
      <c r="K126" s="1"/>
      <c r="L126" s="114"/>
      <c r="M126" s="114"/>
      <c r="N126" s="26"/>
    </row>
    <row r="127" spans="1:14" x14ac:dyDescent="0.25">
      <c r="A127" s="114"/>
      <c r="B127" s="114"/>
      <c r="C127" s="114"/>
      <c r="D127" s="114"/>
      <c r="E127" s="114"/>
      <c r="F127" s="114"/>
      <c r="G127" s="114"/>
      <c r="H127" s="114"/>
      <c r="I127" s="114"/>
      <c r="J127" s="114"/>
      <c r="K127" s="1"/>
      <c r="L127" s="114"/>
      <c r="M127" s="114"/>
      <c r="N127" s="26"/>
    </row>
    <row r="128" spans="1:14" x14ac:dyDescent="0.25">
      <c r="A128" s="114"/>
      <c r="B128" s="114"/>
      <c r="C128" s="114"/>
      <c r="D128" s="114"/>
      <c r="E128" s="114"/>
      <c r="F128" s="114"/>
      <c r="G128" s="114"/>
      <c r="H128" s="114"/>
      <c r="I128" s="114"/>
      <c r="J128" s="114"/>
      <c r="K128" s="1"/>
      <c r="L128" s="114"/>
      <c r="M128" s="114"/>
      <c r="N128" s="26"/>
    </row>
    <row r="129" spans="1:14" x14ac:dyDescent="0.25">
      <c r="A129" s="114"/>
      <c r="B129" s="114"/>
      <c r="C129" s="114"/>
      <c r="D129" s="114"/>
      <c r="E129" s="114"/>
      <c r="F129" s="114"/>
      <c r="G129" s="114"/>
      <c r="H129" s="114"/>
      <c r="I129" s="114"/>
      <c r="J129" s="114"/>
      <c r="K129" s="1"/>
      <c r="L129" s="114"/>
      <c r="M129" s="114"/>
      <c r="N129" s="26"/>
    </row>
    <row r="130" spans="1:14" x14ac:dyDescent="0.25">
      <c r="A130" s="114"/>
      <c r="B130" s="114"/>
      <c r="C130" s="114"/>
      <c r="D130" s="114"/>
      <c r="E130" s="114"/>
      <c r="F130" s="114"/>
      <c r="G130" s="114"/>
      <c r="H130" s="114"/>
      <c r="I130" s="114"/>
      <c r="J130" s="114"/>
      <c r="K130" s="1"/>
      <c r="L130" s="114"/>
      <c r="M130" s="114"/>
      <c r="N130" s="26"/>
    </row>
    <row r="131" spans="1:14" x14ac:dyDescent="0.25">
      <c r="A131" s="114"/>
      <c r="B131" s="114"/>
      <c r="C131" s="114"/>
      <c r="D131" s="114"/>
      <c r="E131" s="114"/>
      <c r="F131" s="114"/>
      <c r="G131" s="114"/>
      <c r="H131" s="114"/>
      <c r="I131" s="114"/>
      <c r="J131" s="114"/>
      <c r="K131" s="1"/>
      <c r="L131" s="114"/>
      <c r="M131" s="114"/>
      <c r="N131" s="26"/>
    </row>
    <row r="132" spans="1:14" x14ac:dyDescent="0.25">
      <c r="A132" s="114"/>
      <c r="B132" s="114"/>
      <c r="C132" s="114"/>
      <c r="D132" s="114"/>
      <c r="E132" s="114"/>
      <c r="F132" s="114"/>
      <c r="G132" s="114"/>
      <c r="H132" s="114"/>
      <c r="I132" s="114"/>
      <c r="J132" s="114"/>
      <c r="K132" s="1"/>
      <c r="L132" s="114"/>
      <c r="M132" s="114"/>
      <c r="N132" s="26"/>
    </row>
    <row r="133" spans="1:14" x14ac:dyDescent="0.25">
      <c r="A133" s="114"/>
      <c r="B133" s="114"/>
      <c r="C133" s="114"/>
      <c r="D133" s="114"/>
      <c r="E133" s="114"/>
      <c r="F133" s="114"/>
      <c r="G133" s="114"/>
      <c r="H133" s="114"/>
      <c r="I133" s="114"/>
      <c r="J133" s="114"/>
      <c r="K133" s="1"/>
      <c r="L133" s="114"/>
      <c r="M133" s="114"/>
      <c r="N133" s="26"/>
    </row>
    <row r="134" spans="1:14" x14ac:dyDescent="0.25">
      <c r="A134" s="114"/>
      <c r="B134" s="114"/>
      <c r="C134" s="114"/>
      <c r="D134" s="114"/>
      <c r="E134" s="114"/>
      <c r="F134" s="114"/>
      <c r="G134" s="114"/>
      <c r="H134" s="114"/>
      <c r="I134" s="114"/>
      <c r="J134" s="114"/>
      <c r="K134" s="1"/>
      <c r="L134" s="114"/>
      <c r="M134" s="114"/>
      <c r="N134" s="26"/>
    </row>
    <row r="135" spans="1:14" x14ac:dyDescent="0.25">
      <c r="A135" s="114"/>
      <c r="B135" s="114"/>
      <c r="C135" s="114"/>
      <c r="D135" s="114"/>
      <c r="E135" s="114"/>
      <c r="F135" s="114"/>
      <c r="G135" s="114"/>
      <c r="H135" s="114"/>
      <c r="I135" s="114"/>
      <c r="J135" s="114"/>
      <c r="K135" s="1"/>
      <c r="L135" s="114"/>
      <c r="M135" s="114"/>
      <c r="N135" s="26"/>
    </row>
    <row r="136" spans="1:14" x14ac:dyDescent="0.25">
      <c r="A136" s="114"/>
      <c r="B136" s="114"/>
      <c r="C136" s="114"/>
      <c r="D136" s="114"/>
      <c r="E136" s="114"/>
      <c r="F136" s="114"/>
      <c r="G136" s="114"/>
      <c r="H136" s="114"/>
      <c r="I136" s="114"/>
      <c r="J136" s="114"/>
      <c r="K136" s="1"/>
      <c r="L136" s="114"/>
      <c r="M136" s="114"/>
      <c r="N136" s="26"/>
    </row>
    <row r="137" spans="1:14" x14ac:dyDescent="0.25">
      <c r="A137" s="114"/>
      <c r="B137" s="114"/>
      <c r="C137" s="114"/>
      <c r="D137" s="114"/>
      <c r="E137" s="114"/>
      <c r="F137" s="114"/>
      <c r="G137" s="114"/>
      <c r="H137" s="114"/>
      <c r="I137" s="114"/>
      <c r="J137" s="114"/>
      <c r="K137" s="1"/>
      <c r="L137" s="114"/>
      <c r="M137" s="114"/>
      <c r="N137" s="26"/>
    </row>
    <row r="138" spans="1:14" x14ac:dyDescent="0.25">
      <c r="A138" s="114"/>
      <c r="B138" s="114"/>
      <c r="C138" s="114"/>
      <c r="D138" s="114"/>
      <c r="E138" s="114"/>
      <c r="F138" s="114"/>
      <c r="G138" s="114"/>
      <c r="H138" s="114"/>
      <c r="I138" s="114"/>
      <c r="J138" s="114"/>
      <c r="K138" s="1"/>
      <c r="L138" s="114"/>
      <c r="M138" s="114"/>
      <c r="N138" s="26"/>
    </row>
    <row r="139" spans="1:14" x14ac:dyDescent="0.25">
      <c r="A139" s="114"/>
      <c r="B139" s="114"/>
      <c r="C139" s="114"/>
      <c r="D139" s="114"/>
      <c r="E139" s="114"/>
      <c r="F139" s="114"/>
      <c r="G139" s="114"/>
      <c r="H139" s="114"/>
      <c r="I139" s="114"/>
      <c r="J139" s="114"/>
      <c r="K139" s="1"/>
      <c r="L139" s="114"/>
      <c r="M139" s="114"/>
      <c r="N139" s="26"/>
    </row>
    <row r="140" spans="1:14" x14ac:dyDescent="0.25">
      <c r="A140" s="114"/>
      <c r="B140" s="114"/>
      <c r="C140" s="114"/>
      <c r="D140" s="114"/>
      <c r="E140" s="114"/>
      <c r="F140" s="114"/>
      <c r="G140" s="114"/>
      <c r="H140" s="114"/>
      <c r="I140" s="114"/>
      <c r="J140" s="114"/>
      <c r="K140" s="1"/>
      <c r="L140" s="114"/>
      <c r="M140" s="114"/>
      <c r="N140" s="26"/>
    </row>
    <row r="141" spans="1:14" x14ac:dyDescent="0.25">
      <c r="A141" s="114"/>
      <c r="B141" s="114"/>
      <c r="C141" s="114"/>
      <c r="D141" s="114"/>
      <c r="E141" s="114"/>
      <c r="F141" s="114"/>
      <c r="G141" s="114"/>
      <c r="H141" s="114"/>
      <c r="I141" s="114"/>
      <c r="J141" s="114"/>
      <c r="K141" s="1"/>
      <c r="L141" s="114"/>
      <c r="M141" s="114"/>
      <c r="N141" s="26"/>
    </row>
    <row r="142" spans="1:14" x14ac:dyDescent="0.25">
      <c r="A142" s="114"/>
      <c r="B142" s="114"/>
      <c r="C142" s="114"/>
      <c r="D142" s="114"/>
      <c r="E142" s="114"/>
      <c r="F142" s="114"/>
      <c r="G142" s="114"/>
      <c r="H142" s="114"/>
      <c r="I142" s="114"/>
      <c r="J142" s="114"/>
      <c r="K142" s="1"/>
      <c r="L142" s="114"/>
      <c r="M142" s="114"/>
      <c r="N142" s="26"/>
    </row>
    <row r="143" spans="1:14" x14ac:dyDescent="0.25">
      <c r="A143" s="114"/>
      <c r="B143" s="114"/>
      <c r="C143" s="114"/>
      <c r="D143" s="114"/>
      <c r="E143" s="114"/>
      <c r="F143" s="114"/>
      <c r="G143" s="114"/>
      <c r="H143" s="114"/>
      <c r="I143" s="114"/>
      <c r="J143" s="114"/>
      <c r="K143" s="1"/>
      <c r="L143" s="114"/>
      <c r="M143" s="114"/>
      <c r="N143" s="26"/>
    </row>
    <row r="144" spans="1:14" x14ac:dyDescent="0.25">
      <c r="A144" s="114"/>
      <c r="B144" s="114"/>
      <c r="C144" s="114"/>
      <c r="D144" s="114"/>
      <c r="E144" s="114"/>
      <c r="F144" s="114"/>
      <c r="G144" s="114"/>
      <c r="H144" s="114"/>
      <c r="I144" s="114"/>
      <c r="J144" s="114"/>
      <c r="K144" s="1"/>
      <c r="L144" s="114"/>
      <c r="M144" s="114"/>
      <c r="N144" s="26"/>
    </row>
    <row r="145" spans="1:14" x14ac:dyDescent="0.25">
      <c r="A145" s="114"/>
      <c r="B145" s="114"/>
      <c r="C145" s="114"/>
      <c r="D145" s="114"/>
      <c r="E145" s="114"/>
      <c r="F145" s="114"/>
      <c r="G145" s="114"/>
      <c r="H145" s="114"/>
      <c r="I145" s="114"/>
      <c r="J145" s="114"/>
      <c r="K145" s="1"/>
      <c r="L145" s="114"/>
      <c r="M145" s="114"/>
      <c r="N145" s="26"/>
    </row>
    <row r="146" spans="1:14" x14ac:dyDescent="0.25">
      <c r="A146" s="114"/>
      <c r="B146" s="114"/>
      <c r="C146" s="114"/>
      <c r="D146" s="114"/>
      <c r="E146" s="114"/>
      <c r="F146" s="114"/>
      <c r="G146" s="114"/>
      <c r="H146" s="114"/>
      <c r="I146" s="114"/>
      <c r="J146" s="114"/>
      <c r="K146" s="1"/>
      <c r="L146" s="114"/>
      <c r="M146" s="114"/>
      <c r="N146" s="26"/>
    </row>
    <row r="147" spans="1:14" x14ac:dyDescent="0.25">
      <c r="A147" s="114"/>
      <c r="B147" s="114"/>
      <c r="C147" s="114"/>
      <c r="D147" s="114"/>
      <c r="E147" s="114"/>
      <c r="F147" s="114"/>
      <c r="G147" s="114"/>
      <c r="H147" s="114"/>
      <c r="I147" s="114"/>
      <c r="J147" s="114"/>
      <c r="K147" s="1"/>
      <c r="L147" s="114"/>
      <c r="M147" s="114"/>
      <c r="N147" s="26"/>
    </row>
    <row r="148" spans="1:14" x14ac:dyDescent="0.25">
      <c r="A148" s="114"/>
      <c r="B148" s="114"/>
      <c r="C148" s="114"/>
      <c r="D148" s="114"/>
      <c r="E148" s="114"/>
      <c r="F148" s="114"/>
      <c r="G148" s="114"/>
      <c r="H148" s="114"/>
      <c r="I148" s="114"/>
      <c r="J148" s="114"/>
      <c r="K148" s="1"/>
      <c r="L148" s="114"/>
      <c r="M148" s="114"/>
      <c r="N148" s="26"/>
    </row>
    <row r="149" spans="1:14" x14ac:dyDescent="0.25">
      <c r="A149" s="114"/>
      <c r="B149" s="114"/>
      <c r="C149" s="114"/>
      <c r="D149" s="114"/>
      <c r="E149" s="114"/>
      <c r="F149" s="114"/>
      <c r="G149" s="114"/>
      <c r="H149" s="114"/>
      <c r="I149" s="114"/>
      <c r="J149" s="114"/>
      <c r="K149" s="1"/>
      <c r="L149" s="114"/>
      <c r="M149" s="114"/>
      <c r="N149" s="26"/>
    </row>
    <row r="150" spans="1:14" x14ac:dyDescent="0.25">
      <c r="A150" s="114"/>
      <c r="B150" s="114"/>
      <c r="C150" s="114"/>
      <c r="D150" s="114"/>
      <c r="E150" s="114"/>
      <c r="F150" s="114"/>
      <c r="G150" s="114"/>
      <c r="H150" s="114"/>
      <c r="I150" s="114"/>
      <c r="J150" s="114"/>
      <c r="K150" s="1"/>
      <c r="L150" s="114"/>
      <c r="M150" s="114"/>
      <c r="N150" s="26"/>
    </row>
    <row r="151" spans="1:14" x14ac:dyDescent="0.25">
      <c r="A151" s="114"/>
      <c r="B151" s="114"/>
      <c r="C151" s="114"/>
      <c r="D151" s="114"/>
      <c r="E151" s="114"/>
      <c r="F151" s="114"/>
      <c r="G151" s="114"/>
      <c r="H151" s="114"/>
      <c r="I151" s="114"/>
      <c r="J151" s="114"/>
      <c r="K151" s="1"/>
      <c r="L151" s="114"/>
      <c r="M151" s="114"/>
      <c r="N151" s="26"/>
    </row>
    <row r="152" spans="1:14" x14ac:dyDescent="0.25">
      <c r="A152" s="114"/>
      <c r="B152" s="114"/>
      <c r="C152" s="114"/>
      <c r="D152" s="114"/>
      <c r="E152" s="114"/>
      <c r="F152" s="114"/>
      <c r="G152" s="114"/>
      <c r="H152" s="114"/>
      <c r="I152" s="114"/>
      <c r="J152" s="114"/>
      <c r="K152" s="1"/>
      <c r="L152" s="114"/>
      <c r="M152" s="114"/>
      <c r="N152" s="26"/>
    </row>
    <row r="153" spans="1:14" x14ac:dyDescent="0.25">
      <c r="A153" s="114"/>
      <c r="B153" s="114"/>
      <c r="C153" s="114"/>
      <c r="D153" s="114"/>
      <c r="E153" s="114"/>
      <c r="F153" s="114"/>
      <c r="G153" s="114"/>
      <c r="H153" s="114"/>
      <c r="I153" s="114"/>
      <c r="J153" s="114"/>
      <c r="K153" s="1"/>
      <c r="L153" s="114"/>
      <c r="M153" s="114"/>
      <c r="N153" s="26"/>
    </row>
    <row r="154" spans="1:14" x14ac:dyDescent="0.25">
      <c r="A154" s="114"/>
      <c r="B154" s="114"/>
      <c r="C154" s="114"/>
      <c r="D154" s="114"/>
      <c r="E154" s="114"/>
      <c r="F154" s="114"/>
      <c r="G154" s="114"/>
      <c r="H154" s="114"/>
      <c r="I154" s="114"/>
      <c r="J154" s="114"/>
      <c r="K154" s="1"/>
      <c r="L154" s="114"/>
      <c r="M154" s="114"/>
      <c r="N154" s="26"/>
    </row>
    <row r="155" spans="1:14" x14ac:dyDescent="0.25">
      <c r="A155" s="114"/>
      <c r="B155" s="114"/>
      <c r="C155" s="114"/>
      <c r="D155" s="114"/>
      <c r="E155" s="114"/>
      <c r="F155" s="114"/>
      <c r="G155" s="114"/>
      <c r="H155" s="114"/>
      <c r="I155" s="114"/>
      <c r="J155" s="114"/>
      <c r="K155" s="1"/>
      <c r="L155" s="114"/>
      <c r="M155" s="114"/>
      <c r="N155" s="26"/>
    </row>
    <row r="156" spans="1:14" x14ac:dyDescent="0.25">
      <c r="A156" s="114"/>
      <c r="B156" s="114"/>
      <c r="C156" s="114"/>
      <c r="D156" s="114"/>
      <c r="E156" s="114"/>
      <c r="F156" s="114"/>
      <c r="G156" s="114"/>
      <c r="H156" s="114"/>
      <c r="I156" s="114"/>
      <c r="J156" s="114"/>
      <c r="K156" s="1"/>
      <c r="L156" s="114"/>
      <c r="M156" s="114"/>
      <c r="N156" s="26"/>
    </row>
    <row r="157" spans="1:14" x14ac:dyDescent="0.25">
      <c r="A157" s="114"/>
      <c r="B157" s="114"/>
      <c r="C157" s="114"/>
      <c r="D157" s="114"/>
      <c r="E157" s="114"/>
      <c r="F157" s="114"/>
      <c r="G157" s="114"/>
      <c r="H157" s="114"/>
      <c r="I157" s="114"/>
      <c r="J157" s="114"/>
      <c r="K157" s="1"/>
      <c r="L157" s="114"/>
      <c r="M157" s="114"/>
      <c r="N157" s="26"/>
    </row>
    <row r="158" spans="1:14" x14ac:dyDescent="0.25">
      <c r="A158" s="114"/>
      <c r="B158" s="114"/>
      <c r="C158" s="114"/>
      <c r="D158" s="114"/>
      <c r="E158" s="114"/>
      <c r="F158" s="114"/>
      <c r="G158" s="114"/>
      <c r="H158" s="114"/>
      <c r="I158" s="114"/>
      <c r="J158" s="114"/>
      <c r="K158" s="1"/>
      <c r="L158" s="114"/>
      <c r="M158" s="114"/>
      <c r="N158" s="26"/>
    </row>
    <row r="159" spans="1:14" x14ac:dyDescent="0.25">
      <c r="A159" s="114"/>
      <c r="B159" s="114"/>
      <c r="C159" s="114"/>
      <c r="D159" s="114"/>
      <c r="E159" s="114"/>
      <c r="F159" s="114"/>
      <c r="G159" s="114"/>
      <c r="H159" s="114"/>
      <c r="I159" s="114"/>
      <c r="J159" s="114"/>
      <c r="K159" s="1"/>
      <c r="L159" s="114"/>
      <c r="M159" s="114"/>
      <c r="N159" s="26"/>
    </row>
    <row r="160" spans="1:14" x14ac:dyDescent="0.25">
      <c r="A160" s="114"/>
      <c r="B160" s="114"/>
      <c r="C160" s="114"/>
      <c r="D160" s="114"/>
      <c r="E160" s="114"/>
      <c r="F160" s="114"/>
      <c r="G160" s="114"/>
      <c r="H160" s="114"/>
      <c r="I160" s="114"/>
      <c r="J160" s="114"/>
      <c r="L160" s="114"/>
      <c r="M160" s="114"/>
      <c r="N160" s="19"/>
    </row>
    <row r="161" spans="1:14" x14ac:dyDescent="0.25">
      <c r="A161" s="114"/>
      <c r="B161" s="114"/>
      <c r="C161" s="114"/>
      <c r="D161" s="114"/>
      <c r="E161" s="114"/>
      <c r="F161" s="114"/>
      <c r="G161" s="114"/>
      <c r="H161" s="114"/>
      <c r="I161" s="114"/>
      <c r="J161" s="114"/>
      <c r="L161" s="114"/>
      <c r="M161" s="114"/>
      <c r="N161" s="19"/>
    </row>
    <row r="162" spans="1:14" x14ac:dyDescent="0.25">
      <c r="A162" s="114"/>
      <c r="B162" s="114"/>
      <c r="C162" s="114"/>
      <c r="D162" s="114"/>
      <c r="E162" s="114"/>
      <c r="F162" s="114"/>
      <c r="G162" s="114"/>
      <c r="H162" s="114"/>
      <c r="I162" s="114"/>
      <c r="J162" s="114"/>
      <c r="L162" s="114"/>
      <c r="M162" s="114"/>
      <c r="N162" s="19"/>
    </row>
    <row r="163" spans="1:14" x14ac:dyDescent="0.25">
      <c r="A163" s="114"/>
      <c r="B163" s="114"/>
      <c r="C163" s="114"/>
      <c r="D163" s="114"/>
      <c r="E163" s="114"/>
      <c r="F163" s="114"/>
      <c r="G163" s="114"/>
      <c r="H163" s="114"/>
      <c r="I163" s="114"/>
      <c r="J163" s="114"/>
      <c r="L163" s="114"/>
      <c r="M163" s="114"/>
      <c r="N163" s="19"/>
    </row>
    <row r="164" spans="1:14" x14ac:dyDescent="0.25">
      <c r="A164" s="114"/>
      <c r="B164" s="114"/>
      <c r="C164" s="114"/>
      <c r="D164" s="114"/>
      <c r="E164" s="114"/>
      <c r="F164" s="114"/>
      <c r="G164" s="114"/>
      <c r="H164" s="114"/>
      <c r="I164" s="114"/>
      <c r="J164" s="114"/>
      <c r="L164" s="114"/>
      <c r="M164" s="114"/>
      <c r="N164" s="19"/>
    </row>
    <row r="165" spans="1:14" x14ac:dyDescent="0.25">
      <c r="A165" s="114"/>
      <c r="B165" s="114"/>
      <c r="C165" s="114"/>
      <c r="D165" s="114"/>
      <c r="E165" s="114"/>
      <c r="F165" s="114"/>
      <c r="G165" s="114"/>
      <c r="H165" s="114"/>
      <c r="I165" s="114"/>
      <c r="J165" s="114"/>
      <c r="L165" s="114"/>
      <c r="M165" s="114"/>
      <c r="N165" s="19"/>
    </row>
    <row r="166" spans="1:14" x14ac:dyDescent="0.25">
      <c r="A166" s="114"/>
      <c r="B166" s="114"/>
      <c r="C166" s="114"/>
      <c r="D166" s="114"/>
      <c r="E166" s="114"/>
      <c r="F166" s="114"/>
      <c r="G166" s="114"/>
      <c r="H166" s="114"/>
      <c r="I166" s="114"/>
      <c r="J166" s="114"/>
      <c r="L166" s="114"/>
      <c r="M166" s="114"/>
      <c r="N166" s="19"/>
    </row>
    <row r="167" spans="1:14" x14ac:dyDescent="0.25">
      <c r="A167" s="114"/>
      <c r="B167" s="114"/>
      <c r="C167" s="114"/>
      <c r="D167" s="114"/>
      <c r="E167" s="114"/>
      <c r="F167" s="114"/>
      <c r="G167" s="114"/>
      <c r="H167" s="114"/>
      <c r="I167" s="114"/>
      <c r="J167" s="114"/>
      <c r="L167" s="114"/>
      <c r="M167" s="114"/>
      <c r="N167" s="19"/>
    </row>
    <row r="168" spans="1:14" x14ac:dyDescent="0.25">
      <c r="A168" s="114"/>
      <c r="B168" s="114"/>
      <c r="C168" s="114"/>
      <c r="D168" s="114"/>
      <c r="E168" s="114"/>
      <c r="F168" s="114"/>
      <c r="G168" s="114"/>
      <c r="H168" s="114"/>
      <c r="I168" s="114"/>
      <c r="J168" s="114"/>
      <c r="L168" s="114"/>
      <c r="M168" s="114"/>
      <c r="N168" s="19"/>
    </row>
    <row r="169" spans="1:14" x14ac:dyDescent="0.25">
      <c r="A169" s="114"/>
      <c r="B169" s="114"/>
      <c r="C169" s="114"/>
      <c r="D169" s="114"/>
      <c r="E169" s="114"/>
      <c r="F169" s="114"/>
      <c r="G169" s="114"/>
      <c r="H169" s="114"/>
      <c r="I169" s="114"/>
      <c r="J169" s="114"/>
      <c r="L169" s="114"/>
      <c r="M169" s="114"/>
      <c r="N169" s="19"/>
    </row>
    <row r="170" spans="1:14" x14ac:dyDescent="0.25">
      <c r="A170" s="114"/>
      <c r="B170" s="114"/>
      <c r="C170" s="114"/>
      <c r="D170" s="114"/>
      <c r="E170" s="114"/>
      <c r="F170" s="114"/>
      <c r="G170" s="114"/>
      <c r="H170" s="114"/>
      <c r="I170" s="114"/>
      <c r="J170" s="114"/>
      <c r="L170" s="114"/>
      <c r="M170" s="114"/>
      <c r="N170" s="19"/>
    </row>
    <row r="171" spans="1:14" x14ac:dyDescent="0.25">
      <c r="A171" s="114"/>
      <c r="B171" s="114"/>
      <c r="C171" s="114"/>
      <c r="D171" s="114"/>
      <c r="E171" s="114"/>
      <c r="F171" s="114"/>
      <c r="G171" s="114"/>
      <c r="H171" s="114"/>
      <c r="I171" s="114"/>
      <c r="J171" s="114"/>
      <c r="L171" s="114"/>
      <c r="M171" s="114"/>
      <c r="N171" s="19"/>
    </row>
    <row r="172" spans="1:14" x14ac:dyDescent="0.25">
      <c r="A172" s="114"/>
      <c r="B172" s="114"/>
      <c r="C172" s="114"/>
      <c r="D172" s="114"/>
      <c r="E172" s="114"/>
      <c r="F172" s="114"/>
      <c r="G172" s="114"/>
      <c r="H172" s="114"/>
      <c r="I172" s="114"/>
      <c r="J172" s="114"/>
      <c r="L172" s="114"/>
      <c r="M172" s="114"/>
      <c r="N172" s="19"/>
    </row>
    <row r="173" spans="1:14" x14ac:dyDescent="0.25">
      <c r="A173" s="114"/>
      <c r="B173" s="114"/>
      <c r="C173" s="114"/>
      <c r="D173" s="114"/>
      <c r="E173" s="114"/>
      <c r="F173" s="114"/>
      <c r="G173" s="114"/>
      <c r="H173" s="114"/>
      <c r="I173" s="114"/>
      <c r="J173" s="114"/>
      <c r="L173" s="114"/>
      <c r="M173" s="114"/>
      <c r="N173" s="19"/>
    </row>
    <row r="174" spans="1:14" x14ac:dyDescent="0.25">
      <c r="N174" s="19"/>
    </row>
    <row r="175" spans="1:14" x14ac:dyDescent="0.25">
      <c r="N175" s="19"/>
    </row>
    <row r="176" spans="1:14" x14ac:dyDescent="0.25">
      <c r="N176" s="19"/>
    </row>
    <row r="177" spans="14:14" x14ac:dyDescent="0.25">
      <c r="N177" s="19"/>
    </row>
    <row r="178" spans="14:14" x14ac:dyDescent="0.25">
      <c r="N178" s="19"/>
    </row>
    <row r="179" spans="14:14" x14ac:dyDescent="0.25">
      <c r="N179" s="19"/>
    </row>
    <row r="180" spans="14:14" x14ac:dyDescent="0.25">
      <c r="N180" s="19"/>
    </row>
    <row r="181" spans="14:14" x14ac:dyDescent="0.25">
      <c r="N181" s="19"/>
    </row>
    <row r="182" spans="14:14" x14ac:dyDescent="0.25">
      <c r="N182" s="19"/>
    </row>
    <row r="183" spans="14:14" x14ac:dyDescent="0.25">
      <c r="N183" s="19"/>
    </row>
    <row r="184" spans="14:14" x14ac:dyDescent="0.25">
      <c r="N184" s="19"/>
    </row>
    <row r="185" spans="14:14" x14ac:dyDescent="0.25">
      <c r="N185" s="19"/>
    </row>
    <row r="186" spans="14:14" x14ac:dyDescent="0.25">
      <c r="N186" s="19"/>
    </row>
    <row r="187" spans="14:14" x14ac:dyDescent="0.25">
      <c r="N187" s="19"/>
    </row>
    <row r="188" spans="14:14" x14ac:dyDescent="0.25">
      <c r="N188" s="19"/>
    </row>
    <row r="189" spans="14:14" x14ac:dyDescent="0.25">
      <c r="N189" s="19"/>
    </row>
    <row r="190" spans="14:14" x14ac:dyDescent="0.25">
      <c r="N190" s="19"/>
    </row>
    <row r="191" spans="14:14" x14ac:dyDescent="0.25">
      <c r="N191" s="19"/>
    </row>
    <row r="192" spans="14:14" x14ac:dyDescent="0.25">
      <c r="N192" s="19"/>
    </row>
    <row r="193" spans="14:14" x14ac:dyDescent="0.25">
      <c r="N193" s="19"/>
    </row>
    <row r="194" spans="14:14" x14ac:dyDescent="0.25">
      <c r="N194" s="19"/>
    </row>
    <row r="195" spans="14:14" x14ac:dyDescent="0.25">
      <c r="N195" s="19"/>
    </row>
    <row r="196" spans="14:14" x14ac:dyDescent="0.25">
      <c r="N196" s="19"/>
    </row>
    <row r="197" spans="14:14" x14ac:dyDescent="0.25">
      <c r="N197" s="19"/>
    </row>
    <row r="198" spans="14:14" x14ac:dyDescent="0.25">
      <c r="N198" s="19"/>
    </row>
    <row r="199" spans="14:14" x14ac:dyDescent="0.25">
      <c r="N199" s="19"/>
    </row>
    <row r="200" spans="14:14" x14ac:dyDescent="0.25">
      <c r="N200" s="19"/>
    </row>
    <row r="201" spans="14:14" x14ac:dyDescent="0.25">
      <c r="N201" s="19"/>
    </row>
    <row r="202" spans="14:14" x14ac:dyDescent="0.25">
      <c r="N202" s="19"/>
    </row>
    <row r="203" spans="14:14" x14ac:dyDescent="0.25">
      <c r="N203" s="19"/>
    </row>
    <row r="204" spans="14:14" x14ac:dyDescent="0.25">
      <c r="N204" s="19"/>
    </row>
    <row r="205" spans="14:14" x14ac:dyDescent="0.25">
      <c r="N205" s="19"/>
    </row>
    <row r="206" spans="14:14" x14ac:dyDescent="0.25">
      <c r="N206" s="19"/>
    </row>
    <row r="207" spans="14:14" x14ac:dyDescent="0.25">
      <c r="N207" s="19"/>
    </row>
    <row r="208" spans="14:14" x14ac:dyDescent="0.25">
      <c r="N208" s="19"/>
    </row>
    <row r="209" spans="14:14" x14ac:dyDescent="0.25">
      <c r="N209" s="19"/>
    </row>
    <row r="210" spans="14:14" x14ac:dyDescent="0.25">
      <c r="N210" s="19"/>
    </row>
    <row r="211" spans="14:14" x14ac:dyDescent="0.25">
      <c r="N211" s="19"/>
    </row>
    <row r="212" spans="14:14" x14ac:dyDescent="0.25">
      <c r="N212" s="19"/>
    </row>
    <row r="213" spans="14:14" x14ac:dyDescent="0.25">
      <c r="N213" s="19"/>
    </row>
    <row r="214" spans="14:14" x14ac:dyDescent="0.25">
      <c r="N214" s="19"/>
    </row>
    <row r="215" spans="14:14" x14ac:dyDescent="0.25">
      <c r="N215" s="19"/>
    </row>
    <row r="216" spans="14:14" x14ac:dyDescent="0.25">
      <c r="N216" s="19"/>
    </row>
    <row r="217" spans="14:14" x14ac:dyDescent="0.25">
      <c r="N217" s="19"/>
    </row>
    <row r="218" spans="14:14" x14ac:dyDescent="0.25">
      <c r="N218" s="19"/>
    </row>
    <row r="219" spans="14:14" x14ac:dyDescent="0.25">
      <c r="N219" s="19"/>
    </row>
    <row r="220" spans="14:14" x14ac:dyDescent="0.25">
      <c r="N220" s="19"/>
    </row>
    <row r="221" spans="14:14" x14ac:dyDescent="0.25">
      <c r="N221" s="19"/>
    </row>
    <row r="222" spans="14:14" x14ac:dyDescent="0.25">
      <c r="N222" s="19"/>
    </row>
    <row r="223" spans="14:14" x14ac:dyDescent="0.25">
      <c r="N223" s="19"/>
    </row>
    <row r="224" spans="14:14" x14ac:dyDescent="0.25">
      <c r="N224" s="19"/>
    </row>
    <row r="225" spans="14:14" x14ac:dyDescent="0.25">
      <c r="N225" s="19"/>
    </row>
    <row r="226" spans="14:14" x14ac:dyDescent="0.25">
      <c r="N226" s="19"/>
    </row>
    <row r="227" spans="14:14" x14ac:dyDescent="0.25">
      <c r="N227" s="19"/>
    </row>
    <row r="228" spans="14:14" x14ac:dyDescent="0.25">
      <c r="N228" s="19"/>
    </row>
    <row r="229" spans="14:14" x14ac:dyDescent="0.25">
      <c r="N229" s="19"/>
    </row>
    <row r="230" spans="14:14" x14ac:dyDescent="0.25">
      <c r="N230" s="19"/>
    </row>
    <row r="231" spans="14:14" x14ac:dyDescent="0.25">
      <c r="N231" s="19"/>
    </row>
    <row r="232" spans="14:14" x14ac:dyDescent="0.25">
      <c r="N232" s="19"/>
    </row>
    <row r="233" spans="14:14" x14ac:dyDescent="0.25">
      <c r="N233" s="19"/>
    </row>
    <row r="234" spans="14:14" x14ac:dyDescent="0.25">
      <c r="N234" s="19"/>
    </row>
    <row r="235" spans="14:14" x14ac:dyDescent="0.25">
      <c r="N235" s="19"/>
    </row>
    <row r="236" spans="14:14" x14ac:dyDescent="0.25">
      <c r="N236" s="19"/>
    </row>
    <row r="237" spans="14:14" x14ac:dyDescent="0.25">
      <c r="N237" s="19"/>
    </row>
    <row r="238" spans="14:14" x14ac:dyDescent="0.25">
      <c r="N238" s="19"/>
    </row>
    <row r="239" spans="14:14" x14ac:dyDescent="0.25">
      <c r="N239" s="19"/>
    </row>
    <row r="240" spans="14:14" x14ac:dyDescent="0.25">
      <c r="N240" s="19"/>
    </row>
    <row r="241" spans="14:14" x14ac:dyDescent="0.25">
      <c r="N241" s="19"/>
    </row>
    <row r="242" spans="14:14" s="19" customFormat="1" x14ac:dyDescent="0.25"/>
    <row r="243" spans="14:14" s="19" customFormat="1" x14ac:dyDescent="0.25"/>
    <row r="244" spans="14:14" s="19" customFormat="1" x14ac:dyDescent="0.25"/>
    <row r="245" spans="14:14" s="19" customFormat="1" x14ac:dyDescent="0.25"/>
    <row r="246" spans="14:14" s="19" customFormat="1" x14ac:dyDescent="0.25"/>
    <row r="247" spans="14:14" s="19" customFormat="1" x14ac:dyDescent="0.25"/>
    <row r="248" spans="14:14" s="19" customFormat="1" x14ac:dyDescent="0.25"/>
    <row r="249" spans="14:14" s="19" customFormat="1" x14ac:dyDescent="0.25"/>
    <row r="250" spans="14:14" s="19" customFormat="1" x14ac:dyDescent="0.25"/>
    <row r="251" spans="14:14" s="19" customFormat="1" x14ac:dyDescent="0.25"/>
    <row r="252" spans="14:14" s="19" customFormat="1" x14ac:dyDescent="0.25"/>
    <row r="253" spans="14:14" s="19" customFormat="1" x14ac:dyDescent="0.25"/>
    <row r="254" spans="14:14" s="19" customFormat="1" x14ac:dyDescent="0.25"/>
    <row r="255" spans="14:14" s="19" customFormat="1" x14ac:dyDescent="0.25"/>
    <row r="256" spans="14:14" s="19" customFormat="1" x14ac:dyDescent="0.25"/>
    <row r="257" s="19" customFormat="1" x14ac:dyDescent="0.25"/>
    <row r="258" s="19" customFormat="1" x14ac:dyDescent="0.25"/>
    <row r="259" s="19" customFormat="1" x14ac:dyDescent="0.25"/>
    <row r="260" s="19" customFormat="1" x14ac:dyDescent="0.25"/>
    <row r="261" s="19" customFormat="1" x14ac:dyDescent="0.25"/>
    <row r="262" s="19" customFormat="1" x14ac:dyDescent="0.25"/>
    <row r="263" s="19" customFormat="1" x14ac:dyDescent="0.25"/>
    <row r="264" s="19" customFormat="1" x14ac:dyDescent="0.25"/>
    <row r="265" s="19" customFormat="1" x14ac:dyDescent="0.25"/>
    <row r="266" s="19" customFormat="1" x14ac:dyDescent="0.25"/>
    <row r="267" s="19" customFormat="1" x14ac:dyDescent="0.25"/>
    <row r="268" s="19" customFormat="1" x14ac:dyDescent="0.25"/>
    <row r="269" s="19" customFormat="1" x14ac:dyDescent="0.25"/>
    <row r="270" s="19" customFormat="1" x14ac:dyDescent="0.25"/>
    <row r="271" s="19" customFormat="1" x14ac:dyDescent="0.25"/>
    <row r="272" s="19" customFormat="1" x14ac:dyDescent="0.25"/>
    <row r="273" s="19" customFormat="1" x14ac:dyDescent="0.25"/>
    <row r="274" s="19" customFormat="1" x14ac:dyDescent="0.25"/>
    <row r="275" s="19" customFormat="1" x14ac:dyDescent="0.25"/>
    <row r="276" s="19" customFormat="1" x14ac:dyDescent="0.25"/>
    <row r="277" s="19" customFormat="1" x14ac:dyDescent="0.25"/>
    <row r="278" s="19" customFormat="1" x14ac:dyDescent="0.25"/>
    <row r="279" s="19" customFormat="1" x14ac:dyDescent="0.25"/>
    <row r="280" s="19" customFormat="1" x14ac:dyDescent="0.25"/>
    <row r="281" s="19" customFormat="1" x14ac:dyDescent="0.25"/>
    <row r="282" s="19" customFormat="1" x14ac:dyDescent="0.25"/>
    <row r="283" s="19" customFormat="1" x14ac:dyDescent="0.25"/>
    <row r="284" s="19" customFormat="1" x14ac:dyDescent="0.25"/>
    <row r="285" s="19" customFormat="1" x14ac:dyDescent="0.25"/>
    <row r="286" s="19" customFormat="1" x14ac:dyDescent="0.25"/>
    <row r="287" s="19" customFormat="1" x14ac:dyDescent="0.25"/>
    <row r="288" s="19" customFormat="1" x14ac:dyDescent="0.25"/>
    <row r="289" s="19" customFormat="1" x14ac:dyDescent="0.25"/>
    <row r="290" s="19" customFormat="1" x14ac:dyDescent="0.25"/>
    <row r="291" s="19" customFormat="1" x14ac:dyDescent="0.25"/>
    <row r="292" s="19" customFormat="1" x14ac:dyDescent="0.25"/>
    <row r="293" s="19" customFormat="1" x14ac:dyDescent="0.25"/>
    <row r="294" s="19" customFormat="1" x14ac:dyDescent="0.25"/>
    <row r="295" s="19" customFormat="1" x14ac:dyDescent="0.25"/>
    <row r="296" s="19" customFormat="1" x14ac:dyDescent="0.25"/>
    <row r="297" s="19" customFormat="1" x14ac:dyDescent="0.25"/>
    <row r="298" s="19" customFormat="1" x14ac:dyDescent="0.25"/>
    <row r="299" s="19" customFormat="1" x14ac:dyDescent="0.25"/>
    <row r="300" s="19" customFormat="1" x14ac:dyDescent="0.25"/>
    <row r="301" s="19" customFormat="1" x14ac:dyDescent="0.25"/>
    <row r="302" s="19" customFormat="1" x14ac:dyDescent="0.25"/>
    <row r="303" s="19" customFormat="1" x14ac:dyDescent="0.25"/>
    <row r="304" s="19" customFormat="1" x14ac:dyDescent="0.25"/>
    <row r="305" s="19" customFormat="1" x14ac:dyDescent="0.25"/>
    <row r="306" s="19" customFormat="1" x14ac:dyDescent="0.25"/>
    <row r="307" s="19" customFormat="1" x14ac:dyDescent="0.25"/>
    <row r="308" s="19" customFormat="1" x14ac:dyDescent="0.25"/>
    <row r="309" s="19" customFormat="1" x14ac:dyDescent="0.25"/>
    <row r="310" s="19" customFormat="1" x14ac:dyDescent="0.25"/>
    <row r="311" s="19" customFormat="1" x14ac:dyDescent="0.25"/>
    <row r="312" s="19" customFormat="1" x14ac:dyDescent="0.25"/>
    <row r="313" s="19" customFormat="1" x14ac:dyDescent="0.25"/>
    <row r="314" s="19" customFormat="1" x14ac:dyDescent="0.25"/>
    <row r="315" s="19" customFormat="1" x14ac:dyDescent="0.25"/>
    <row r="316" s="19" customFormat="1" x14ac:dyDescent="0.25"/>
    <row r="317" s="19" customFormat="1" x14ac:dyDescent="0.25"/>
    <row r="318" s="19" customFormat="1" x14ac:dyDescent="0.25"/>
    <row r="319" s="19" customFormat="1" x14ac:dyDescent="0.25"/>
    <row r="320" s="19" customFormat="1" x14ac:dyDescent="0.25"/>
    <row r="321" spans="1:13" s="19" customFormat="1" x14ac:dyDescent="0.25"/>
    <row r="322" spans="1:13" s="19" customFormat="1" x14ac:dyDescent="0.25"/>
    <row r="323" spans="1:13" s="19" customFormat="1" x14ac:dyDescent="0.25"/>
    <row r="324" spans="1:13" s="19" customFormat="1" x14ac:dyDescent="0.25"/>
    <row r="325" spans="1:13" s="19" customFormat="1" x14ac:dyDescent="0.25"/>
    <row r="326" spans="1:13" s="19" customFormat="1" x14ac:dyDescent="0.25"/>
    <row r="327" spans="1:13" s="19" customFormat="1" x14ac:dyDescent="0.25"/>
    <row r="328" spans="1:13" s="19" customFormat="1" x14ac:dyDescent="0.25"/>
    <row r="329" spans="1:13" s="19" customFormat="1" x14ac:dyDescent="0.25"/>
    <row r="330" spans="1:13" s="19" customFormat="1" x14ac:dyDescent="0.25"/>
    <row r="331" spans="1:13" s="19" customFormat="1" x14ac:dyDescent="0.25">
      <c r="A331"/>
      <c r="B331" s="1"/>
      <c r="C331" s="1"/>
      <c r="D331" s="1"/>
      <c r="E331" s="1"/>
      <c r="F331" s="1"/>
      <c r="G331" s="1"/>
      <c r="H331" s="1"/>
      <c r="I331" s="1"/>
      <c r="J331" s="1"/>
      <c r="L331" s="1"/>
      <c r="M331" s="1"/>
    </row>
    <row r="332" spans="1:13" s="19" customFormat="1" x14ac:dyDescent="0.25">
      <c r="A332"/>
      <c r="B332" s="1"/>
      <c r="C332" s="1"/>
      <c r="D332" s="1"/>
      <c r="E332" s="1"/>
      <c r="F332" s="1"/>
      <c r="G332" s="1"/>
      <c r="H332" s="1"/>
      <c r="I332" s="1"/>
      <c r="J332" s="1"/>
      <c r="L332" s="1"/>
      <c r="M332" s="1"/>
    </row>
    <row r="333" spans="1:13" s="19" customFormat="1" x14ac:dyDescent="0.25">
      <c r="A333"/>
      <c r="B333" s="1"/>
      <c r="C333" s="1"/>
      <c r="D333" s="1"/>
      <c r="E333" s="1"/>
      <c r="F333" s="1"/>
      <c r="G333" s="1"/>
      <c r="H333" s="1"/>
      <c r="I333" s="1"/>
      <c r="J333" s="1"/>
      <c r="L333" s="1"/>
      <c r="M333" s="1"/>
    </row>
    <row r="334" spans="1:13" s="19" customFormat="1" x14ac:dyDescent="0.25">
      <c r="A334"/>
      <c r="B334" s="1"/>
      <c r="C334" s="1"/>
      <c r="D334" s="1"/>
      <c r="E334" s="1"/>
      <c r="F334" s="1"/>
      <c r="G334" s="1"/>
      <c r="H334" s="1"/>
      <c r="I334" s="1"/>
      <c r="J334" s="1"/>
      <c r="L334" s="1"/>
      <c r="M334" s="1"/>
    </row>
    <row r="335" spans="1:13" s="19" customFormat="1" x14ac:dyDescent="0.25">
      <c r="A335"/>
      <c r="B335" s="1"/>
      <c r="C335" s="1"/>
      <c r="D335" s="1"/>
      <c r="E335" s="1"/>
      <c r="F335" s="1"/>
      <c r="G335" s="1"/>
      <c r="H335" s="1"/>
      <c r="I335" s="1"/>
      <c r="J335" s="1"/>
      <c r="L335" s="1"/>
      <c r="M335" s="1"/>
    </row>
    <row r="336" spans="1:13" s="19" customFormat="1" x14ac:dyDescent="0.25">
      <c r="A336"/>
      <c r="B336" s="1"/>
      <c r="C336" s="1"/>
      <c r="D336" s="1"/>
      <c r="E336" s="1"/>
      <c r="F336" s="1"/>
      <c r="G336" s="1"/>
      <c r="H336" s="1"/>
      <c r="I336" s="1"/>
      <c r="J336" s="1"/>
      <c r="L336" s="1"/>
      <c r="M336" s="1"/>
    </row>
    <row r="337" spans="1:13" s="19" customFormat="1" x14ac:dyDescent="0.25">
      <c r="A337"/>
      <c r="B337" s="1"/>
      <c r="C337" s="1"/>
      <c r="D337" s="1"/>
      <c r="E337" s="1"/>
      <c r="F337" s="1"/>
      <c r="G337" s="1"/>
      <c r="H337" s="1"/>
      <c r="I337" s="1"/>
      <c r="J337" s="1"/>
      <c r="L337" s="1"/>
      <c r="M337" s="1"/>
    </row>
    <row r="338" spans="1:13" s="19" customFormat="1" x14ac:dyDescent="0.25">
      <c r="A338"/>
      <c r="B338" s="1"/>
      <c r="C338" s="1"/>
      <c r="D338" s="1"/>
      <c r="E338" s="1"/>
      <c r="F338" s="1"/>
      <c r="G338" s="1"/>
      <c r="H338" s="1"/>
      <c r="I338" s="1"/>
      <c r="J338" s="1"/>
      <c r="L338" s="1"/>
      <c r="M338" s="1"/>
    </row>
    <row r="339" spans="1:13" s="19" customFormat="1" x14ac:dyDescent="0.25">
      <c r="A339"/>
      <c r="B339" s="1"/>
      <c r="C339" s="1"/>
      <c r="D339" s="1"/>
      <c r="E339" s="1"/>
      <c r="F339" s="1"/>
      <c r="G339" s="1"/>
      <c r="H339" s="1"/>
      <c r="I339" s="1"/>
      <c r="J339" s="1"/>
      <c r="L339" s="1"/>
      <c r="M339" s="1"/>
    </row>
    <row r="340" spans="1:13" s="19" customFormat="1" x14ac:dyDescent="0.25">
      <c r="A340"/>
      <c r="B340" s="1"/>
      <c r="C340" s="1"/>
      <c r="D340" s="1"/>
      <c r="E340" s="1"/>
      <c r="F340" s="1"/>
      <c r="G340" s="1"/>
      <c r="H340" s="1"/>
      <c r="I340" s="1"/>
      <c r="J340" s="1"/>
      <c r="L340" s="1"/>
      <c r="M340" s="1"/>
    </row>
    <row r="341" spans="1:13" s="19" customFormat="1" x14ac:dyDescent="0.25">
      <c r="A341"/>
      <c r="B341" s="1"/>
      <c r="C341" s="1"/>
      <c r="D341" s="1"/>
      <c r="E341" s="1"/>
      <c r="F341" s="1"/>
      <c r="G341" s="1"/>
      <c r="H341" s="1"/>
      <c r="I341" s="1"/>
      <c r="J341" s="1"/>
      <c r="L341" s="1"/>
      <c r="M341" s="1"/>
    </row>
    <row r="342" spans="1:13" s="19" customFormat="1" x14ac:dyDescent="0.25">
      <c r="A342"/>
      <c r="B342" s="1"/>
      <c r="C342" s="1"/>
      <c r="D342" s="1"/>
      <c r="E342" s="1"/>
      <c r="F342" s="1"/>
      <c r="G342" s="1"/>
      <c r="H342" s="1"/>
      <c r="I342" s="1"/>
      <c r="J342" s="1"/>
      <c r="L342" s="1"/>
      <c r="M342" s="1"/>
    </row>
    <row r="343" spans="1:13" s="19" customFormat="1" x14ac:dyDescent="0.25">
      <c r="A343"/>
      <c r="B343" s="1"/>
      <c r="C343" s="1"/>
      <c r="D343" s="1"/>
      <c r="E343" s="1"/>
      <c r="F343" s="1"/>
      <c r="G343" s="1"/>
      <c r="H343" s="1"/>
      <c r="I343" s="1"/>
      <c r="J343" s="1"/>
      <c r="L343" s="1"/>
      <c r="M343" s="1"/>
    </row>
    <row r="344" spans="1:13" s="19" customFormat="1" x14ac:dyDescent="0.25">
      <c r="A344"/>
      <c r="B344" s="1"/>
      <c r="C344" s="1"/>
      <c r="D344" s="1"/>
      <c r="E344" s="1"/>
      <c r="F344" s="1"/>
      <c r="G344" s="1"/>
      <c r="H344" s="1"/>
      <c r="I344" s="1"/>
      <c r="J344" s="1"/>
      <c r="L344" s="1"/>
      <c r="M344" s="1"/>
    </row>
    <row r="345" spans="1:13" s="19" customFormat="1" x14ac:dyDescent="0.25">
      <c r="A345"/>
      <c r="B345" s="1"/>
      <c r="C345" s="1"/>
      <c r="D345" s="1"/>
      <c r="E345" s="1"/>
      <c r="F345" s="1"/>
      <c r="G345" s="1"/>
      <c r="H345" s="1"/>
      <c r="I345" s="1"/>
      <c r="J345" s="1"/>
      <c r="L345" s="1"/>
      <c r="M345" s="1"/>
    </row>
    <row r="346" spans="1:13" s="19" customFormat="1" x14ac:dyDescent="0.25">
      <c r="A346"/>
      <c r="B346" s="1"/>
      <c r="C346" s="1"/>
      <c r="D346" s="1"/>
      <c r="E346" s="1"/>
      <c r="F346" s="1"/>
      <c r="G346" s="1"/>
      <c r="H346" s="1"/>
      <c r="I346" s="1"/>
      <c r="J346" s="1"/>
      <c r="L346" s="1"/>
      <c r="M346" s="1"/>
    </row>
    <row r="347" spans="1:13" s="19" customFormat="1" x14ac:dyDescent="0.25">
      <c r="A347"/>
      <c r="B347" s="1"/>
      <c r="C347" s="1"/>
      <c r="D347" s="1"/>
      <c r="E347" s="1"/>
      <c r="F347" s="1"/>
      <c r="G347" s="1"/>
      <c r="H347" s="1"/>
      <c r="I347" s="1"/>
      <c r="J347" s="1"/>
      <c r="L347" s="1"/>
      <c r="M347" s="1"/>
    </row>
    <row r="348" spans="1:13" s="19" customFormat="1" x14ac:dyDescent="0.25">
      <c r="A348"/>
      <c r="B348" s="1"/>
      <c r="C348" s="1"/>
      <c r="D348" s="1"/>
      <c r="E348" s="1"/>
      <c r="F348" s="1"/>
      <c r="G348" s="1"/>
      <c r="H348" s="1"/>
      <c r="I348" s="1"/>
      <c r="J348" s="1"/>
      <c r="L348" s="1"/>
      <c r="M348" s="1"/>
    </row>
    <row r="349" spans="1:13" s="19" customFormat="1" x14ac:dyDescent="0.25">
      <c r="A349"/>
      <c r="B349" s="1"/>
      <c r="C349" s="1"/>
      <c r="D349" s="1"/>
      <c r="E349" s="1"/>
      <c r="F349" s="1"/>
      <c r="G349" s="1"/>
      <c r="H349" s="1"/>
      <c r="I349" s="1"/>
      <c r="J349" s="1"/>
      <c r="L349" s="1"/>
      <c r="M349" s="1"/>
    </row>
    <row r="350" spans="1:13" s="19" customFormat="1" x14ac:dyDescent="0.25">
      <c r="A350"/>
      <c r="B350" s="1"/>
      <c r="C350" s="1"/>
      <c r="D350" s="1"/>
      <c r="E350" s="1"/>
      <c r="F350" s="1"/>
      <c r="G350" s="1"/>
      <c r="H350" s="1"/>
      <c r="I350" s="1"/>
      <c r="J350" s="1"/>
      <c r="L350" s="1"/>
      <c r="M350" s="1"/>
    </row>
    <row r="351" spans="1:13" s="19" customFormat="1" x14ac:dyDescent="0.25">
      <c r="A351"/>
      <c r="B351" s="1"/>
      <c r="C351" s="1"/>
      <c r="D351" s="1"/>
      <c r="E351" s="1"/>
      <c r="F351" s="1"/>
      <c r="G351" s="1"/>
      <c r="H351" s="1"/>
      <c r="I351" s="1"/>
      <c r="J351" s="1"/>
      <c r="L351" s="1"/>
      <c r="M351" s="1"/>
    </row>
    <row r="352" spans="1:13" s="19" customFormat="1" x14ac:dyDescent="0.25">
      <c r="A352"/>
      <c r="B352" s="1"/>
      <c r="C352" s="1"/>
      <c r="D352" s="1"/>
      <c r="E352" s="1"/>
      <c r="F352" s="1"/>
      <c r="G352" s="1"/>
      <c r="H352" s="1"/>
      <c r="I352" s="1"/>
      <c r="J352" s="1"/>
      <c r="L352" s="1"/>
      <c r="M352" s="1"/>
    </row>
    <row r="353" spans="1:13" s="19" customFormat="1" x14ac:dyDescent="0.25">
      <c r="A353"/>
      <c r="B353" s="1"/>
      <c r="C353" s="1"/>
      <c r="D353" s="1"/>
      <c r="E353" s="1"/>
      <c r="F353" s="1"/>
      <c r="G353" s="1"/>
      <c r="H353" s="1"/>
      <c r="I353" s="1"/>
      <c r="J353" s="1"/>
      <c r="L353" s="1"/>
      <c r="M353" s="1"/>
    </row>
    <row r="354" spans="1:13" s="19" customFormat="1" x14ac:dyDescent="0.25">
      <c r="A354"/>
      <c r="B354" s="1"/>
      <c r="C354" s="1"/>
      <c r="D354" s="1"/>
      <c r="E354" s="1"/>
      <c r="F354" s="1"/>
      <c r="G354" s="1"/>
      <c r="H354" s="1"/>
      <c r="I354" s="1"/>
      <c r="J354" s="1"/>
      <c r="L354" s="1"/>
      <c r="M354" s="1"/>
    </row>
    <row r="355" spans="1:13" s="19" customFormat="1" x14ac:dyDescent="0.25">
      <c r="A355"/>
      <c r="B355" s="1"/>
      <c r="C355" s="1"/>
      <c r="D355" s="1"/>
      <c r="E355" s="1"/>
      <c r="F355" s="1"/>
      <c r="G355" s="1"/>
      <c r="H355" s="1"/>
      <c r="I355" s="1"/>
      <c r="J355" s="1"/>
      <c r="L355" s="1"/>
      <c r="M355" s="1"/>
    </row>
    <row r="356" spans="1:13" s="19" customFormat="1" x14ac:dyDescent="0.25">
      <c r="A356"/>
      <c r="B356" s="1"/>
      <c r="C356" s="1"/>
      <c r="D356" s="1"/>
      <c r="E356" s="1"/>
      <c r="F356" s="1"/>
      <c r="G356" s="1"/>
      <c r="H356" s="1"/>
      <c r="I356" s="1"/>
      <c r="J356" s="1"/>
      <c r="L356" s="1"/>
      <c r="M356" s="1"/>
    </row>
    <row r="357" spans="1:13" s="19" customFormat="1" x14ac:dyDescent="0.25">
      <c r="A357"/>
      <c r="B357" s="1"/>
      <c r="C357" s="1"/>
      <c r="D357" s="1"/>
      <c r="E357" s="1"/>
      <c r="F357" s="1"/>
      <c r="G357" s="1"/>
      <c r="H357" s="1"/>
      <c r="I357" s="1"/>
      <c r="J357" s="1"/>
      <c r="L357" s="1"/>
      <c r="M357" s="1"/>
    </row>
    <row r="358" spans="1:13" s="19" customFormat="1" x14ac:dyDescent="0.25">
      <c r="A358"/>
      <c r="B358" s="1"/>
      <c r="C358" s="1"/>
      <c r="D358" s="1"/>
      <c r="E358" s="1"/>
      <c r="F358" s="1"/>
      <c r="G358" s="1"/>
      <c r="H358" s="1"/>
      <c r="I358" s="1"/>
      <c r="J358" s="1"/>
      <c r="L358" s="1"/>
      <c r="M358" s="1"/>
    </row>
    <row r="359" spans="1:13" s="19" customFormat="1" x14ac:dyDescent="0.25">
      <c r="A359"/>
      <c r="B359" s="1"/>
      <c r="C359" s="1"/>
      <c r="D359" s="1"/>
      <c r="E359" s="1"/>
      <c r="F359" s="1"/>
      <c r="G359" s="1"/>
      <c r="H359" s="1"/>
      <c r="I359" s="1"/>
      <c r="J359" s="1"/>
      <c r="L359" s="1"/>
      <c r="M359" s="1"/>
    </row>
    <row r="360" spans="1:13" s="19" customFormat="1" x14ac:dyDescent="0.25">
      <c r="A360"/>
      <c r="B360" s="1"/>
      <c r="C360" s="1"/>
      <c r="D360" s="1"/>
      <c r="E360" s="1"/>
      <c r="F360" s="1"/>
      <c r="G360" s="1"/>
      <c r="H360" s="1"/>
      <c r="I360" s="1"/>
      <c r="J360" s="1"/>
      <c r="L360" s="1"/>
      <c r="M360" s="1"/>
    </row>
    <row r="361" spans="1:13" s="19" customFormat="1" x14ac:dyDescent="0.25">
      <c r="A361"/>
      <c r="B361" s="1"/>
      <c r="C361" s="1"/>
      <c r="D361" s="1"/>
      <c r="E361" s="1"/>
      <c r="F361" s="1"/>
      <c r="G361" s="1"/>
      <c r="H361" s="1"/>
      <c r="I361" s="1"/>
      <c r="J361" s="1"/>
      <c r="L361" s="1"/>
      <c r="M361" s="1"/>
    </row>
    <row r="362" spans="1:13" s="19" customFormat="1" x14ac:dyDescent="0.25">
      <c r="A362"/>
      <c r="B362" s="1"/>
      <c r="C362" s="1"/>
      <c r="D362" s="1"/>
      <c r="E362" s="1"/>
      <c r="F362" s="1"/>
      <c r="G362" s="1"/>
      <c r="H362" s="1"/>
      <c r="I362" s="1"/>
      <c r="J362" s="1"/>
      <c r="L362" s="1"/>
      <c r="M362" s="1"/>
    </row>
    <row r="363" spans="1:13" s="19" customFormat="1" x14ac:dyDescent="0.25">
      <c r="A363"/>
      <c r="B363" s="1"/>
      <c r="C363" s="1"/>
      <c r="D363" s="1"/>
      <c r="E363" s="1"/>
      <c r="F363" s="1"/>
      <c r="G363" s="1"/>
      <c r="H363" s="1"/>
      <c r="I363" s="1"/>
      <c r="J363" s="1"/>
      <c r="L363" s="1"/>
      <c r="M363" s="1"/>
    </row>
    <row r="364" spans="1:13" s="19" customFormat="1" x14ac:dyDescent="0.25">
      <c r="A364"/>
      <c r="B364" s="1"/>
      <c r="C364" s="1"/>
      <c r="D364" s="1"/>
      <c r="E364" s="1"/>
      <c r="F364" s="1"/>
      <c r="G364" s="1"/>
      <c r="H364" s="1"/>
      <c r="I364" s="1"/>
      <c r="J364" s="1"/>
      <c r="L364" s="1"/>
      <c r="M364" s="1"/>
    </row>
    <row r="365" spans="1:13" s="19" customFormat="1" x14ac:dyDescent="0.25">
      <c r="A365"/>
      <c r="B365" s="1"/>
      <c r="C365" s="1"/>
      <c r="D365" s="1"/>
      <c r="E365" s="1"/>
      <c r="F365" s="1"/>
      <c r="G365" s="1"/>
      <c r="H365" s="1"/>
      <c r="I365" s="1"/>
      <c r="J365" s="1"/>
      <c r="L365" s="1"/>
      <c r="M365" s="1"/>
    </row>
    <row r="366" spans="1:13" s="19" customFormat="1" x14ac:dyDescent="0.25">
      <c r="A366"/>
      <c r="B366" s="1"/>
      <c r="C366" s="1"/>
      <c r="D366" s="1"/>
      <c r="E366" s="1"/>
      <c r="F366" s="1"/>
      <c r="G366" s="1"/>
      <c r="H366" s="1"/>
      <c r="I366" s="1"/>
      <c r="J366" s="1"/>
      <c r="L366" s="1"/>
      <c r="M366" s="1"/>
    </row>
    <row r="367" spans="1:13" s="19" customFormat="1" x14ac:dyDescent="0.25">
      <c r="A367"/>
      <c r="B367" s="1"/>
      <c r="C367" s="1"/>
      <c r="D367" s="1"/>
      <c r="E367" s="1"/>
      <c r="F367" s="1"/>
      <c r="G367" s="1"/>
      <c r="H367" s="1"/>
      <c r="I367" s="1"/>
      <c r="J367" s="1"/>
      <c r="L367" s="1"/>
      <c r="M367" s="1"/>
    </row>
    <row r="368" spans="1:13" s="19" customFormat="1" x14ac:dyDescent="0.25">
      <c r="A368"/>
      <c r="B368" s="1"/>
      <c r="C368" s="1"/>
      <c r="D368" s="1"/>
      <c r="E368" s="1"/>
      <c r="F368" s="1"/>
      <c r="G368" s="1"/>
      <c r="H368" s="1"/>
      <c r="I368" s="1"/>
      <c r="J368" s="1"/>
      <c r="L368" s="1"/>
      <c r="M368" s="1"/>
    </row>
    <row r="369" spans="1:13" s="19" customFormat="1" x14ac:dyDescent="0.25">
      <c r="A369"/>
      <c r="B369" s="1"/>
      <c r="C369" s="1"/>
      <c r="D369" s="1"/>
      <c r="E369" s="1"/>
      <c r="F369" s="1"/>
      <c r="G369" s="1"/>
      <c r="H369" s="1"/>
      <c r="I369" s="1"/>
      <c r="J369" s="1"/>
      <c r="L369" s="1"/>
      <c r="M369" s="1"/>
    </row>
    <row r="370" spans="1:13" s="19" customFormat="1" x14ac:dyDescent="0.25">
      <c r="A370"/>
      <c r="B370" s="1"/>
      <c r="C370" s="1"/>
      <c r="D370" s="1"/>
      <c r="E370" s="1"/>
      <c r="F370" s="1"/>
      <c r="G370" s="1"/>
      <c r="H370" s="1"/>
      <c r="I370" s="1"/>
      <c r="J370" s="1"/>
      <c r="L370" s="1"/>
      <c r="M370" s="1"/>
    </row>
    <row r="371" spans="1:13" s="19" customFormat="1" x14ac:dyDescent="0.25">
      <c r="A371"/>
      <c r="B371" s="1"/>
      <c r="C371" s="1"/>
      <c r="D371" s="1"/>
      <c r="E371" s="1"/>
      <c r="F371" s="1"/>
      <c r="G371" s="1"/>
      <c r="H371" s="1"/>
      <c r="I371" s="1"/>
      <c r="J371" s="1"/>
      <c r="L371" s="1"/>
      <c r="M371" s="1"/>
    </row>
    <row r="372" spans="1:13" s="19" customFormat="1" x14ac:dyDescent="0.25">
      <c r="A372"/>
      <c r="B372" s="1"/>
      <c r="C372" s="1"/>
      <c r="D372" s="1"/>
      <c r="E372" s="1"/>
      <c r="F372" s="1"/>
      <c r="G372" s="1"/>
      <c r="H372" s="1"/>
      <c r="I372" s="1"/>
      <c r="J372" s="1"/>
      <c r="L372" s="1"/>
      <c r="M372" s="1"/>
    </row>
    <row r="373" spans="1:13" s="19" customFormat="1" x14ac:dyDescent="0.25">
      <c r="A373"/>
      <c r="B373" s="1"/>
      <c r="C373" s="1"/>
      <c r="D373" s="1"/>
      <c r="E373" s="1"/>
      <c r="F373" s="1"/>
      <c r="G373" s="1"/>
      <c r="H373" s="1"/>
      <c r="I373" s="1"/>
      <c r="J373" s="1"/>
      <c r="L373" s="1"/>
      <c r="M373" s="1"/>
    </row>
    <row r="374" spans="1:13" s="19" customFormat="1" x14ac:dyDescent="0.25">
      <c r="A374"/>
      <c r="B374" s="1"/>
      <c r="C374" s="1"/>
      <c r="D374" s="1"/>
      <c r="E374" s="1"/>
      <c r="F374" s="1"/>
      <c r="G374" s="1"/>
      <c r="H374" s="1"/>
      <c r="I374" s="1"/>
      <c r="J374" s="1"/>
      <c r="L374" s="1"/>
      <c r="M374" s="1"/>
    </row>
    <row r="375" spans="1:13" s="19" customFormat="1" x14ac:dyDescent="0.25">
      <c r="A375"/>
      <c r="B375" s="1"/>
      <c r="C375" s="1"/>
      <c r="D375" s="1"/>
      <c r="E375" s="1"/>
      <c r="F375" s="1"/>
      <c r="G375" s="1"/>
      <c r="H375" s="1"/>
      <c r="I375" s="1"/>
      <c r="J375" s="1"/>
      <c r="L375" s="1"/>
      <c r="M375" s="1"/>
    </row>
    <row r="376" spans="1:13" s="19" customFormat="1" x14ac:dyDescent="0.25">
      <c r="A376"/>
      <c r="B376" s="1"/>
      <c r="C376" s="1"/>
      <c r="D376" s="1"/>
      <c r="E376" s="1"/>
      <c r="F376" s="1"/>
      <c r="G376" s="1"/>
      <c r="H376" s="1"/>
      <c r="I376" s="1"/>
      <c r="J376" s="1"/>
      <c r="L376" s="1"/>
      <c r="M376" s="1"/>
    </row>
    <row r="377" spans="1:13" s="19" customFormat="1" x14ac:dyDescent="0.25">
      <c r="A377"/>
      <c r="B377" s="1"/>
      <c r="C377" s="1"/>
      <c r="D377" s="1"/>
      <c r="E377" s="1"/>
      <c r="F377" s="1"/>
      <c r="G377" s="1"/>
      <c r="H377" s="1"/>
      <c r="I377" s="1"/>
      <c r="J377" s="1"/>
      <c r="L377" s="1"/>
      <c r="M377" s="1"/>
    </row>
    <row r="378" spans="1:13" s="19" customFormat="1" x14ac:dyDescent="0.25">
      <c r="A378"/>
      <c r="B378" s="1"/>
      <c r="C378" s="1"/>
      <c r="D378" s="1"/>
      <c r="E378" s="1"/>
      <c r="F378" s="1"/>
      <c r="G378" s="1"/>
      <c r="H378" s="1"/>
      <c r="I378" s="1"/>
      <c r="J378" s="1"/>
      <c r="L378" s="1"/>
      <c r="M378" s="1"/>
    </row>
    <row r="379" spans="1:13" s="19" customFormat="1" x14ac:dyDescent="0.25">
      <c r="A379"/>
      <c r="B379" s="1"/>
      <c r="C379" s="1"/>
      <c r="D379" s="1"/>
      <c r="E379" s="1"/>
      <c r="F379" s="1"/>
      <c r="G379" s="1"/>
      <c r="H379" s="1"/>
      <c r="I379" s="1"/>
      <c r="J379" s="1"/>
      <c r="L379" s="1"/>
      <c r="M379" s="1"/>
    </row>
    <row r="380" spans="1:13" s="19" customFormat="1" x14ac:dyDescent="0.25">
      <c r="A380"/>
      <c r="B380" s="1"/>
      <c r="C380" s="1"/>
      <c r="D380" s="1"/>
      <c r="E380" s="1"/>
      <c r="F380" s="1"/>
      <c r="G380" s="1"/>
      <c r="H380" s="1"/>
      <c r="I380" s="1"/>
      <c r="J380" s="1"/>
      <c r="L380" s="1"/>
      <c r="M380" s="1"/>
    </row>
    <row r="381" spans="1:13" s="19" customFormat="1" x14ac:dyDescent="0.25">
      <c r="A381"/>
      <c r="B381" s="1"/>
      <c r="C381" s="1"/>
      <c r="D381" s="1"/>
      <c r="E381" s="1"/>
      <c r="F381" s="1"/>
      <c r="G381" s="1"/>
      <c r="H381" s="1"/>
      <c r="I381" s="1"/>
      <c r="J381" s="1"/>
      <c r="L381" s="1"/>
      <c r="M381" s="1"/>
    </row>
    <row r="382" spans="1:13" s="19" customFormat="1" x14ac:dyDescent="0.25">
      <c r="A382"/>
      <c r="B382"/>
      <c r="C382"/>
      <c r="D382"/>
      <c r="E382"/>
      <c r="F382"/>
      <c r="G382"/>
      <c r="H382"/>
      <c r="I382"/>
      <c r="J382"/>
      <c r="L382"/>
      <c r="M382"/>
    </row>
    <row r="383" spans="1:13" s="19" customFormat="1" x14ac:dyDescent="0.25">
      <c r="A383"/>
      <c r="B383"/>
      <c r="C383"/>
      <c r="D383"/>
      <c r="E383"/>
      <c r="F383"/>
      <c r="G383"/>
      <c r="H383"/>
      <c r="I383"/>
      <c r="J383"/>
      <c r="L383"/>
      <c r="M383"/>
    </row>
    <row r="384" spans="1:13" s="19" customFormat="1" x14ac:dyDescent="0.25">
      <c r="A384"/>
      <c r="B384"/>
      <c r="C384"/>
      <c r="D384"/>
      <c r="E384"/>
      <c r="F384"/>
      <c r="G384"/>
      <c r="H384"/>
      <c r="I384"/>
      <c r="J384"/>
      <c r="L384"/>
      <c r="M384"/>
    </row>
    <row r="385" spans="1:13" s="19" customFormat="1" x14ac:dyDescent="0.25">
      <c r="A385"/>
      <c r="B385"/>
      <c r="C385"/>
      <c r="D385"/>
      <c r="E385"/>
      <c r="F385"/>
      <c r="G385"/>
      <c r="H385"/>
      <c r="I385"/>
      <c r="J385"/>
      <c r="L385"/>
      <c r="M385"/>
    </row>
    <row r="386" spans="1:13" s="19" customFormat="1" x14ac:dyDescent="0.25">
      <c r="A386"/>
      <c r="B386"/>
      <c r="C386"/>
      <c r="D386"/>
      <c r="E386"/>
      <c r="F386"/>
      <c r="G386"/>
      <c r="H386"/>
      <c r="I386"/>
      <c r="J386"/>
      <c r="L386"/>
      <c r="M386"/>
    </row>
    <row r="387" spans="1:13" s="19" customFormat="1" x14ac:dyDescent="0.25">
      <c r="A387"/>
      <c r="B387"/>
      <c r="C387"/>
      <c r="D387"/>
      <c r="E387"/>
      <c r="F387"/>
      <c r="G387"/>
      <c r="H387"/>
      <c r="I387"/>
      <c r="J387"/>
      <c r="L387"/>
      <c r="M387"/>
    </row>
    <row r="388" spans="1:13" s="19" customFormat="1" x14ac:dyDescent="0.25">
      <c r="A388"/>
      <c r="B388"/>
      <c r="C388"/>
      <c r="D388"/>
      <c r="E388"/>
      <c r="F388"/>
      <c r="G388"/>
      <c r="H388"/>
      <c r="I388"/>
      <c r="J388"/>
      <c r="L388"/>
      <c r="M388"/>
    </row>
    <row r="389" spans="1:13" s="19" customFormat="1" x14ac:dyDescent="0.25">
      <c r="A389"/>
      <c r="B389"/>
      <c r="C389"/>
      <c r="D389"/>
      <c r="E389"/>
      <c r="F389"/>
      <c r="G389"/>
      <c r="H389"/>
      <c r="I389"/>
      <c r="J389"/>
      <c r="L389"/>
      <c r="M389"/>
    </row>
    <row r="390" spans="1:13" s="19" customFormat="1" x14ac:dyDescent="0.25">
      <c r="A390"/>
      <c r="B390"/>
      <c r="C390"/>
      <c r="D390"/>
      <c r="E390"/>
      <c r="F390"/>
      <c r="G390"/>
      <c r="H390"/>
      <c r="I390"/>
      <c r="J390"/>
      <c r="L390"/>
      <c r="M390"/>
    </row>
    <row r="391" spans="1:13" s="19" customFormat="1" x14ac:dyDescent="0.25">
      <c r="A391"/>
      <c r="B391"/>
      <c r="C391"/>
      <c r="D391"/>
      <c r="E391"/>
      <c r="F391"/>
      <c r="G391"/>
      <c r="H391"/>
      <c r="I391"/>
      <c r="J391"/>
      <c r="L391"/>
      <c r="M391"/>
    </row>
    <row r="392" spans="1:13" s="19" customFormat="1" x14ac:dyDescent="0.25">
      <c r="A392"/>
      <c r="B392"/>
      <c r="C392"/>
      <c r="D392"/>
      <c r="E392"/>
      <c r="F392"/>
      <c r="G392"/>
      <c r="H392"/>
      <c r="I392"/>
      <c r="J392"/>
      <c r="L392"/>
      <c r="M392"/>
    </row>
    <row r="393" spans="1:13" s="19" customFormat="1" x14ac:dyDescent="0.25">
      <c r="A393"/>
      <c r="B393"/>
      <c r="C393"/>
      <c r="D393"/>
      <c r="E393"/>
      <c r="F393"/>
      <c r="G393"/>
      <c r="H393"/>
      <c r="I393"/>
      <c r="J393"/>
      <c r="L393"/>
      <c r="M393"/>
    </row>
    <row r="394" spans="1:13" s="19" customFormat="1" x14ac:dyDescent="0.25">
      <c r="A394"/>
      <c r="B394"/>
      <c r="C394"/>
      <c r="D394"/>
      <c r="E394"/>
      <c r="F394"/>
      <c r="G394"/>
      <c r="H394"/>
      <c r="I394"/>
      <c r="J394"/>
      <c r="L394"/>
      <c r="M394"/>
    </row>
    <row r="395" spans="1:13" s="19" customFormat="1" x14ac:dyDescent="0.25">
      <c r="A395"/>
      <c r="B395"/>
      <c r="C395"/>
      <c r="D395"/>
      <c r="E395"/>
      <c r="F395"/>
      <c r="G395"/>
      <c r="H395"/>
      <c r="I395"/>
      <c r="J395"/>
      <c r="L395"/>
      <c r="M395"/>
    </row>
    <row r="396" spans="1:13" s="19" customFormat="1" x14ac:dyDescent="0.25">
      <c r="A396"/>
      <c r="B396"/>
      <c r="C396"/>
      <c r="D396"/>
      <c r="E396"/>
      <c r="F396"/>
      <c r="G396"/>
      <c r="H396"/>
      <c r="I396"/>
      <c r="J396"/>
      <c r="L396"/>
      <c r="M396"/>
    </row>
    <row r="397" spans="1:13" s="19" customFormat="1" x14ac:dyDescent="0.25">
      <c r="A397"/>
      <c r="B397"/>
      <c r="C397"/>
      <c r="D397"/>
      <c r="E397"/>
      <c r="F397"/>
      <c r="G397"/>
      <c r="H397"/>
      <c r="I397"/>
      <c r="J397"/>
      <c r="L397"/>
      <c r="M397"/>
    </row>
    <row r="398" spans="1:13" s="19" customFormat="1" x14ac:dyDescent="0.25">
      <c r="A398"/>
      <c r="B398"/>
      <c r="C398"/>
      <c r="D398"/>
      <c r="E398"/>
      <c r="F398"/>
      <c r="G398"/>
      <c r="H398"/>
      <c r="I398"/>
      <c r="J398"/>
      <c r="L398"/>
      <c r="M398"/>
    </row>
    <row r="399" spans="1:13" s="19" customFormat="1" x14ac:dyDescent="0.25">
      <c r="A399"/>
      <c r="B399"/>
      <c r="C399"/>
      <c r="D399"/>
      <c r="E399"/>
      <c r="F399"/>
      <c r="G399"/>
      <c r="H399"/>
      <c r="I399"/>
      <c r="J399"/>
      <c r="L399"/>
      <c r="M399"/>
    </row>
    <row r="400" spans="1:13" s="19" customFormat="1" x14ac:dyDescent="0.25">
      <c r="A400"/>
      <c r="B400"/>
      <c r="C400"/>
      <c r="D400"/>
      <c r="E400"/>
      <c r="F400"/>
      <c r="G400"/>
      <c r="H400"/>
      <c r="I400"/>
      <c r="J400"/>
      <c r="L400"/>
      <c r="M400"/>
    </row>
    <row r="401" spans="1:13" s="19" customFormat="1" x14ac:dyDescent="0.25">
      <c r="A401"/>
      <c r="B401"/>
      <c r="C401"/>
      <c r="D401"/>
      <c r="E401"/>
      <c r="F401"/>
      <c r="G401"/>
      <c r="H401"/>
      <c r="I401"/>
      <c r="J401"/>
      <c r="L401"/>
      <c r="M401"/>
    </row>
    <row r="402" spans="1:13" s="19" customFormat="1" x14ac:dyDescent="0.25">
      <c r="A402"/>
      <c r="B402"/>
      <c r="C402"/>
      <c r="D402"/>
      <c r="E402"/>
      <c r="F402"/>
      <c r="G402"/>
      <c r="H402"/>
      <c r="I402"/>
      <c r="J402"/>
      <c r="L402"/>
      <c r="M402"/>
    </row>
    <row r="403" spans="1:13" s="19" customFormat="1" x14ac:dyDescent="0.25">
      <c r="A403"/>
      <c r="B403"/>
      <c r="C403"/>
      <c r="D403"/>
      <c r="E403"/>
      <c r="F403"/>
      <c r="G403"/>
      <c r="H403"/>
      <c r="I403"/>
      <c r="J403"/>
      <c r="L403"/>
      <c r="M403"/>
    </row>
    <row r="404" spans="1:13" s="19" customFormat="1" x14ac:dyDescent="0.25">
      <c r="A404"/>
      <c r="B404"/>
      <c r="C404"/>
      <c r="D404"/>
      <c r="E404"/>
      <c r="F404"/>
      <c r="G404"/>
      <c r="H404"/>
      <c r="I404"/>
      <c r="J404"/>
      <c r="L404"/>
      <c r="M404"/>
    </row>
    <row r="405" spans="1:13" s="19" customFormat="1" x14ac:dyDescent="0.25">
      <c r="A405"/>
      <c r="B405"/>
      <c r="C405"/>
      <c r="D405"/>
      <c r="E405"/>
      <c r="F405"/>
      <c r="G405"/>
      <c r="H405"/>
      <c r="I405"/>
      <c r="J405"/>
      <c r="L405"/>
      <c r="M405"/>
    </row>
    <row r="406" spans="1:13" s="19" customFormat="1" x14ac:dyDescent="0.25">
      <c r="A406"/>
      <c r="B406"/>
      <c r="C406"/>
      <c r="D406"/>
      <c r="E406"/>
      <c r="F406"/>
      <c r="G406"/>
      <c r="H406"/>
      <c r="I406"/>
      <c r="J406"/>
      <c r="L406"/>
      <c r="M406"/>
    </row>
    <row r="407" spans="1:13" s="19" customFormat="1" x14ac:dyDescent="0.25">
      <c r="A407"/>
      <c r="B407"/>
      <c r="C407"/>
      <c r="D407"/>
      <c r="E407"/>
      <c r="F407"/>
      <c r="G407"/>
      <c r="H407"/>
      <c r="I407"/>
      <c r="J407"/>
      <c r="L407"/>
      <c r="M407"/>
    </row>
    <row r="408" spans="1:13" s="19" customFormat="1" x14ac:dyDescent="0.25">
      <c r="A408"/>
      <c r="B408"/>
      <c r="C408"/>
      <c r="D408"/>
      <c r="E408"/>
      <c r="F408"/>
      <c r="G408"/>
      <c r="H408"/>
      <c r="I408"/>
      <c r="J408"/>
      <c r="L408"/>
      <c r="M408"/>
    </row>
    <row r="409" spans="1:13" s="19" customFormat="1" x14ac:dyDescent="0.25">
      <c r="A409"/>
      <c r="B409"/>
      <c r="C409"/>
      <c r="D409"/>
      <c r="E409"/>
      <c r="F409"/>
      <c r="G409"/>
      <c r="H409"/>
      <c r="I409"/>
      <c r="J409"/>
      <c r="L409"/>
      <c r="M409"/>
    </row>
    <row r="410" spans="1:13" s="19" customFormat="1" x14ac:dyDescent="0.25">
      <c r="A410"/>
      <c r="B410"/>
      <c r="C410"/>
      <c r="D410"/>
      <c r="E410"/>
      <c r="F410"/>
      <c r="G410"/>
      <c r="H410"/>
      <c r="I410"/>
      <c r="J410"/>
      <c r="L410"/>
      <c r="M410"/>
    </row>
    <row r="411" spans="1:13" s="19" customFormat="1" x14ac:dyDescent="0.25">
      <c r="A411"/>
      <c r="B411"/>
      <c r="C411"/>
      <c r="D411"/>
      <c r="E411"/>
      <c r="F411"/>
      <c r="G411"/>
      <c r="H411"/>
      <c r="I411"/>
      <c r="J411"/>
      <c r="L411"/>
      <c r="M411"/>
    </row>
    <row r="412" spans="1:13" s="19" customFormat="1" x14ac:dyDescent="0.25">
      <c r="A412"/>
      <c r="B412"/>
      <c r="C412"/>
      <c r="D412"/>
      <c r="E412"/>
      <c r="F412"/>
      <c r="G412"/>
      <c r="H412"/>
      <c r="I412"/>
      <c r="J412"/>
      <c r="L412"/>
      <c r="M412"/>
    </row>
    <row r="413" spans="1:13" s="19" customFormat="1" x14ac:dyDescent="0.25">
      <c r="A413"/>
      <c r="B413"/>
      <c r="C413"/>
      <c r="D413"/>
      <c r="E413"/>
      <c r="F413"/>
      <c r="G413"/>
      <c r="H413"/>
      <c r="I413"/>
      <c r="J413"/>
      <c r="L413"/>
      <c r="M413"/>
    </row>
    <row r="414" spans="1:13" s="19" customFormat="1" x14ac:dyDescent="0.25">
      <c r="A414"/>
      <c r="B414"/>
      <c r="C414"/>
      <c r="D414"/>
      <c r="E414"/>
      <c r="F414"/>
      <c r="G414"/>
      <c r="H414"/>
      <c r="I414"/>
      <c r="J414"/>
      <c r="L414"/>
      <c r="M414"/>
    </row>
    <row r="415" spans="1:13" s="19" customFormat="1" x14ac:dyDescent="0.25">
      <c r="A415"/>
      <c r="B415"/>
      <c r="C415"/>
      <c r="D415"/>
      <c r="E415"/>
      <c r="F415"/>
      <c r="G415"/>
      <c r="H415"/>
      <c r="I415"/>
      <c r="J415"/>
      <c r="L415"/>
      <c r="M415"/>
    </row>
    <row r="416" spans="1:13" s="19" customFormat="1" x14ac:dyDescent="0.25">
      <c r="A416"/>
      <c r="B416"/>
      <c r="C416"/>
      <c r="D416"/>
      <c r="E416"/>
      <c r="F416"/>
      <c r="G416"/>
      <c r="H416"/>
      <c r="I416"/>
      <c r="J416"/>
      <c r="L416"/>
      <c r="M416"/>
    </row>
    <row r="417" spans="1:13" s="19" customFormat="1" x14ac:dyDescent="0.25">
      <c r="A417"/>
      <c r="B417"/>
      <c r="C417"/>
      <c r="D417"/>
      <c r="E417"/>
      <c r="F417"/>
      <c r="G417"/>
      <c r="H417"/>
      <c r="I417"/>
      <c r="J417"/>
      <c r="L417"/>
      <c r="M417"/>
    </row>
    <row r="418" spans="1:13" s="19" customFormat="1" x14ac:dyDescent="0.25">
      <c r="A418"/>
      <c r="B418"/>
      <c r="C418"/>
      <c r="D418"/>
      <c r="E418"/>
      <c r="F418"/>
      <c r="G418"/>
      <c r="H418"/>
      <c r="I418"/>
      <c r="J418"/>
      <c r="L418"/>
      <c r="M418"/>
    </row>
    <row r="419" spans="1:13" s="19" customFormat="1" x14ac:dyDescent="0.25">
      <c r="A419"/>
      <c r="B419"/>
      <c r="C419"/>
      <c r="D419"/>
      <c r="E419"/>
      <c r="F419"/>
      <c r="G419"/>
      <c r="H419"/>
      <c r="I419"/>
      <c r="J419"/>
      <c r="L419"/>
      <c r="M419"/>
    </row>
    <row r="420" spans="1:13" s="19" customFormat="1" x14ac:dyDescent="0.25">
      <c r="A420"/>
      <c r="B420"/>
      <c r="C420"/>
      <c r="D420"/>
      <c r="E420"/>
      <c r="F420"/>
      <c r="G420"/>
      <c r="H420"/>
      <c r="I420"/>
      <c r="J420"/>
      <c r="L420"/>
      <c r="M420"/>
    </row>
    <row r="421" spans="1:13" s="19" customFormat="1" x14ac:dyDescent="0.25">
      <c r="A421"/>
      <c r="B421"/>
      <c r="C421"/>
      <c r="D421"/>
      <c r="E421"/>
      <c r="F421"/>
      <c r="G421"/>
      <c r="H421"/>
      <c r="I421"/>
      <c r="J421"/>
      <c r="L421"/>
      <c r="M421"/>
    </row>
    <row r="422" spans="1:13" s="19" customFormat="1" x14ac:dyDescent="0.25">
      <c r="A422"/>
      <c r="B422"/>
      <c r="C422"/>
      <c r="D422"/>
      <c r="E422"/>
      <c r="F422"/>
      <c r="G422"/>
      <c r="H422"/>
      <c r="I422"/>
      <c r="J422"/>
      <c r="L422"/>
      <c r="M422"/>
    </row>
    <row r="423" spans="1:13" s="19" customFormat="1" x14ac:dyDescent="0.25">
      <c r="A423"/>
      <c r="B423"/>
      <c r="C423"/>
      <c r="D423"/>
      <c r="E423"/>
      <c r="F423"/>
      <c r="G423"/>
      <c r="H423"/>
      <c r="I423"/>
      <c r="J423"/>
      <c r="L423"/>
      <c r="M423"/>
    </row>
    <row r="424" spans="1:13" s="19" customFormat="1" x14ac:dyDescent="0.25">
      <c r="A424"/>
      <c r="B424"/>
      <c r="C424"/>
      <c r="D424"/>
      <c r="E424"/>
      <c r="F424"/>
      <c r="G424"/>
      <c r="H424"/>
      <c r="I424"/>
      <c r="J424"/>
      <c r="L424"/>
      <c r="M424"/>
    </row>
    <row r="425" spans="1:13" s="19" customFormat="1" x14ac:dyDescent="0.25">
      <c r="A425"/>
      <c r="B425"/>
      <c r="C425"/>
      <c r="D425"/>
      <c r="E425"/>
      <c r="F425"/>
      <c r="G425"/>
      <c r="H425"/>
      <c r="I425"/>
      <c r="J425"/>
      <c r="L425"/>
      <c r="M425"/>
    </row>
    <row r="426" spans="1:13" s="19" customFormat="1" x14ac:dyDescent="0.25">
      <c r="A426"/>
      <c r="B426"/>
      <c r="C426"/>
      <c r="D426"/>
      <c r="E426"/>
      <c r="F426"/>
      <c r="G426"/>
      <c r="H426"/>
      <c r="I426"/>
      <c r="J426"/>
      <c r="L426"/>
      <c r="M426"/>
    </row>
    <row r="427" spans="1:13" s="19" customFormat="1" x14ac:dyDescent="0.25">
      <c r="A427"/>
      <c r="B427"/>
      <c r="C427"/>
      <c r="D427"/>
      <c r="E427"/>
      <c r="F427"/>
      <c r="G427"/>
      <c r="H427"/>
      <c r="I427"/>
      <c r="J427"/>
      <c r="L427"/>
      <c r="M427"/>
    </row>
    <row r="428" spans="1:13" s="19" customFormat="1" x14ac:dyDescent="0.25">
      <c r="A428"/>
      <c r="B428"/>
      <c r="C428"/>
      <c r="D428"/>
      <c r="E428"/>
      <c r="F428"/>
      <c r="G428"/>
      <c r="H428"/>
      <c r="I428"/>
      <c r="J428"/>
      <c r="L428"/>
      <c r="M428"/>
    </row>
    <row r="429" spans="1:13" s="19" customFormat="1" x14ac:dyDescent="0.25">
      <c r="A429"/>
      <c r="B429"/>
      <c r="C429"/>
      <c r="D429"/>
      <c r="E429"/>
      <c r="F429"/>
      <c r="G429"/>
      <c r="H429"/>
      <c r="I429"/>
      <c r="J429"/>
      <c r="L429"/>
      <c r="M429"/>
    </row>
    <row r="430" spans="1:13" s="19" customFormat="1" x14ac:dyDescent="0.25">
      <c r="A430"/>
      <c r="B430"/>
      <c r="C430"/>
      <c r="D430"/>
      <c r="E430"/>
      <c r="F430"/>
      <c r="G430"/>
      <c r="H430"/>
      <c r="I430"/>
      <c r="J430"/>
      <c r="L430"/>
      <c r="M430"/>
    </row>
    <row r="431" spans="1:13" s="19" customFormat="1" x14ac:dyDescent="0.25">
      <c r="A431"/>
      <c r="B431"/>
      <c r="C431"/>
      <c r="D431"/>
      <c r="E431"/>
      <c r="F431"/>
      <c r="G431"/>
      <c r="H431"/>
      <c r="I431"/>
      <c r="J431"/>
      <c r="L431"/>
      <c r="M431"/>
    </row>
    <row r="432" spans="1:13" s="19" customFormat="1" x14ac:dyDescent="0.25">
      <c r="A432"/>
      <c r="B432"/>
      <c r="C432"/>
      <c r="D432"/>
      <c r="E432"/>
      <c r="F432"/>
      <c r="G432"/>
      <c r="H432"/>
      <c r="I432"/>
      <c r="J432"/>
      <c r="L432"/>
      <c r="M432"/>
    </row>
    <row r="433" spans="1:13" s="19" customFormat="1" x14ac:dyDescent="0.25">
      <c r="A433"/>
      <c r="B433"/>
      <c r="C433"/>
      <c r="D433"/>
      <c r="E433"/>
      <c r="F433"/>
      <c r="G433"/>
      <c r="H433"/>
      <c r="I433"/>
      <c r="J433"/>
      <c r="L433"/>
      <c r="M433"/>
    </row>
    <row r="434" spans="1:13" s="19" customFormat="1" x14ac:dyDescent="0.25">
      <c r="A434"/>
      <c r="B434"/>
      <c r="C434"/>
      <c r="D434"/>
      <c r="E434"/>
      <c r="F434"/>
      <c r="G434"/>
      <c r="H434"/>
      <c r="I434"/>
      <c r="J434"/>
      <c r="L434"/>
      <c r="M434"/>
    </row>
    <row r="435" spans="1:13" s="19" customFormat="1" x14ac:dyDescent="0.25">
      <c r="A435"/>
      <c r="B435"/>
      <c r="C435"/>
      <c r="D435"/>
      <c r="E435"/>
      <c r="F435"/>
      <c r="G435"/>
      <c r="H435"/>
      <c r="I435"/>
      <c r="J435"/>
      <c r="L435"/>
      <c r="M435"/>
    </row>
    <row r="436" spans="1:13" s="19" customFormat="1" x14ac:dyDescent="0.25">
      <c r="A436"/>
      <c r="B436"/>
      <c r="C436"/>
      <c r="D436"/>
      <c r="E436"/>
      <c r="F436"/>
      <c r="G436"/>
      <c r="H436"/>
      <c r="I436"/>
      <c r="J436"/>
      <c r="L436"/>
      <c r="M436"/>
    </row>
    <row r="437" spans="1:13" s="19" customFormat="1" x14ac:dyDescent="0.25">
      <c r="A437"/>
      <c r="B437"/>
      <c r="C437"/>
      <c r="D437"/>
      <c r="E437"/>
      <c r="F437"/>
      <c r="G437"/>
      <c r="H437"/>
      <c r="I437"/>
      <c r="J437"/>
      <c r="L437"/>
      <c r="M437"/>
    </row>
    <row r="438" spans="1:13" s="19" customFormat="1" x14ac:dyDescent="0.25">
      <c r="A438"/>
      <c r="B438"/>
      <c r="C438"/>
      <c r="D438"/>
      <c r="E438"/>
      <c r="F438"/>
      <c r="G438"/>
      <c r="H438"/>
      <c r="I438"/>
      <c r="J438"/>
      <c r="L438"/>
      <c r="M438"/>
    </row>
    <row r="439" spans="1:13" s="19" customFormat="1" x14ac:dyDescent="0.25">
      <c r="A439"/>
      <c r="B439"/>
      <c r="C439"/>
      <c r="D439"/>
      <c r="E439"/>
      <c r="F439"/>
      <c r="G439"/>
      <c r="H439"/>
      <c r="I439"/>
      <c r="J439"/>
      <c r="L439"/>
      <c r="M439"/>
    </row>
    <row r="440" spans="1:13" s="19" customFormat="1" x14ac:dyDescent="0.25">
      <c r="A440"/>
      <c r="B440"/>
      <c r="C440"/>
      <c r="D440"/>
      <c r="E440"/>
      <c r="F440"/>
      <c r="G440"/>
      <c r="H440"/>
      <c r="I440"/>
      <c r="J440"/>
      <c r="L440"/>
      <c r="M440"/>
    </row>
    <row r="441" spans="1:13" s="19" customFormat="1" x14ac:dyDescent="0.25">
      <c r="A441"/>
      <c r="B441"/>
      <c r="C441"/>
      <c r="D441"/>
      <c r="E441"/>
      <c r="F441"/>
      <c r="G441"/>
      <c r="H441"/>
      <c r="I441"/>
      <c r="J441"/>
      <c r="L441"/>
      <c r="M441"/>
    </row>
    <row r="442" spans="1:13" s="19" customFormat="1" x14ac:dyDescent="0.25">
      <c r="A442"/>
      <c r="B442"/>
      <c r="C442"/>
      <c r="D442"/>
      <c r="E442"/>
      <c r="F442"/>
      <c r="G442"/>
      <c r="H442"/>
      <c r="I442"/>
      <c r="J442"/>
      <c r="L442"/>
      <c r="M442"/>
    </row>
    <row r="443" spans="1:13" s="19" customFormat="1" x14ac:dyDescent="0.25">
      <c r="A443"/>
      <c r="B443"/>
      <c r="C443"/>
      <c r="D443"/>
      <c r="E443"/>
      <c r="F443"/>
      <c r="G443"/>
      <c r="H443"/>
      <c r="I443"/>
      <c r="J443"/>
      <c r="L443"/>
      <c r="M443"/>
    </row>
    <row r="444" spans="1:13" s="19" customFormat="1" x14ac:dyDescent="0.25">
      <c r="A444"/>
      <c r="B444"/>
      <c r="C444"/>
      <c r="D444"/>
      <c r="E444"/>
      <c r="F444"/>
      <c r="G444"/>
      <c r="H444"/>
      <c r="I444"/>
      <c r="J444"/>
      <c r="L444"/>
      <c r="M444"/>
    </row>
    <row r="445" spans="1:13" s="19" customFormat="1" x14ac:dyDescent="0.25">
      <c r="A445"/>
      <c r="B445"/>
      <c r="C445"/>
      <c r="D445"/>
      <c r="E445"/>
      <c r="F445"/>
      <c r="G445"/>
      <c r="H445"/>
      <c r="I445"/>
      <c r="J445"/>
      <c r="L445"/>
      <c r="M445"/>
    </row>
    <row r="446" spans="1:13" s="19" customFormat="1" x14ac:dyDescent="0.25">
      <c r="A446"/>
      <c r="B446"/>
      <c r="C446"/>
      <c r="D446"/>
      <c r="E446"/>
      <c r="F446"/>
      <c r="G446"/>
      <c r="H446"/>
      <c r="I446"/>
      <c r="J446"/>
      <c r="L446"/>
      <c r="M446"/>
    </row>
    <row r="447" spans="1:13" s="19" customFormat="1" x14ac:dyDescent="0.25">
      <c r="A447"/>
      <c r="B447"/>
      <c r="C447"/>
      <c r="D447"/>
      <c r="E447"/>
      <c r="F447"/>
      <c r="G447"/>
      <c r="H447"/>
      <c r="I447"/>
      <c r="J447"/>
      <c r="L447"/>
      <c r="M447"/>
    </row>
    <row r="448" spans="1:13" s="19" customFormat="1" x14ac:dyDescent="0.25">
      <c r="A448"/>
      <c r="B448"/>
      <c r="C448"/>
      <c r="D448"/>
      <c r="E448"/>
      <c r="F448"/>
      <c r="G448"/>
      <c r="H448"/>
      <c r="I448"/>
      <c r="J448"/>
      <c r="L448"/>
      <c r="M448"/>
    </row>
    <row r="449" spans="1:13" s="19" customFormat="1" x14ac:dyDescent="0.25">
      <c r="A449"/>
      <c r="B449"/>
      <c r="C449"/>
      <c r="D449"/>
      <c r="E449"/>
      <c r="F449"/>
      <c r="G449"/>
      <c r="H449"/>
      <c r="I449"/>
      <c r="J449"/>
      <c r="L449"/>
      <c r="M449"/>
    </row>
    <row r="450" spans="1:13" s="19" customFormat="1" x14ac:dyDescent="0.25">
      <c r="A450"/>
      <c r="B450"/>
      <c r="C450"/>
      <c r="D450"/>
      <c r="E450"/>
      <c r="F450"/>
      <c r="G450"/>
      <c r="H450"/>
      <c r="I450"/>
      <c r="J450"/>
      <c r="L450"/>
      <c r="M450"/>
    </row>
    <row r="451" spans="1:13" s="19" customFormat="1" x14ac:dyDescent="0.25">
      <c r="A451"/>
      <c r="B451"/>
      <c r="C451"/>
      <c r="D451"/>
      <c r="E451"/>
      <c r="F451"/>
      <c r="G451"/>
      <c r="H451"/>
      <c r="I451"/>
      <c r="J451"/>
      <c r="L451"/>
      <c r="M451"/>
    </row>
    <row r="452" spans="1:13" s="19" customFormat="1" x14ac:dyDescent="0.25">
      <c r="A452"/>
      <c r="B452"/>
      <c r="C452"/>
      <c r="D452"/>
      <c r="E452"/>
      <c r="F452"/>
      <c r="G452"/>
      <c r="H452"/>
      <c r="I452"/>
      <c r="J452"/>
      <c r="L452"/>
      <c r="M452"/>
    </row>
    <row r="453" spans="1:13" s="19" customFormat="1" x14ac:dyDescent="0.25">
      <c r="A453"/>
      <c r="B453"/>
      <c r="C453"/>
      <c r="D453"/>
      <c r="E453"/>
      <c r="F453"/>
      <c r="G453"/>
      <c r="H453"/>
      <c r="I453"/>
      <c r="J453"/>
      <c r="L453"/>
      <c r="M453"/>
    </row>
    <row r="454" spans="1:13" s="19" customFormat="1" x14ac:dyDescent="0.25">
      <c r="A454"/>
      <c r="B454"/>
      <c r="C454"/>
      <c r="D454"/>
      <c r="E454"/>
      <c r="F454"/>
      <c r="G454"/>
      <c r="H454"/>
      <c r="I454"/>
      <c r="J454"/>
      <c r="L454"/>
      <c r="M454"/>
    </row>
    <row r="455" spans="1:13" s="19" customFormat="1" x14ac:dyDescent="0.25">
      <c r="A455"/>
      <c r="B455"/>
      <c r="C455"/>
      <c r="D455"/>
      <c r="E455"/>
      <c r="F455"/>
      <c r="G455"/>
      <c r="H455"/>
      <c r="I455"/>
      <c r="J455"/>
      <c r="L455"/>
      <c r="M455"/>
    </row>
    <row r="456" spans="1:13" s="19" customFormat="1" x14ac:dyDescent="0.25">
      <c r="A456"/>
      <c r="B456"/>
      <c r="C456"/>
      <c r="D456"/>
      <c r="E456"/>
      <c r="F456"/>
      <c r="G456"/>
      <c r="H456"/>
      <c r="I456"/>
      <c r="J456"/>
      <c r="L456"/>
      <c r="M456"/>
    </row>
    <row r="457" spans="1:13" s="19" customFormat="1" x14ac:dyDescent="0.25">
      <c r="A457"/>
      <c r="B457"/>
      <c r="C457"/>
      <c r="D457"/>
      <c r="E457"/>
      <c r="F457"/>
      <c r="G457"/>
      <c r="H457"/>
      <c r="I457"/>
      <c r="J457"/>
      <c r="L457"/>
      <c r="M457"/>
    </row>
    <row r="458" spans="1:13" s="19" customFormat="1" x14ac:dyDescent="0.25">
      <c r="A458"/>
      <c r="B458"/>
      <c r="C458"/>
      <c r="D458"/>
      <c r="E458"/>
      <c r="F458"/>
      <c r="G458"/>
      <c r="H458"/>
      <c r="I458"/>
      <c r="J458"/>
      <c r="L458"/>
      <c r="M458"/>
    </row>
    <row r="459" spans="1:13" s="19" customFormat="1" x14ac:dyDescent="0.25">
      <c r="A459"/>
      <c r="B459"/>
      <c r="C459"/>
      <c r="D459"/>
      <c r="E459"/>
      <c r="F459"/>
      <c r="G459"/>
      <c r="H459"/>
      <c r="I459"/>
      <c r="J459"/>
      <c r="L459"/>
      <c r="M459"/>
    </row>
    <row r="460" spans="1:13" s="19" customFormat="1" x14ac:dyDescent="0.25">
      <c r="A460"/>
      <c r="B460"/>
      <c r="C460"/>
      <c r="D460"/>
      <c r="E460"/>
      <c r="F460"/>
      <c r="G460"/>
      <c r="H460"/>
      <c r="I460"/>
      <c r="J460"/>
      <c r="L460"/>
      <c r="M460"/>
    </row>
    <row r="461" spans="1:13" s="19" customFormat="1" x14ac:dyDescent="0.25">
      <c r="A461"/>
      <c r="B461"/>
      <c r="C461"/>
      <c r="D461"/>
      <c r="E461"/>
      <c r="F461"/>
      <c r="G461"/>
      <c r="H461"/>
      <c r="I461"/>
      <c r="J461"/>
      <c r="L461"/>
      <c r="M461"/>
    </row>
    <row r="462" spans="1:13" s="19" customFormat="1" x14ac:dyDescent="0.25">
      <c r="A462"/>
      <c r="B462"/>
      <c r="C462"/>
      <c r="D462"/>
      <c r="E462"/>
      <c r="F462"/>
      <c r="G462"/>
      <c r="H462"/>
      <c r="I462"/>
      <c r="J462"/>
      <c r="L462"/>
      <c r="M462"/>
    </row>
    <row r="463" spans="1:13" s="19" customFormat="1" x14ac:dyDescent="0.25">
      <c r="A463"/>
      <c r="B463"/>
      <c r="C463"/>
      <c r="D463"/>
      <c r="E463"/>
      <c r="F463"/>
      <c r="G463"/>
      <c r="H463"/>
      <c r="I463"/>
      <c r="J463"/>
      <c r="L463"/>
      <c r="M463"/>
    </row>
    <row r="464" spans="1:13" s="19" customFormat="1" x14ac:dyDescent="0.25"/>
    <row r="465" s="19" customFormat="1" x14ac:dyDescent="0.25"/>
    <row r="466" s="19" customFormat="1" x14ac:dyDescent="0.25"/>
    <row r="467" s="19" customFormat="1" x14ac:dyDescent="0.25"/>
    <row r="468" s="19" customFormat="1" x14ac:dyDescent="0.25"/>
    <row r="469" s="19" customFormat="1" x14ac:dyDescent="0.25"/>
    <row r="470" s="19" customFormat="1" x14ac:dyDescent="0.25"/>
    <row r="471" s="19" customFormat="1" x14ac:dyDescent="0.25"/>
    <row r="472" s="19" customFormat="1" x14ac:dyDescent="0.25"/>
    <row r="473" s="19" customFormat="1" x14ac:dyDescent="0.25"/>
    <row r="474" s="19" customFormat="1" x14ac:dyDescent="0.25"/>
    <row r="475" s="19" customFormat="1" x14ac:dyDescent="0.25"/>
    <row r="476" s="19" customFormat="1" x14ac:dyDescent="0.25"/>
    <row r="477" s="19" customFormat="1" x14ac:dyDescent="0.25"/>
    <row r="478" s="19" customFormat="1" x14ac:dyDescent="0.25"/>
    <row r="479" s="19" customFormat="1" x14ac:dyDescent="0.25"/>
    <row r="480" s="19" customFormat="1" x14ac:dyDescent="0.25"/>
    <row r="481" s="19" customFormat="1" x14ac:dyDescent="0.25"/>
    <row r="482" s="19" customFormat="1" x14ac:dyDescent="0.25"/>
    <row r="483" s="19" customFormat="1" x14ac:dyDescent="0.25"/>
    <row r="484" s="19" customFormat="1" x14ac:dyDescent="0.25"/>
    <row r="485" s="19" customFormat="1" x14ac:dyDescent="0.25"/>
    <row r="486" s="19" customFormat="1" x14ac:dyDescent="0.25"/>
    <row r="487" s="19" customFormat="1" x14ac:dyDescent="0.25"/>
    <row r="488" s="19" customFormat="1" x14ac:dyDescent="0.25"/>
    <row r="489" s="19" customFormat="1" x14ac:dyDescent="0.25"/>
    <row r="490" s="19" customFormat="1" x14ac:dyDescent="0.25"/>
    <row r="491" s="19" customFormat="1" x14ac:dyDescent="0.25"/>
    <row r="492" s="19" customFormat="1" x14ac:dyDescent="0.25"/>
    <row r="493" s="19" customFormat="1" x14ac:dyDescent="0.25"/>
    <row r="494" s="19" customFormat="1" x14ac:dyDescent="0.25"/>
    <row r="495" s="19" customFormat="1" x14ac:dyDescent="0.25"/>
    <row r="496" s="19" customFormat="1" x14ac:dyDescent="0.25"/>
    <row r="497" s="19" customFormat="1" x14ac:dyDescent="0.25"/>
    <row r="498" s="19" customFormat="1" x14ac:dyDescent="0.25"/>
    <row r="499" s="19" customFormat="1" x14ac:dyDescent="0.25"/>
    <row r="500" s="19" customFormat="1" x14ac:dyDescent="0.25"/>
    <row r="501" s="19" customFormat="1" x14ac:dyDescent="0.25"/>
    <row r="502" s="19" customFormat="1" x14ac:dyDescent="0.25"/>
    <row r="503" s="19" customFormat="1" x14ac:dyDescent="0.25"/>
    <row r="504" s="19" customFormat="1" x14ac:dyDescent="0.25"/>
    <row r="505" s="19" customFormat="1" x14ac:dyDescent="0.25"/>
    <row r="506" s="19" customFormat="1" x14ac:dyDescent="0.25"/>
    <row r="507" s="19" customFormat="1" x14ac:dyDescent="0.25"/>
    <row r="508" s="19" customFormat="1" x14ac:dyDescent="0.25"/>
    <row r="509" s="19" customFormat="1" x14ac:dyDescent="0.25"/>
    <row r="510" s="19" customFormat="1" x14ac:dyDescent="0.25"/>
    <row r="511" s="19" customFormat="1" x14ac:dyDescent="0.25"/>
    <row r="512" s="19" customFormat="1" x14ac:dyDescent="0.25"/>
    <row r="513" s="19" customFormat="1" x14ac:dyDescent="0.25"/>
    <row r="514" s="19" customFormat="1" x14ac:dyDescent="0.25"/>
    <row r="515" s="19" customFormat="1" x14ac:dyDescent="0.25"/>
    <row r="516" s="19" customFormat="1" x14ac:dyDescent="0.25"/>
    <row r="517" s="19" customFormat="1" x14ac:dyDescent="0.25"/>
    <row r="518" s="19" customFormat="1" x14ac:dyDescent="0.25"/>
    <row r="519" s="19" customFormat="1" x14ac:dyDescent="0.25"/>
    <row r="520" s="19" customFormat="1" x14ac:dyDescent="0.25"/>
    <row r="521" s="19" customFormat="1" x14ac:dyDescent="0.25"/>
    <row r="522" s="19" customFormat="1" x14ac:dyDescent="0.25"/>
    <row r="523" s="19" customFormat="1" x14ac:dyDescent="0.25"/>
    <row r="524" s="19" customFormat="1" x14ac:dyDescent="0.25"/>
    <row r="525" s="19" customFormat="1" x14ac:dyDescent="0.25"/>
    <row r="526" s="19" customFormat="1" x14ac:dyDescent="0.25"/>
    <row r="527" s="19" customFormat="1" x14ac:dyDescent="0.25"/>
    <row r="528" s="19" customFormat="1" x14ac:dyDescent="0.25"/>
    <row r="529" s="19" customFormat="1" x14ac:dyDescent="0.25"/>
    <row r="530" s="19" customFormat="1" x14ac:dyDescent="0.25"/>
    <row r="531" s="19" customFormat="1" x14ac:dyDescent="0.25"/>
    <row r="532" s="19" customFormat="1" x14ac:dyDescent="0.25"/>
    <row r="533" s="19" customFormat="1" x14ac:dyDescent="0.25"/>
    <row r="534" s="19" customFormat="1" x14ac:dyDescent="0.25"/>
    <row r="535" s="19" customFormat="1" x14ac:dyDescent="0.25"/>
    <row r="536" s="19" customFormat="1" x14ac:dyDescent="0.25"/>
    <row r="537" s="19" customFormat="1" x14ac:dyDescent="0.25"/>
    <row r="538" s="19" customFormat="1" x14ac:dyDescent="0.25"/>
    <row r="539" s="19" customFormat="1" x14ac:dyDescent="0.25"/>
    <row r="540" s="19" customFormat="1" x14ac:dyDescent="0.25"/>
    <row r="541" s="19" customFormat="1" x14ac:dyDescent="0.25"/>
    <row r="542" s="19" customFormat="1" x14ac:dyDescent="0.25"/>
    <row r="543" s="19" customFormat="1" x14ac:dyDescent="0.25"/>
    <row r="544" s="19" customFormat="1" x14ac:dyDescent="0.25"/>
    <row r="545" s="19" customFormat="1" x14ac:dyDescent="0.25"/>
    <row r="546" s="19" customFormat="1" x14ac:dyDescent="0.25"/>
    <row r="547" s="19" customFormat="1" x14ac:dyDescent="0.25"/>
    <row r="548" s="19" customFormat="1" x14ac:dyDescent="0.25"/>
    <row r="549" s="19" customFormat="1" x14ac:dyDescent="0.25"/>
    <row r="550" s="19" customFormat="1" x14ac:dyDescent="0.25"/>
    <row r="551" s="19" customFormat="1" x14ac:dyDescent="0.25"/>
    <row r="552" s="19" customFormat="1" x14ac:dyDescent="0.25"/>
    <row r="553" s="19" customFormat="1" x14ac:dyDescent="0.25"/>
    <row r="554" s="19" customFormat="1" x14ac:dyDescent="0.25"/>
    <row r="555" s="19" customFormat="1" x14ac:dyDescent="0.25"/>
    <row r="556" s="19" customFormat="1" x14ac:dyDescent="0.25"/>
    <row r="557" s="19" customFormat="1" x14ac:dyDescent="0.25"/>
    <row r="558" s="19" customFormat="1" x14ac:dyDescent="0.25"/>
    <row r="559" s="19" customFormat="1" x14ac:dyDescent="0.25"/>
    <row r="560" s="19" customFormat="1" x14ac:dyDescent="0.25"/>
    <row r="561" s="19" customFormat="1" x14ac:dyDescent="0.25"/>
    <row r="562" s="19" customFormat="1" x14ac:dyDescent="0.25"/>
    <row r="563" s="19" customFormat="1" x14ac:dyDescent="0.25"/>
    <row r="564" s="19" customFormat="1" x14ac:dyDescent="0.25"/>
    <row r="565" s="19" customFormat="1" x14ac:dyDescent="0.25"/>
    <row r="566" s="19" customFormat="1" x14ac:dyDescent="0.25"/>
    <row r="567" s="19" customFormat="1" x14ac:dyDescent="0.25"/>
    <row r="568" s="19" customFormat="1" x14ac:dyDescent="0.25"/>
    <row r="569" s="19" customFormat="1" x14ac:dyDescent="0.25"/>
    <row r="570" s="19" customFormat="1" x14ac:dyDescent="0.25"/>
    <row r="571" s="19" customFormat="1" x14ac:dyDescent="0.25"/>
    <row r="572" s="19" customFormat="1" x14ac:dyDescent="0.25"/>
    <row r="573" s="19" customFormat="1" x14ac:dyDescent="0.25"/>
    <row r="574" s="19" customFormat="1" x14ac:dyDescent="0.25"/>
    <row r="575" s="19" customFormat="1" x14ac:dyDescent="0.25"/>
    <row r="576" s="19" customFormat="1" x14ac:dyDescent="0.25"/>
    <row r="577" s="19" customFormat="1" x14ac:dyDescent="0.25"/>
    <row r="578" s="19" customFormat="1" x14ac:dyDescent="0.25"/>
    <row r="579" s="19" customFormat="1" x14ac:dyDescent="0.25"/>
    <row r="580" s="19" customFormat="1" x14ac:dyDescent="0.25"/>
    <row r="581" s="19" customFormat="1" x14ac:dyDescent="0.25"/>
    <row r="582" s="19" customFormat="1" x14ac:dyDescent="0.25"/>
    <row r="583" s="19" customFormat="1" x14ac:dyDescent="0.25"/>
    <row r="584" s="19" customFormat="1" x14ac:dyDescent="0.25"/>
    <row r="585" s="19" customFormat="1" x14ac:dyDescent="0.25"/>
    <row r="586" s="19" customFormat="1" x14ac:dyDescent="0.25"/>
    <row r="587" s="19" customFormat="1" x14ac:dyDescent="0.25"/>
    <row r="588" s="19" customFormat="1" x14ac:dyDescent="0.25"/>
    <row r="589" s="19" customFormat="1" x14ac:dyDescent="0.25"/>
    <row r="590" s="19" customFormat="1" x14ac:dyDescent="0.25"/>
    <row r="591" s="19" customFormat="1" x14ac:dyDescent="0.25"/>
    <row r="592" s="19" customFormat="1" x14ac:dyDescent="0.25"/>
    <row r="593" s="19" customFormat="1" x14ac:dyDescent="0.25"/>
    <row r="594" s="19" customFormat="1" x14ac:dyDescent="0.25"/>
    <row r="595" s="19" customFormat="1" x14ac:dyDescent="0.25"/>
    <row r="596" s="19" customFormat="1" x14ac:dyDescent="0.25"/>
    <row r="597" s="19" customFormat="1" x14ac:dyDescent="0.25"/>
    <row r="598" s="19" customFormat="1" x14ac:dyDescent="0.25"/>
    <row r="599" s="19" customFormat="1" x14ac:dyDescent="0.25"/>
    <row r="600" s="19" customFormat="1" x14ac:dyDescent="0.25"/>
    <row r="601" s="19" customFormat="1" x14ac:dyDescent="0.25"/>
    <row r="602" s="19" customFormat="1" x14ac:dyDescent="0.25"/>
    <row r="603" s="19" customFormat="1" x14ac:dyDescent="0.25"/>
    <row r="604" s="19" customFormat="1" x14ac:dyDescent="0.25"/>
    <row r="605" s="19" customFormat="1" x14ac:dyDescent="0.25"/>
    <row r="606" s="19" customFormat="1" x14ac:dyDescent="0.25"/>
    <row r="607" s="19" customFormat="1" x14ac:dyDescent="0.25"/>
    <row r="608" s="19" customFormat="1" x14ac:dyDescent="0.25"/>
    <row r="609" s="19" customFormat="1" x14ac:dyDescent="0.25"/>
    <row r="610" s="19" customFormat="1" x14ac:dyDescent="0.25"/>
    <row r="611" s="19" customFormat="1" x14ac:dyDescent="0.25"/>
    <row r="612" s="19" customFormat="1" x14ac:dyDescent="0.25"/>
    <row r="613" s="19" customFormat="1" x14ac:dyDescent="0.25"/>
    <row r="614" s="19" customFormat="1" x14ac:dyDescent="0.25"/>
    <row r="615" s="19" customFormat="1" x14ac:dyDescent="0.25"/>
    <row r="616" s="19" customFormat="1" x14ac:dyDescent="0.25"/>
    <row r="617" s="19" customFormat="1" x14ac:dyDescent="0.25"/>
    <row r="618" s="19" customFormat="1" x14ac:dyDescent="0.25"/>
    <row r="619" s="19" customFormat="1" x14ac:dyDescent="0.25"/>
    <row r="620" s="19" customFormat="1" x14ac:dyDescent="0.25"/>
    <row r="621" s="19" customFormat="1" x14ac:dyDescent="0.25"/>
    <row r="622" s="19" customFormat="1" x14ac:dyDescent="0.25"/>
    <row r="623" s="19" customFormat="1" x14ac:dyDescent="0.25"/>
    <row r="624" s="19" customFormat="1" x14ac:dyDescent="0.25"/>
    <row r="625" s="19" customFormat="1" x14ac:dyDescent="0.25"/>
    <row r="626" s="19" customFormat="1" x14ac:dyDescent="0.25"/>
    <row r="627" s="19" customFormat="1" x14ac:dyDescent="0.25"/>
    <row r="628" s="19" customFormat="1" x14ac:dyDescent="0.25"/>
    <row r="629" s="19" customFormat="1" x14ac:dyDescent="0.25"/>
    <row r="630" s="19" customFormat="1" x14ac:dyDescent="0.25"/>
    <row r="631" s="19" customFormat="1" x14ac:dyDescent="0.25"/>
    <row r="632" s="19" customFormat="1" x14ac:dyDescent="0.25"/>
    <row r="633" s="19" customFormat="1" x14ac:dyDescent="0.25"/>
    <row r="634" s="19" customFormat="1" x14ac:dyDescent="0.25"/>
    <row r="635" s="19" customFormat="1" x14ac:dyDescent="0.25"/>
    <row r="636" s="19" customFormat="1" x14ac:dyDescent="0.25"/>
    <row r="637" s="19" customFormat="1" x14ac:dyDescent="0.25"/>
    <row r="638" s="19" customFormat="1" x14ac:dyDescent="0.25"/>
    <row r="639" s="19" customFormat="1" x14ac:dyDescent="0.25"/>
    <row r="640" s="19" customFormat="1" x14ac:dyDescent="0.25"/>
    <row r="641" s="19" customFormat="1" x14ac:dyDescent="0.25"/>
    <row r="642" s="19" customFormat="1" x14ac:dyDescent="0.25"/>
    <row r="643" s="19" customFormat="1" x14ac:dyDescent="0.25"/>
    <row r="644" s="19" customFormat="1" x14ac:dyDescent="0.25"/>
    <row r="645" s="19" customFormat="1" x14ac:dyDescent="0.25"/>
    <row r="646" s="19" customFormat="1" x14ac:dyDescent="0.25"/>
    <row r="647" s="19" customFormat="1" x14ac:dyDescent="0.25"/>
    <row r="648" s="19" customFormat="1" x14ac:dyDescent="0.25"/>
    <row r="649" s="19" customFormat="1" x14ac:dyDescent="0.25"/>
    <row r="650" s="19" customFormat="1" x14ac:dyDescent="0.25"/>
    <row r="651" s="19" customFormat="1" x14ac:dyDescent="0.25"/>
    <row r="652" s="19" customFormat="1" x14ac:dyDescent="0.25"/>
    <row r="653" s="19" customFormat="1" x14ac:dyDescent="0.25"/>
    <row r="654" s="19" customFormat="1" x14ac:dyDescent="0.25"/>
    <row r="655" s="19" customFormat="1" x14ac:dyDescent="0.25"/>
    <row r="656" s="19" customFormat="1" x14ac:dyDescent="0.25"/>
    <row r="657" s="19" customFormat="1" x14ac:dyDescent="0.25"/>
    <row r="658" s="19" customFormat="1" x14ac:dyDescent="0.25"/>
    <row r="659" s="19" customFormat="1" x14ac:dyDescent="0.25"/>
    <row r="660" s="19" customFormat="1" x14ac:dyDescent="0.25"/>
    <row r="661" s="19" customFormat="1" x14ac:dyDescent="0.25"/>
    <row r="662" s="19" customFormat="1" x14ac:dyDescent="0.25"/>
    <row r="663" s="19" customFormat="1" x14ac:dyDescent="0.25"/>
    <row r="664" s="19" customFormat="1" x14ac:dyDescent="0.25"/>
    <row r="665" s="19" customFormat="1" x14ac:dyDescent="0.25"/>
    <row r="666" s="19" customFormat="1" x14ac:dyDescent="0.25"/>
    <row r="667" s="19" customFormat="1" x14ac:dyDescent="0.25"/>
    <row r="668" s="19" customFormat="1" x14ac:dyDescent="0.25"/>
    <row r="669" s="19" customFormat="1" x14ac:dyDescent="0.25"/>
    <row r="670" s="19" customFormat="1" x14ac:dyDescent="0.25"/>
    <row r="671" s="19" customFormat="1" x14ac:dyDescent="0.25"/>
    <row r="672" s="19" customFormat="1" x14ac:dyDescent="0.25"/>
    <row r="673" s="19" customFormat="1" x14ac:dyDescent="0.25"/>
    <row r="674" s="19" customFormat="1" x14ac:dyDescent="0.25"/>
    <row r="675" s="19" customFormat="1" x14ac:dyDescent="0.25"/>
    <row r="676" s="19" customFormat="1" x14ac:dyDescent="0.25"/>
    <row r="677" s="19" customFormat="1" x14ac:dyDescent="0.25"/>
    <row r="678" s="19" customFormat="1" x14ac:dyDescent="0.25"/>
    <row r="679" s="19" customFormat="1" x14ac:dyDescent="0.25"/>
    <row r="680" s="19" customFormat="1" x14ac:dyDescent="0.25"/>
    <row r="681" s="19" customFormat="1" x14ac:dyDescent="0.25"/>
    <row r="682" s="19" customFormat="1" x14ac:dyDescent="0.25"/>
    <row r="683" s="19" customFormat="1" x14ac:dyDescent="0.25"/>
    <row r="684" s="19" customFormat="1" x14ac:dyDescent="0.25"/>
    <row r="685" s="19" customFormat="1" x14ac:dyDescent="0.25"/>
    <row r="686" s="19" customFormat="1" x14ac:dyDescent="0.25"/>
    <row r="687" s="19" customFormat="1" x14ac:dyDescent="0.25"/>
    <row r="688" s="19" customFormat="1" x14ac:dyDescent="0.25"/>
    <row r="689" s="19" customFormat="1" x14ac:dyDescent="0.25"/>
    <row r="690" s="19" customFormat="1" x14ac:dyDescent="0.25"/>
    <row r="691" s="19" customFormat="1" x14ac:dyDescent="0.25"/>
    <row r="692" s="19" customFormat="1" x14ac:dyDescent="0.25"/>
    <row r="693" s="19" customFormat="1" x14ac:dyDescent="0.25"/>
    <row r="694" s="19" customFormat="1" x14ac:dyDescent="0.25"/>
    <row r="695" s="19" customFormat="1" x14ac:dyDescent="0.25"/>
    <row r="696" s="19" customFormat="1" x14ac:dyDescent="0.25"/>
    <row r="697" s="19" customFormat="1" x14ac:dyDescent="0.25"/>
    <row r="698" s="19" customFormat="1" x14ac:dyDescent="0.25"/>
    <row r="699" s="19" customFormat="1" x14ac:dyDescent="0.25"/>
    <row r="700" s="19" customFormat="1" x14ac:dyDescent="0.25"/>
    <row r="701" s="19" customFormat="1" x14ac:dyDescent="0.25"/>
    <row r="702" s="19" customFormat="1" x14ac:dyDescent="0.25"/>
    <row r="703" s="19" customFormat="1" x14ac:dyDescent="0.25"/>
    <row r="704" s="19" customFormat="1" x14ac:dyDescent="0.25"/>
    <row r="705" s="19" customFormat="1" x14ac:dyDescent="0.25"/>
    <row r="706" s="19" customFormat="1" x14ac:dyDescent="0.25"/>
    <row r="707" s="19" customFormat="1" x14ac:dyDescent="0.25"/>
    <row r="708" s="19" customFormat="1" x14ac:dyDescent="0.25"/>
    <row r="709" s="19" customFormat="1" x14ac:dyDescent="0.25"/>
    <row r="710" s="19" customFormat="1" x14ac:dyDescent="0.25"/>
    <row r="711" s="19" customFormat="1" x14ac:dyDescent="0.25"/>
    <row r="712" s="19" customFormat="1" x14ac:dyDescent="0.25"/>
    <row r="713" s="19" customFormat="1" x14ac:dyDescent="0.25"/>
    <row r="714" s="19" customFormat="1" x14ac:dyDescent="0.25"/>
    <row r="715" s="19" customFormat="1" x14ac:dyDescent="0.25"/>
    <row r="716" s="19" customFormat="1" x14ac:dyDescent="0.25"/>
    <row r="717" s="19" customFormat="1" x14ac:dyDescent="0.25"/>
    <row r="718" s="19" customFormat="1" x14ac:dyDescent="0.25"/>
    <row r="719" s="19" customFormat="1" x14ac:dyDescent="0.25"/>
    <row r="720" s="19" customFormat="1" x14ac:dyDescent="0.25"/>
    <row r="721" s="19" customFormat="1" x14ac:dyDescent="0.25"/>
    <row r="722" s="19" customFormat="1" x14ac:dyDescent="0.25"/>
    <row r="723" s="19" customFormat="1" x14ac:dyDescent="0.25"/>
    <row r="724" s="19" customFormat="1" x14ac:dyDescent="0.25"/>
    <row r="725" s="19" customFormat="1" x14ac:dyDescent="0.25"/>
    <row r="726" s="19" customFormat="1" x14ac:dyDescent="0.25"/>
    <row r="727" s="19" customFormat="1" x14ac:dyDescent="0.25"/>
    <row r="728" s="19" customFormat="1" x14ac:dyDescent="0.25"/>
    <row r="729" s="19" customFormat="1" x14ac:dyDescent="0.25"/>
    <row r="730" s="19" customFormat="1" x14ac:dyDescent="0.25"/>
    <row r="731" s="19" customFormat="1" x14ac:dyDescent="0.25"/>
    <row r="732" s="19" customFormat="1" x14ac:dyDescent="0.25"/>
    <row r="733" s="19" customFormat="1" x14ac:dyDescent="0.25"/>
    <row r="734" s="19" customFormat="1" x14ac:dyDescent="0.25"/>
    <row r="735" s="19" customFormat="1" x14ac:dyDescent="0.25"/>
    <row r="736" s="19" customFormat="1" x14ac:dyDescent="0.25"/>
    <row r="737" s="19" customFormat="1" x14ac:dyDescent="0.25"/>
    <row r="738" s="19" customFormat="1" x14ac:dyDescent="0.25"/>
    <row r="739" s="19" customFormat="1" x14ac:dyDescent="0.25"/>
    <row r="740" s="19" customFormat="1" x14ac:dyDescent="0.25"/>
    <row r="741" s="19" customFormat="1" x14ac:dyDescent="0.25"/>
    <row r="742" s="19" customFormat="1" x14ac:dyDescent="0.25"/>
    <row r="743" s="19" customFormat="1" x14ac:dyDescent="0.25"/>
    <row r="744" s="19" customFormat="1" x14ac:dyDescent="0.25"/>
    <row r="745" s="19" customFormat="1" x14ac:dyDescent="0.25"/>
    <row r="746" s="19" customFormat="1" x14ac:dyDescent="0.25"/>
    <row r="747" s="19" customFormat="1" x14ac:dyDescent="0.25"/>
    <row r="748" s="19" customFormat="1" x14ac:dyDescent="0.25"/>
    <row r="749" s="19" customFormat="1" x14ac:dyDescent="0.25"/>
    <row r="750" s="19" customFormat="1" x14ac:dyDescent="0.25"/>
    <row r="751" s="19" customFormat="1" x14ac:dyDescent="0.25"/>
    <row r="752" s="19" customFormat="1" x14ac:dyDescent="0.25"/>
    <row r="753" s="19" customFormat="1" x14ac:dyDescent="0.25"/>
    <row r="754" s="19" customFormat="1" x14ac:dyDescent="0.25"/>
    <row r="755" s="19" customFormat="1" x14ac:dyDescent="0.25"/>
    <row r="756" s="19" customFormat="1" x14ac:dyDescent="0.25"/>
    <row r="757" s="19" customFormat="1" x14ac:dyDescent="0.25"/>
    <row r="758" s="19" customFormat="1" x14ac:dyDescent="0.25"/>
    <row r="759" s="19" customFormat="1" x14ac:dyDescent="0.25"/>
    <row r="760" s="19" customFormat="1" x14ac:dyDescent="0.25"/>
    <row r="761" s="19" customFormat="1" x14ac:dyDescent="0.25"/>
    <row r="762" s="19" customFormat="1" x14ac:dyDescent="0.25"/>
    <row r="763" s="19" customFormat="1" x14ac:dyDescent="0.25"/>
    <row r="764" s="19" customFormat="1" x14ac:dyDescent="0.25"/>
    <row r="765" s="19" customFormat="1" x14ac:dyDescent="0.25"/>
    <row r="766" s="19" customFormat="1" x14ac:dyDescent="0.25"/>
    <row r="767" s="19" customFormat="1" x14ac:dyDescent="0.25"/>
    <row r="768" s="19" customFormat="1" x14ac:dyDescent="0.25"/>
    <row r="769" s="19" customFormat="1" x14ac:dyDescent="0.25"/>
    <row r="770" s="19" customFormat="1" x14ac:dyDescent="0.25"/>
    <row r="771" s="19" customFormat="1" x14ac:dyDescent="0.25"/>
    <row r="772" s="19" customFormat="1" x14ac:dyDescent="0.25"/>
    <row r="773" s="19" customFormat="1" x14ac:dyDescent="0.25"/>
    <row r="774" s="19" customFormat="1" x14ac:dyDescent="0.25"/>
    <row r="775" s="19" customFormat="1" x14ac:dyDescent="0.25"/>
    <row r="776" s="19" customFormat="1" x14ac:dyDescent="0.25"/>
    <row r="777" s="19" customFormat="1" x14ac:dyDescent="0.25"/>
    <row r="778" s="19" customFormat="1" x14ac:dyDescent="0.25"/>
    <row r="779" s="19" customFormat="1" x14ac:dyDescent="0.25"/>
    <row r="780" s="19" customFormat="1" x14ac:dyDescent="0.25"/>
    <row r="781" s="19" customFormat="1" x14ac:dyDescent="0.25"/>
    <row r="782" s="19" customFormat="1" x14ac:dyDescent="0.25"/>
    <row r="783" s="19" customFormat="1" x14ac:dyDescent="0.25"/>
    <row r="784" s="19" customFormat="1" x14ac:dyDescent="0.25"/>
    <row r="785" s="19" customFormat="1" x14ac:dyDescent="0.25"/>
    <row r="786" s="19" customFormat="1" x14ac:dyDescent="0.25"/>
    <row r="787" s="19" customFormat="1" x14ac:dyDescent="0.25"/>
    <row r="788" s="19" customFormat="1" x14ac:dyDescent="0.25"/>
    <row r="789" s="19" customFormat="1" x14ac:dyDescent="0.25"/>
    <row r="790" s="19" customFormat="1" x14ac:dyDescent="0.25"/>
    <row r="791" s="19" customFormat="1" x14ac:dyDescent="0.25"/>
    <row r="792" s="19" customFormat="1" x14ac:dyDescent="0.25"/>
    <row r="793" s="19" customFormat="1" x14ac:dyDescent="0.25"/>
    <row r="794" s="19" customFormat="1" x14ac:dyDescent="0.25"/>
    <row r="795" s="19" customFormat="1" x14ac:dyDescent="0.25"/>
    <row r="796" s="19" customFormat="1" x14ac:dyDescent="0.25"/>
    <row r="797" s="19" customFormat="1" x14ac:dyDescent="0.25"/>
    <row r="798" s="19" customFormat="1" x14ac:dyDescent="0.25"/>
    <row r="799" s="19" customFormat="1" x14ac:dyDescent="0.25"/>
    <row r="800" s="19" customFormat="1" x14ac:dyDescent="0.25"/>
    <row r="801" s="19" customFormat="1" x14ac:dyDescent="0.25"/>
    <row r="802" s="19" customFormat="1" x14ac:dyDescent="0.25"/>
    <row r="803" s="19" customFormat="1" x14ac:dyDescent="0.25"/>
    <row r="804" s="19" customFormat="1" x14ac:dyDescent="0.25"/>
    <row r="805" s="19" customFormat="1" x14ac:dyDescent="0.25"/>
    <row r="806" s="19" customFormat="1" x14ac:dyDescent="0.25"/>
    <row r="807" s="19" customFormat="1" x14ac:dyDescent="0.25"/>
    <row r="808" s="19" customFormat="1" x14ac:dyDescent="0.25"/>
    <row r="809" s="19" customFormat="1" x14ac:dyDescent="0.25"/>
    <row r="810" s="19" customFormat="1" x14ac:dyDescent="0.25"/>
    <row r="811" s="19" customFormat="1" x14ac:dyDescent="0.25"/>
    <row r="812" s="19" customFormat="1" x14ac:dyDescent="0.25"/>
    <row r="813" s="19" customFormat="1" x14ac:dyDescent="0.25"/>
    <row r="814" s="19" customFormat="1" x14ac:dyDescent="0.25"/>
    <row r="815" s="19" customFormat="1" x14ac:dyDescent="0.25"/>
    <row r="816" s="19" customFormat="1" x14ac:dyDescent="0.25"/>
    <row r="817" s="19" customFormat="1" x14ac:dyDescent="0.25"/>
    <row r="818" s="19" customFormat="1" x14ac:dyDescent="0.25"/>
    <row r="819" s="19" customFormat="1" x14ac:dyDescent="0.25"/>
    <row r="820" s="19" customFormat="1" x14ac:dyDescent="0.25"/>
    <row r="821" s="19" customFormat="1" x14ac:dyDescent="0.25"/>
    <row r="822" s="19" customFormat="1" x14ac:dyDescent="0.25"/>
    <row r="823" s="19" customFormat="1" x14ac:dyDescent="0.25"/>
    <row r="824" s="19" customFormat="1" x14ac:dyDescent="0.25"/>
    <row r="825" s="19" customFormat="1" x14ac:dyDescent="0.25"/>
    <row r="826" s="19" customFormat="1" x14ac:dyDescent="0.25"/>
    <row r="827" s="19" customFormat="1" x14ac:dyDescent="0.25"/>
    <row r="828" s="19" customFormat="1" x14ac:dyDescent="0.25"/>
    <row r="829" s="19" customFormat="1" x14ac:dyDescent="0.25"/>
    <row r="830" s="19" customFormat="1" x14ac:dyDescent="0.25"/>
    <row r="831" s="19" customFormat="1" x14ac:dyDescent="0.25"/>
    <row r="832" s="19" customFormat="1" x14ac:dyDescent="0.25"/>
    <row r="833" s="19" customFormat="1" x14ac:dyDescent="0.25"/>
    <row r="834" s="19" customFormat="1" x14ac:dyDescent="0.25"/>
    <row r="835" s="19" customFormat="1" x14ac:dyDescent="0.25"/>
    <row r="836" s="19" customFormat="1" x14ac:dyDescent="0.25"/>
    <row r="837" s="19" customFormat="1" x14ac:dyDescent="0.25"/>
    <row r="838" s="19" customFormat="1" x14ac:dyDescent="0.25"/>
    <row r="839" s="19" customFormat="1" x14ac:dyDescent="0.25"/>
    <row r="840" s="19" customFormat="1" x14ac:dyDescent="0.25"/>
    <row r="841" s="19" customFormat="1" x14ac:dyDescent="0.25"/>
    <row r="842" s="19" customFormat="1" x14ac:dyDescent="0.25"/>
    <row r="843" s="19" customFormat="1" x14ac:dyDescent="0.25"/>
    <row r="844" s="19" customFormat="1" x14ac:dyDescent="0.25"/>
    <row r="845" s="19" customFormat="1" x14ac:dyDescent="0.25"/>
    <row r="846" s="19" customFormat="1" x14ac:dyDescent="0.25"/>
    <row r="847" s="19" customFormat="1" x14ac:dyDescent="0.25"/>
    <row r="848" s="19" customFormat="1" x14ac:dyDescent="0.25"/>
    <row r="849" s="19" customFormat="1" x14ac:dyDescent="0.25"/>
    <row r="850" s="19" customFormat="1" x14ac:dyDescent="0.25"/>
    <row r="851" s="19" customFormat="1" x14ac:dyDescent="0.25"/>
    <row r="852" s="19" customFormat="1" x14ac:dyDescent="0.25"/>
    <row r="853" s="19" customFormat="1" x14ac:dyDescent="0.25"/>
    <row r="854" s="19" customFormat="1" x14ac:dyDescent="0.25"/>
    <row r="855" s="19" customFormat="1" x14ac:dyDescent="0.25"/>
    <row r="856" s="19" customFormat="1" x14ac:dyDescent="0.25"/>
    <row r="857" s="19" customFormat="1" x14ac:dyDescent="0.25"/>
    <row r="858" s="19" customFormat="1" x14ac:dyDescent="0.25"/>
    <row r="859" s="19" customFormat="1" x14ac:dyDescent="0.25"/>
    <row r="860" s="19" customFormat="1" x14ac:dyDescent="0.25"/>
    <row r="861" s="19" customFormat="1" x14ac:dyDescent="0.25"/>
    <row r="862" s="19" customFormat="1" x14ac:dyDescent="0.25"/>
    <row r="863" s="19" customFormat="1" x14ac:dyDescent="0.25"/>
    <row r="864" s="19" customFormat="1" x14ac:dyDescent="0.25"/>
    <row r="865" s="19" customFormat="1" x14ac:dyDescent="0.25"/>
    <row r="866" s="19" customFormat="1" x14ac:dyDescent="0.25"/>
    <row r="867" s="19" customFormat="1" x14ac:dyDescent="0.25"/>
    <row r="868" s="19" customFormat="1" x14ac:dyDescent="0.25"/>
    <row r="869" s="19" customFormat="1" x14ac:dyDescent="0.25"/>
    <row r="870" s="19" customFormat="1" x14ac:dyDescent="0.25"/>
    <row r="871" s="19" customFormat="1" x14ac:dyDescent="0.25"/>
    <row r="872" s="19" customFormat="1" x14ac:dyDescent="0.25"/>
    <row r="873" s="19" customFormat="1" x14ac:dyDescent="0.25"/>
    <row r="874" s="19" customFormat="1" x14ac:dyDescent="0.25"/>
    <row r="875" s="19" customFormat="1" x14ac:dyDescent="0.25"/>
    <row r="876" s="19" customFormat="1" x14ac:dyDescent="0.25"/>
    <row r="877" s="19" customFormat="1" x14ac:dyDescent="0.25"/>
    <row r="878" s="19" customFormat="1" x14ac:dyDescent="0.25"/>
    <row r="879" s="19" customFormat="1" x14ac:dyDescent="0.25"/>
    <row r="880" s="19" customFormat="1" x14ac:dyDescent="0.25"/>
    <row r="881" s="19" customFormat="1" x14ac:dyDescent="0.25"/>
    <row r="882" s="19" customFormat="1" x14ac:dyDescent="0.25"/>
    <row r="883" s="19" customFormat="1" x14ac:dyDescent="0.25"/>
    <row r="884" s="19" customFormat="1" x14ac:dyDescent="0.25"/>
    <row r="885" s="19" customFormat="1" x14ac:dyDescent="0.25"/>
    <row r="886" s="19" customFormat="1" x14ac:dyDescent="0.25"/>
    <row r="887" s="19" customFormat="1" x14ac:dyDescent="0.25"/>
    <row r="888" s="19" customFormat="1" x14ac:dyDescent="0.25"/>
    <row r="889" s="19" customFormat="1" x14ac:dyDescent="0.25"/>
    <row r="890" s="19" customFormat="1" x14ac:dyDescent="0.25"/>
    <row r="891" s="19" customFormat="1" x14ac:dyDescent="0.25"/>
    <row r="892" s="19" customFormat="1" x14ac:dyDescent="0.25"/>
    <row r="893" s="19" customFormat="1" x14ac:dyDescent="0.25"/>
    <row r="894" s="19" customFormat="1" x14ac:dyDescent="0.25"/>
    <row r="895" s="19" customFormat="1" x14ac:dyDescent="0.25"/>
    <row r="896" s="19" customFormat="1" x14ac:dyDescent="0.25"/>
    <row r="897" s="19" customFormat="1" x14ac:dyDescent="0.25"/>
    <row r="898" s="19" customFormat="1" x14ac:dyDescent="0.25"/>
    <row r="899" s="19" customFormat="1" x14ac:dyDescent="0.25"/>
    <row r="900" s="19" customFormat="1" x14ac:dyDescent="0.25"/>
    <row r="901" s="19" customFormat="1" x14ac:dyDescent="0.25"/>
    <row r="902" s="19" customFormat="1" x14ac:dyDescent="0.25"/>
    <row r="903" s="19" customFormat="1" x14ac:dyDescent="0.25"/>
    <row r="904" s="19" customFormat="1" x14ac:dyDescent="0.25"/>
    <row r="905" s="19" customFormat="1" x14ac:dyDescent="0.25"/>
    <row r="906" s="19" customFormat="1" x14ac:dyDescent="0.25"/>
    <row r="907" s="19" customFormat="1" x14ac:dyDescent="0.25"/>
    <row r="908" s="19" customFormat="1" x14ac:dyDescent="0.25"/>
    <row r="909" s="19" customFormat="1" x14ac:dyDescent="0.25"/>
    <row r="910" s="19" customFormat="1" x14ac:dyDescent="0.25"/>
    <row r="911" s="19" customFormat="1" x14ac:dyDescent="0.25"/>
    <row r="912" s="19" customFormat="1" x14ac:dyDescent="0.25"/>
    <row r="913" s="19" customFormat="1" x14ac:dyDescent="0.25"/>
    <row r="914" s="19" customFormat="1" x14ac:dyDescent="0.25"/>
    <row r="915" s="19" customFormat="1" x14ac:dyDescent="0.25"/>
    <row r="916" s="19" customFormat="1" x14ac:dyDescent="0.25"/>
    <row r="917" s="19" customFormat="1" x14ac:dyDescent="0.25"/>
    <row r="918" s="19" customFormat="1" x14ac:dyDescent="0.25"/>
    <row r="919" s="19" customFormat="1" x14ac:dyDescent="0.25"/>
    <row r="920" s="19" customFormat="1" x14ac:dyDescent="0.25"/>
    <row r="921" s="19" customFormat="1" x14ac:dyDescent="0.25"/>
    <row r="922" s="19" customFormat="1" x14ac:dyDescent="0.25"/>
    <row r="923" s="19" customFormat="1" x14ac:dyDescent="0.25"/>
    <row r="924" s="19" customFormat="1" x14ac:dyDescent="0.25"/>
    <row r="925" s="19" customFormat="1" x14ac:dyDescent="0.25"/>
    <row r="926" s="19" customFormat="1" x14ac:dyDescent="0.25"/>
    <row r="927" s="19" customFormat="1" x14ac:dyDescent="0.25"/>
    <row r="928" s="19" customFormat="1" x14ac:dyDescent="0.25"/>
    <row r="929" s="19" customFormat="1" x14ac:dyDescent="0.25"/>
    <row r="930" s="19" customFormat="1" x14ac:dyDescent="0.25"/>
    <row r="931" s="19" customFormat="1" x14ac:dyDescent="0.25"/>
    <row r="932" s="19" customFormat="1" x14ac:dyDescent="0.25"/>
    <row r="933" s="19" customFormat="1" x14ac:dyDescent="0.25"/>
    <row r="934" s="19" customFormat="1" x14ac:dyDescent="0.25"/>
    <row r="935" s="19" customFormat="1" x14ac:dyDescent="0.25"/>
    <row r="936" s="19" customFormat="1" x14ac:dyDescent="0.25"/>
    <row r="937" s="19" customFormat="1" x14ac:dyDescent="0.25"/>
    <row r="938" s="19" customFormat="1" x14ac:dyDescent="0.25"/>
    <row r="939" s="19" customFormat="1" x14ac:dyDescent="0.25"/>
    <row r="940" s="19" customFormat="1" x14ac:dyDescent="0.25"/>
    <row r="941" s="19" customFormat="1" x14ac:dyDescent="0.25"/>
    <row r="942" s="19" customFormat="1" x14ac:dyDescent="0.25"/>
    <row r="943" s="19" customFormat="1" x14ac:dyDescent="0.25"/>
    <row r="944" s="19" customFormat="1" x14ac:dyDescent="0.25"/>
    <row r="945" s="19" customFormat="1" x14ac:dyDescent="0.25"/>
    <row r="946" s="19" customFormat="1" x14ac:dyDescent="0.25"/>
    <row r="947" s="19" customFormat="1" x14ac:dyDescent="0.25"/>
    <row r="948" s="19" customFormat="1" x14ac:dyDescent="0.25"/>
    <row r="949" s="19" customFormat="1" x14ac:dyDescent="0.25"/>
    <row r="950" s="19" customFormat="1" x14ac:dyDescent="0.25"/>
    <row r="951" s="19" customFormat="1" x14ac:dyDescent="0.25"/>
    <row r="952" s="19" customFormat="1" x14ac:dyDescent="0.25"/>
    <row r="953" s="19" customFormat="1" x14ac:dyDescent="0.25"/>
    <row r="954" s="19" customFormat="1" x14ac:dyDescent="0.25"/>
    <row r="955" s="19" customFormat="1" x14ac:dyDescent="0.25"/>
    <row r="956" s="19" customFormat="1" x14ac:dyDescent="0.25"/>
    <row r="957" s="19" customFormat="1" x14ac:dyDescent="0.25"/>
    <row r="958" s="19" customFormat="1" x14ac:dyDescent="0.25"/>
    <row r="959" s="19" customFormat="1" x14ac:dyDescent="0.25"/>
    <row r="960" s="19" customFormat="1" x14ac:dyDescent="0.25"/>
    <row r="961" s="19" customFormat="1" x14ac:dyDescent="0.25"/>
    <row r="962" s="19" customFormat="1" x14ac:dyDescent="0.25"/>
    <row r="963" s="19" customFormat="1" x14ac:dyDescent="0.25"/>
    <row r="964" s="19" customFormat="1" x14ac:dyDescent="0.25"/>
    <row r="965" s="19" customFormat="1" x14ac:dyDescent="0.25"/>
    <row r="966" s="19" customFormat="1" x14ac:dyDescent="0.25"/>
    <row r="967" s="19" customFormat="1" x14ac:dyDescent="0.25"/>
    <row r="968" s="19" customFormat="1" x14ac:dyDescent="0.25"/>
    <row r="969" s="19" customFormat="1" x14ac:dyDescent="0.25"/>
    <row r="970" s="19" customFormat="1" x14ac:dyDescent="0.25"/>
    <row r="971" s="19" customFormat="1" x14ac:dyDescent="0.25"/>
    <row r="972" s="19" customFormat="1" x14ac:dyDescent="0.25"/>
    <row r="973" s="19" customFormat="1" x14ac:dyDescent="0.25"/>
    <row r="974" s="19" customFormat="1" x14ac:dyDescent="0.25"/>
    <row r="975" s="19" customFormat="1" x14ac:dyDescent="0.25"/>
    <row r="976" s="19" customFormat="1" x14ac:dyDescent="0.25"/>
    <row r="977" s="19" customFormat="1" x14ac:dyDescent="0.25"/>
    <row r="978" s="19" customFormat="1" x14ac:dyDescent="0.25"/>
    <row r="979" s="19" customFormat="1" x14ac:dyDescent="0.25"/>
    <row r="980" s="19" customFormat="1" x14ac:dyDescent="0.25"/>
    <row r="981" s="19" customFormat="1" x14ac:dyDescent="0.25"/>
    <row r="982" s="19" customFormat="1" x14ac:dyDescent="0.25"/>
    <row r="983" s="19" customFormat="1" x14ac:dyDescent="0.25"/>
    <row r="984" s="19" customFormat="1" x14ac:dyDescent="0.25"/>
    <row r="985" s="19" customFormat="1" x14ac:dyDescent="0.25"/>
    <row r="986" s="19" customFormat="1" x14ac:dyDescent="0.25"/>
    <row r="987" s="19" customFormat="1" x14ac:dyDescent="0.25"/>
    <row r="988" s="19" customFormat="1" x14ac:dyDescent="0.25"/>
    <row r="989" s="19" customFormat="1" x14ac:dyDescent="0.25"/>
    <row r="990" s="19" customFormat="1" x14ac:dyDescent="0.25"/>
    <row r="991" s="19" customFormat="1" x14ac:dyDescent="0.25"/>
    <row r="992" s="19" customFormat="1" x14ac:dyDescent="0.25"/>
    <row r="993" s="19" customFormat="1" x14ac:dyDescent="0.25"/>
    <row r="994" s="19" customFormat="1" x14ac:dyDescent="0.25"/>
    <row r="995" s="19" customFormat="1" x14ac:dyDescent="0.25"/>
    <row r="996" s="19" customFormat="1" x14ac:dyDescent="0.25"/>
    <row r="997" s="19" customFormat="1" x14ac:dyDescent="0.25"/>
    <row r="998" s="19" customFormat="1" x14ac:dyDescent="0.25"/>
    <row r="999" s="19" customFormat="1" x14ac:dyDescent="0.25"/>
    <row r="1000" s="19" customFormat="1" x14ac:dyDescent="0.25"/>
    <row r="1001" s="19" customFormat="1" x14ac:dyDescent="0.25"/>
    <row r="1002" s="19" customFormat="1" x14ac:dyDescent="0.25"/>
    <row r="1003" s="19" customFormat="1" x14ac:dyDescent="0.25"/>
    <row r="1004" s="19" customFormat="1" x14ac:dyDescent="0.25"/>
    <row r="1005" s="19" customFormat="1" x14ac:dyDescent="0.25"/>
    <row r="1006" s="19" customFormat="1" x14ac:dyDescent="0.25"/>
    <row r="1007" s="19" customFormat="1" x14ac:dyDescent="0.25"/>
    <row r="1008" s="19" customFormat="1" x14ac:dyDescent="0.25"/>
    <row r="1009" s="19" customFormat="1" x14ac:dyDescent="0.25"/>
    <row r="1010" s="19" customFormat="1" x14ac:dyDescent="0.25"/>
    <row r="1011" s="19" customFormat="1" x14ac:dyDescent="0.25"/>
    <row r="1012" s="19" customFormat="1" x14ac:dyDescent="0.25"/>
    <row r="1013" s="19" customFormat="1" x14ac:dyDescent="0.25"/>
    <row r="1014" s="19" customFormat="1" x14ac:dyDescent="0.25"/>
    <row r="1015" s="19" customFormat="1" x14ac:dyDescent="0.25"/>
    <row r="1016" s="19" customFormat="1" x14ac:dyDescent="0.25"/>
    <row r="1017" s="19" customFormat="1" x14ac:dyDescent="0.25"/>
    <row r="1018" s="19" customFormat="1" x14ac:dyDescent="0.25"/>
    <row r="1019" s="19" customFormat="1" x14ac:dyDescent="0.25"/>
    <row r="1020" s="19" customFormat="1" x14ac:dyDescent="0.25"/>
    <row r="1021" s="19" customFormat="1" x14ac:dyDescent="0.25"/>
    <row r="1022" s="19" customFormat="1" x14ac:dyDescent="0.25"/>
    <row r="1023" s="19" customFormat="1" x14ac:dyDescent="0.25"/>
    <row r="1024" s="19" customFormat="1" x14ac:dyDescent="0.25"/>
    <row r="1025" s="19" customFormat="1" x14ac:dyDescent="0.25"/>
    <row r="1026" s="19" customFormat="1" x14ac:dyDescent="0.25"/>
    <row r="1027" s="19" customFormat="1" x14ac:dyDescent="0.25"/>
    <row r="1028" s="19" customFormat="1" x14ac:dyDescent="0.25"/>
    <row r="1029" s="19" customFormat="1" x14ac:dyDescent="0.25"/>
    <row r="1030" s="19" customFormat="1" x14ac:dyDescent="0.25"/>
    <row r="1031" s="19" customFormat="1" x14ac:dyDescent="0.25"/>
    <row r="1032" s="19" customFormat="1" x14ac:dyDescent="0.25"/>
    <row r="1033" s="19" customFormat="1" x14ac:dyDescent="0.25"/>
    <row r="1034" s="19" customFormat="1" x14ac:dyDescent="0.25"/>
    <row r="1035" s="19" customFormat="1" x14ac:dyDescent="0.25"/>
    <row r="1036" s="19" customFormat="1" x14ac:dyDescent="0.25"/>
    <row r="1037" s="19" customFormat="1" x14ac:dyDescent="0.25"/>
    <row r="1038" s="19" customFormat="1" x14ac:dyDescent="0.25"/>
    <row r="1039" s="19" customFormat="1" x14ac:dyDescent="0.25"/>
    <row r="1040" s="19" customFormat="1" x14ac:dyDescent="0.25"/>
    <row r="1041" s="19" customFormat="1" x14ac:dyDescent="0.25"/>
    <row r="1042" s="19" customFormat="1" x14ac:dyDescent="0.25"/>
    <row r="1043" s="19" customFormat="1" x14ac:dyDescent="0.25"/>
    <row r="1044" s="19" customFormat="1" x14ac:dyDescent="0.25"/>
    <row r="1045" s="19" customFormat="1" x14ac:dyDescent="0.25"/>
    <row r="1046" s="19" customFormat="1" x14ac:dyDescent="0.25"/>
    <row r="1047" s="19" customFormat="1" x14ac:dyDescent="0.25"/>
    <row r="1048" s="19" customFormat="1" x14ac:dyDescent="0.25"/>
    <row r="1049" s="19" customFormat="1" x14ac:dyDescent="0.25"/>
    <row r="1050" s="19" customFormat="1" x14ac:dyDescent="0.25"/>
    <row r="1051" s="19" customFormat="1" x14ac:dyDescent="0.25"/>
    <row r="1052" s="19" customFormat="1" x14ac:dyDescent="0.25"/>
    <row r="1053" s="19" customFormat="1" x14ac:dyDescent="0.25"/>
    <row r="1054" s="19" customFormat="1" x14ac:dyDescent="0.25"/>
    <row r="1055" s="19" customFormat="1" x14ac:dyDescent="0.25"/>
    <row r="1056" s="19" customFormat="1" x14ac:dyDescent="0.25"/>
    <row r="1057" s="19" customFormat="1" x14ac:dyDescent="0.25"/>
    <row r="1058" s="19" customFormat="1" x14ac:dyDescent="0.25"/>
    <row r="1059" s="19" customFormat="1" x14ac:dyDescent="0.25"/>
    <row r="1060" s="19" customFormat="1" x14ac:dyDescent="0.25"/>
    <row r="1061" s="19" customFormat="1" x14ac:dyDescent="0.25"/>
    <row r="1062" s="19" customFormat="1" x14ac:dyDescent="0.25"/>
    <row r="1063" s="19" customFormat="1" x14ac:dyDescent="0.25"/>
    <row r="1064" s="19" customFormat="1" x14ac:dyDescent="0.25"/>
    <row r="1065" s="19" customFormat="1" x14ac:dyDescent="0.25"/>
    <row r="1066" s="19" customFormat="1" x14ac:dyDescent="0.25"/>
    <row r="1067" s="19" customFormat="1" x14ac:dyDescent="0.25"/>
    <row r="1068" s="19" customFormat="1" x14ac:dyDescent="0.25"/>
    <row r="1069" s="19" customFormat="1" x14ac:dyDescent="0.25"/>
    <row r="1070" s="19" customFormat="1" x14ac:dyDescent="0.25"/>
  </sheetData>
  <mergeCells count="1">
    <mergeCell ref="F1:H1"/>
  </mergeCells>
  <pageMargins left="0.75" right="0.75" top="1" bottom="1" header="0.5" footer="0.5"/>
  <pageSetup orientation="portrait" horizontalDpi="4294967292" verticalDpi="4294967292"/>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X618"/>
  <sheetViews>
    <sheetView workbookViewId="0">
      <pane ySplit="4" topLeftCell="A5" activePane="bottomLeft" state="frozen"/>
      <selection pane="bottomLeft" activeCell="X35" sqref="X35"/>
    </sheetView>
  </sheetViews>
  <sheetFormatPr defaultColWidth="11" defaultRowHeight="15.75" x14ac:dyDescent="0.25"/>
  <cols>
    <col min="1" max="1" width="32.5" customWidth="1"/>
    <col min="2" max="10" width="14.5" customWidth="1"/>
    <col min="11" max="11" width="14.125" style="278" bestFit="1" customWidth="1"/>
    <col min="12" max="12" width="11.125" bestFit="1" customWidth="1"/>
    <col min="13" max="13" width="15.125" hidden="1" customWidth="1"/>
    <col min="14" max="14" width="13.875" style="124" customWidth="1"/>
    <col min="24" max="24" width="52.875" customWidth="1"/>
  </cols>
  <sheetData>
    <row r="1" spans="1:15" ht="18.75" x14ac:dyDescent="0.3">
      <c r="A1" s="36" t="s">
        <v>41</v>
      </c>
      <c r="F1" s="1020" t="s">
        <v>154</v>
      </c>
      <c r="G1" s="1020"/>
      <c r="H1" s="1020"/>
      <c r="J1" s="357"/>
      <c r="K1" s="295"/>
      <c r="L1" s="357"/>
      <c r="M1" s="357"/>
    </row>
    <row r="2" spans="1:15" x14ac:dyDescent="0.25">
      <c r="A2" s="2"/>
    </row>
    <row r="3" spans="1:15" x14ac:dyDescent="0.25">
      <c r="A3" s="2"/>
      <c r="B3" s="435" t="s">
        <v>58</v>
      </c>
      <c r="C3" s="360" t="s">
        <v>58</v>
      </c>
      <c r="D3" s="360" t="s">
        <v>58</v>
      </c>
      <c r="E3" s="360" t="s">
        <v>58</v>
      </c>
      <c r="F3" s="360" t="s">
        <v>58</v>
      </c>
      <c r="G3" s="360" t="s">
        <v>58</v>
      </c>
      <c r="H3" s="360" t="s">
        <v>58</v>
      </c>
      <c r="I3" s="360" t="s">
        <v>58</v>
      </c>
      <c r="J3" s="360" t="s">
        <v>58</v>
      </c>
      <c r="K3" s="435" t="s">
        <v>58</v>
      </c>
      <c r="L3" s="441" t="s">
        <v>58</v>
      </c>
      <c r="M3" s="360" t="s">
        <v>58</v>
      </c>
    </row>
    <row r="4" spans="1:15" x14ac:dyDescent="0.25">
      <c r="A4" s="2"/>
      <c r="B4" s="437" t="s">
        <v>55</v>
      </c>
      <c r="C4" s="205" t="s">
        <v>55</v>
      </c>
      <c r="D4" s="205" t="s">
        <v>55</v>
      </c>
      <c r="E4" s="205" t="s">
        <v>55</v>
      </c>
      <c r="F4" s="205" t="s">
        <v>55</v>
      </c>
      <c r="G4" s="205" t="s">
        <v>55</v>
      </c>
      <c r="H4" s="205" t="s">
        <v>55</v>
      </c>
      <c r="I4" s="205" t="s">
        <v>55</v>
      </c>
      <c r="J4" s="205" t="s">
        <v>55</v>
      </c>
      <c r="K4" s="437" t="s">
        <v>151</v>
      </c>
      <c r="L4" s="442" t="s">
        <v>56</v>
      </c>
      <c r="M4" s="205" t="s">
        <v>253</v>
      </c>
    </row>
    <row r="5" spans="1:15" ht="16.5" thickBot="1" x14ac:dyDescent="0.3">
      <c r="B5" s="439">
        <v>2009</v>
      </c>
      <c r="C5" s="367">
        <v>2010</v>
      </c>
      <c r="D5" s="367">
        <v>2011</v>
      </c>
      <c r="E5" s="367">
        <v>2012</v>
      </c>
      <c r="F5" s="367">
        <v>2013</v>
      </c>
      <c r="G5" s="367">
        <v>2014</v>
      </c>
      <c r="H5" s="367">
        <v>2015</v>
      </c>
      <c r="I5" s="367">
        <v>2016</v>
      </c>
      <c r="J5" s="367">
        <v>2017</v>
      </c>
      <c r="K5" s="439">
        <v>2018</v>
      </c>
      <c r="L5" s="456">
        <v>2019</v>
      </c>
      <c r="M5" s="367">
        <v>2018</v>
      </c>
      <c r="O5" s="2"/>
    </row>
    <row r="6" spans="1:15" s="278" customFormat="1" ht="18.75" x14ac:dyDescent="0.3">
      <c r="A6" s="850" t="s">
        <v>333</v>
      </c>
      <c r="B6" s="378"/>
      <c r="C6" s="371"/>
      <c r="D6" s="371"/>
      <c r="E6" s="371"/>
      <c r="F6" s="371"/>
      <c r="G6" s="371"/>
      <c r="H6" s="371"/>
      <c r="I6" s="371"/>
      <c r="J6" s="379"/>
      <c r="K6" s="463"/>
      <c r="L6" s="464"/>
      <c r="M6" s="379"/>
      <c r="N6" s="126"/>
      <c r="O6" s="2"/>
    </row>
    <row r="7" spans="1:15" x14ac:dyDescent="0.25">
      <c r="A7" s="851" t="s">
        <v>92</v>
      </c>
      <c r="B7" s="380">
        <v>312948</v>
      </c>
      <c r="C7" s="315">
        <f>83449+132869</f>
        <v>216318</v>
      </c>
      <c r="D7" s="315">
        <f>1224116-991439</f>
        <v>232677</v>
      </c>
      <c r="E7" s="315">
        <f>252421+195820</f>
        <v>448241</v>
      </c>
      <c r="F7" s="315">
        <f>267551+88573+50000</f>
        <v>406124</v>
      </c>
      <c r="G7" s="315">
        <f>405764+25000</f>
        <v>430764</v>
      </c>
      <c r="H7" s="315">
        <f>9680+295387+59240+85009+25000</f>
        <v>474316</v>
      </c>
      <c r="I7" s="315">
        <f>8927+389080+72523+28977+25000</f>
        <v>524507</v>
      </c>
      <c r="J7" s="381">
        <f>134388+366582</f>
        <v>500970</v>
      </c>
      <c r="K7" s="315">
        <f>100000+406800</f>
        <v>506800</v>
      </c>
      <c r="L7" s="372">
        <f>123000+449169</f>
        <v>572169</v>
      </c>
      <c r="M7" s="381">
        <f>100000+406800</f>
        <v>506800</v>
      </c>
      <c r="N7" s="121"/>
      <c r="O7" s="3"/>
    </row>
    <row r="8" spans="1:15" x14ac:dyDescent="0.25">
      <c r="A8" s="852" t="s">
        <v>88</v>
      </c>
      <c r="B8" s="380">
        <v>0</v>
      </c>
      <c r="C8" s="315">
        <v>0</v>
      </c>
      <c r="D8" s="315">
        <v>0</v>
      </c>
      <c r="E8" s="315">
        <v>0</v>
      </c>
      <c r="F8" s="315">
        <v>0</v>
      </c>
      <c r="G8" s="315">
        <v>0</v>
      </c>
      <c r="H8" s="315">
        <v>0</v>
      </c>
      <c r="I8" s="315">
        <v>0</v>
      </c>
      <c r="J8" s="381">
        <v>0</v>
      </c>
      <c r="K8" s="315">
        <v>0</v>
      </c>
      <c r="L8" s="372">
        <v>0</v>
      </c>
      <c r="M8" s="381">
        <v>0</v>
      </c>
      <c r="N8" s="121"/>
      <c r="O8" s="3"/>
    </row>
    <row r="9" spans="1:15" x14ac:dyDescent="0.25">
      <c r="A9" s="853" t="s">
        <v>93</v>
      </c>
      <c r="B9" s="380">
        <v>0</v>
      </c>
      <c r="C9" s="315">
        <v>0</v>
      </c>
      <c r="D9" s="315">
        <v>0</v>
      </c>
      <c r="E9" s="315">
        <v>0</v>
      </c>
      <c r="F9" s="315">
        <v>0</v>
      </c>
      <c r="G9" s="315">
        <v>0</v>
      </c>
      <c r="H9" s="315">
        <v>0</v>
      </c>
      <c r="I9" s="315">
        <v>0</v>
      </c>
      <c r="J9" s="381">
        <v>0</v>
      </c>
      <c r="K9" s="315">
        <v>0</v>
      </c>
      <c r="L9" s="372">
        <v>0</v>
      </c>
      <c r="M9" s="381">
        <v>0</v>
      </c>
      <c r="N9" s="121"/>
      <c r="O9" s="3"/>
    </row>
    <row r="10" spans="1:15" x14ac:dyDescent="0.25">
      <c r="A10" s="854" t="s">
        <v>78</v>
      </c>
      <c r="B10" s="380">
        <f>341368+128878</f>
        <v>470246</v>
      </c>
      <c r="C10" s="315">
        <f>207463+95552</f>
        <v>303015</v>
      </c>
      <c r="D10" s="315">
        <f>214029+203751</f>
        <v>417780</v>
      </c>
      <c r="E10" s="315">
        <f>137214+192199</f>
        <v>329413</v>
      </c>
      <c r="F10" s="315">
        <f>172830+176828</f>
        <v>349658</v>
      </c>
      <c r="G10" s="315">
        <f>488665+263679</f>
        <v>752344</v>
      </c>
      <c r="H10" s="315">
        <f>316762+388107</f>
        <v>704869</v>
      </c>
      <c r="I10" s="315">
        <f>221631+373388</f>
        <v>595019</v>
      </c>
      <c r="J10" s="381">
        <f>273808+230385</f>
        <v>504193</v>
      </c>
      <c r="K10" s="315">
        <f>1123597+381393</f>
        <v>1504990</v>
      </c>
      <c r="L10" s="372">
        <f>466637+330019</f>
        <v>796656</v>
      </c>
      <c r="M10" s="381">
        <f>702955+381393</f>
        <v>1084348</v>
      </c>
      <c r="N10" s="121"/>
      <c r="O10" s="3"/>
    </row>
    <row r="11" spans="1:15" ht="16.5" thickBot="1" x14ac:dyDescent="0.3">
      <c r="A11" s="856"/>
      <c r="B11" s="382"/>
      <c r="C11" s="369"/>
      <c r="D11" s="369"/>
      <c r="E11" s="369"/>
      <c r="F11" s="369"/>
      <c r="G11" s="369"/>
      <c r="H11" s="369"/>
      <c r="I11" s="369"/>
      <c r="J11" s="383"/>
      <c r="K11" s="369"/>
      <c r="L11" s="373"/>
      <c r="M11" s="383">
        <v>0</v>
      </c>
      <c r="N11" s="121"/>
      <c r="O11" s="2"/>
    </row>
    <row r="12" spans="1:15" ht="17.25" thickTop="1" thickBot="1" x14ac:dyDescent="0.3">
      <c r="A12" s="896" t="s">
        <v>100</v>
      </c>
      <c r="B12" s="475">
        <f t="shared" ref="B12:I12" si="0">SUM(B7:B10)</f>
        <v>783194</v>
      </c>
      <c r="C12" s="476">
        <f t="shared" si="0"/>
        <v>519333</v>
      </c>
      <c r="D12" s="476">
        <f t="shared" si="0"/>
        <v>650457</v>
      </c>
      <c r="E12" s="476">
        <f t="shared" si="0"/>
        <v>777654</v>
      </c>
      <c r="F12" s="476">
        <f t="shared" si="0"/>
        <v>755782</v>
      </c>
      <c r="G12" s="476">
        <f t="shared" si="0"/>
        <v>1183108</v>
      </c>
      <c r="H12" s="476">
        <f t="shared" si="0"/>
        <v>1179185</v>
      </c>
      <c r="I12" s="476">
        <f t="shared" si="0"/>
        <v>1119526</v>
      </c>
      <c r="J12" s="477">
        <f>SUM(J7:J10)</f>
        <v>1005163</v>
      </c>
      <c r="K12" s="476">
        <f>SUM(K7:K10)</f>
        <v>2011790</v>
      </c>
      <c r="L12" s="478">
        <f>SUM(L7:L10)</f>
        <v>1368825</v>
      </c>
      <c r="M12" s="433">
        <f>SUM(M7:M10)</f>
        <v>1591148</v>
      </c>
      <c r="N12" s="126"/>
      <c r="O12" s="2"/>
    </row>
    <row r="13" spans="1:15" x14ac:dyDescent="0.25">
      <c r="A13" s="858"/>
      <c r="B13" s="407"/>
      <c r="C13" s="312"/>
      <c r="D13" s="312"/>
      <c r="E13" s="312"/>
      <c r="F13" s="312"/>
      <c r="G13" s="312"/>
      <c r="H13" s="312"/>
      <c r="I13" s="312"/>
      <c r="J13" s="312"/>
      <c r="K13" s="407"/>
      <c r="L13" s="444"/>
      <c r="M13" s="312"/>
      <c r="N13" s="126"/>
      <c r="O13" s="2"/>
    </row>
    <row r="14" spans="1:15" ht="16.5" thickBot="1" x14ac:dyDescent="0.3">
      <c r="A14" s="874"/>
      <c r="B14" s="380"/>
      <c r="C14" s="313"/>
      <c r="D14" s="313"/>
      <c r="E14" s="313"/>
      <c r="F14" s="313"/>
      <c r="G14" s="313"/>
      <c r="H14" s="313"/>
      <c r="I14" s="313"/>
      <c r="J14" s="313"/>
      <c r="K14" s="380"/>
      <c r="L14" s="372"/>
      <c r="M14" s="313"/>
      <c r="N14" s="126"/>
      <c r="O14" s="2"/>
    </row>
    <row r="15" spans="1:15" ht="18.75" x14ac:dyDescent="0.3">
      <c r="A15" s="860" t="s">
        <v>332</v>
      </c>
      <c r="B15" s="521">
        <v>2009</v>
      </c>
      <c r="C15" s="522">
        <v>2010</v>
      </c>
      <c r="D15" s="522">
        <v>2011</v>
      </c>
      <c r="E15" s="522">
        <v>2012</v>
      </c>
      <c r="F15" s="522">
        <v>2013</v>
      </c>
      <c r="G15" s="522">
        <v>2014</v>
      </c>
      <c r="H15" s="522">
        <v>2015</v>
      </c>
      <c r="I15" s="522">
        <v>2016</v>
      </c>
      <c r="J15" s="523">
        <v>2017</v>
      </c>
      <c r="K15" s="522">
        <v>2018</v>
      </c>
      <c r="L15" s="524">
        <v>2019</v>
      </c>
      <c r="M15" s="520">
        <v>2018</v>
      </c>
      <c r="N15" s="535"/>
      <c r="O15" s="2"/>
    </row>
    <row r="16" spans="1:15" x14ac:dyDescent="0.25">
      <c r="A16" s="851" t="s">
        <v>92</v>
      </c>
      <c r="B16" s="380">
        <v>1248068</v>
      </c>
      <c r="C16" s="315">
        <v>1133935</v>
      </c>
      <c r="D16" s="315">
        <v>1224116</v>
      </c>
      <c r="E16" s="315">
        <v>1360178</v>
      </c>
      <c r="F16" s="315">
        <v>1719180</v>
      </c>
      <c r="G16" s="315">
        <v>1922206</v>
      </c>
      <c r="H16" s="315">
        <v>1972792</v>
      </c>
      <c r="I16" s="315">
        <v>2104255</v>
      </c>
      <c r="J16" s="381">
        <v>2333239</v>
      </c>
      <c r="K16" s="315">
        <v>2590726</v>
      </c>
      <c r="L16" s="372">
        <v>2002310</v>
      </c>
      <c r="M16" s="381">
        <v>2586626</v>
      </c>
      <c r="N16" s="126"/>
      <c r="O16" s="10"/>
    </row>
    <row r="17" spans="1:24" x14ac:dyDescent="0.25">
      <c r="A17" s="852" t="s">
        <v>88</v>
      </c>
      <c r="B17" s="380">
        <v>0</v>
      </c>
      <c r="C17" s="315">
        <v>0</v>
      </c>
      <c r="D17" s="315">
        <v>0</v>
      </c>
      <c r="E17" s="315">
        <v>0</v>
      </c>
      <c r="F17" s="315">
        <v>0</v>
      </c>
      <c r="G17" s="315">
        <v>0</v>
      </c>
      <c r="H17" s="315">
        <v>0</v>
      </c>
      <c r="I17" s="315">
        <v>0</v>
      </c>
      <c r="J17" s="381">
        <v>0</v>
      </c>
      <c r="K17" s="315">
        <v>0</v>
      </c>
      <c r="L17" s="372">
        <v>0</v>
      </c>
      <c r="M17" s="381">
        <v>0</v>
      </c>
      <c r="N17" s="127"/>
    </row>
    <row r="18" spans="1:24" x14ac:dyDescent="0.25">
      <c r="A18" s="853" t="s">
        <v>93</v>
      </c>
      <c r="B18" s="380">
        <v>0</v>
      </c>
      <c r="C18" s="315">
        <v>0</v>
      </c>
      <c r="D18" s="315">
        <v>0</v>
      </c>
      <c r="E18" s="315">
        <v>0</v>
      </c>
      <c r="F18" s="315">
        <v>0</v>
      </c>
      <c r="G18" s="315">
        <v>0</v>
      </c>
      <c r="H18" s="315">
        <v>0</v>
      </c>
      <c r="I18" s="315">
        <v>0</v>
      </c>
      <c r="J18" s="381">
        <v>0</v>
      </c>
      <c r="K18" s="315">
        <v>0</v>
      </c>
      <c r="L18" s="372">
        <v>0</v>
      </c>
      <c r="M18" s="381">
        <v>0</v>
      </c>
    </row>
    <row r="19" spans="1:24" x14ac:dyDescent="0.25">
      <c r="A19" s="854" t="s">
        <v>78</v>
      </c>
      <c r="B19" s="380">
        <f>235494+314730</f>
        <v>550224</v>
      </c>
      <c r="C19" s="315">
        <v>283940</v>
      </c>
      <c r="D19" s="315">
        <f>329925+497700</f>
        <v>827625</v>
      </c>
      <c r="E19" s="315">
        <v>430949</v>
      </c>
      <c r="F19" s="315">
        <f>273501+10690</f>
        <v>284191</v>
      </c>
      <c r="G19" s="315">
        <f>558053+3276</f>
        <v>561329</v>
      </c>
      <c r="H19" s="315">
        <f>167400+28000</f>
        <v>195400</v>
      </c>
      <c r="I19" s="315">
        <f>218061+2079868</f>
        <v>2297929</v>
      </c>
      <c r="J19" s="381">
        <f>217146+80129</f>
        <v>297275</v>
      </c>
      <c r="K19" s="315">
        <f>868064+35000</f>
        <v>903064</v>
      </c>
      <c r="L19" s="372">
        <f>377489+0</f>
        <v>377489</v>
      </c>
      <c r="M19" s="381">
        <f>170164+35000</f>
        <v>205164</v>
      </c>
    </row>
    <row r="20" spans="1:24" ht="16.5" thickBot="1" x14ac:dyDescent="0.3">
      <c r="A20" s="907"/>
      <c r="B20" s="382"/>
      <c r="C20" s="369"/>
      <c r="D20" s="369"/>
      <c r="E20" s="369"/>
      <c r="F20" s="369"/>
      <c r="G20" s="369"/>
      <c r="H20" s="369"/>
      <c r="I20" s="369"/>
      <c r="J20" s="383"/>
      <c r="K20" s="369"/>
      <c r="L20" s="373"/>
      <c r="M20" s="383">
        <v>0</v>
      </c>
      <c r="N20" s="488"/>
    </row>
    <row r="21" spans="1:24" ht="17.25" thickTop="1" thickBot="1" x14ac:dyDescent="0.3">
      <c r="A21" s="896" t="s">
        <v>102</v>
      </c>
      <c r="B21" s="475">
        <f t="shared" ref="B21:L21" si="1">SUM(B16:B19)</f>
        <v>1798292</v>
      </c>
      <c r="C21" s="476">
        <f t="shared" si="1"/>
        <v>1417875</v>
      </c>
      <c r="D21" s="476">
        <f t="shared" si="1"/>
        <v>2051741</v>
      </c>
      <c r="E21" s="476">
        <f t="shared" si="1"/>
        <v>1791127</v>
      </c>
      <c r="F21" s="476">
        <f t="shared" si="1"/>
        <v>2003371</v>
      </c>
      <c r="G21" s="476">
        <f t="shared" si="1"/>
        <v>2483535</v>
      </c>
      <c r="H21" s="476">
        <f t="shared" si="1"/>
        <v>2168192</v>
      </c>
      <c r="I21" s="476">
        <f t="shared" si="1"/>
        <v>4402184</v>
      </c>
      <c r="J21" s="477">
        <f t="shared" si="1"/>
        <v>2630514</v>
      </c>
      <c r="K21" s="476">
        <f>SUM(K16:K19)</f>
        <v>3493790</v>
      </c>
      <c r="L21" s="478">
        <f t="shared" si="1"/>
        <v>2379799</v>
      </c>
      <c r="M21" s="433">
        <f>SUM(M16:M19)</f>
        <v>2791790</v>
      </c>
      <c r="N21" s="488"/>
    </row>
    <row r="22" spans="1:24" x14ac:dyDescent="0.25">
      <c r="A22" s="875"/>
      <c r="B22" s="418"/>
      <c r="C22" s="19"/>
      <c r="D22" s="19"/>
      <c r="E22" s="19"/>
      <c r="F22" s="19"/>
      <c r="G22" s="19"/>
      <c r="H22" s="19"/>
      <c r="I22" s="19"/>
      <c r="J22" s="19"/>
      <c r="K22" s="418"/>
      <c r="L22" s="455"/>
      <c r="M22" s="19"/>
    </row>
    <row r="23" spans="1:24" x14ac:dyDescent="0.25">
      <c r="A23" s="877"/>
      <c r="B23" s="408"/>
      <c r="C23" s="124"/>
      <c r="D23" s="124"/>
      <c r="E23" s="124"/>
      <c r="F23" s="124"/>
      <c r="G23" s="124"/>
      <c r="H23" s="124"/>
      <c r="I23" s="124"/>
      <c r="J23" s="124"/>
      <c r="K23" s="408"/>
      <c r="L23" s="449"/>
      <c r="M23" s="124"/>
    </row>
    <row r="24" spans="1:24" x14ac:dyDescent="0.25">
      <c r="A24" s="875"/>
      <c r="B24" s="392"/>
      <c r="K24" s="392"/>
      <c r="L24" s="163"/>
    </row>
    <row r="25" spans="1:24" x14ac:dyDescent="0.25">
      <c r="A25" s="875"/>
      <c r="B25" s="525">
        <v>2009</v>
      </c>
      <c r="C25" s="46">
        <v>2010</v>
      </c>
      <c r="D25" s="46">
        <v>2011</v>
      </c>
      <c r="E25" s="46">
        <v>2012</v>
      </c>
      <c r="F25" s="46">
        <v>2013</v>
      </c>
      <c r="G25" s="46">
        <v>2014</v>
      </c>
      <c r="H25" s="46">
        <v>2015</v>
      </c>
      <c r="I25" s="46">
        <v>2016</v>
      </c>
      <c r="J25" s="46">
        <v>2017</v>
      </c>
      <c r="K25" s="525">
        <v>2018</v>
      </c>
      <c r="L25" s="443">
        <v>2019</v>
      </c>
      <c r="M25" s="146">
        <v>2018</v>
      </c>
    </row>
    <row r="26" spans="1:24" x14ac:dyDescent="0.25">
      <c r="A26" s="851" t="s">
        <v>152</v>
      </c>
      <c r="B26" s="511">
        <f t="shared" ref="B26:M26" si="2">+B16/B27</f>
        <v>19.759792280168455</v>
      </c>
      <c r="C26" s="512">
        <f t="shared" si="2"/>
        <v>16.739024534262349</v>
      </c>
      <c r="D26" s="512">
        <f t="shared" si="2"/>
        <v>17.802475240325183</v>
      </c>
      <c r="E26" s="512">
        <f t="shared" si="2"/>
        <v>19.615782870163397</v>
      </c>
      <c r="F26" s="512">
        <f t="shared" si="2"/>
        <v>24.430581213585334</v>
      </c>
      <c r="G26" s="512">
        <f t="shared" si="2"/>
        <v>27.063032367972742</v>
      </c>
      <c r="H26" s="512">
        <f t="shared" si="2"/>
        <v>26.869953691092345</v>
      </c>
      <c r="I26" s="512">
        <f t="shared" si="2"/>
        <v>28.288700678900316</v>
      </c>
      <c r="J26" s="512">
        <f t="shared" si="2"/>
        <v>30.765282172995782</v>
      </c>
      <c r="K26" s="511">
        <f t="shared" si="2"/>
        <v>33.531697341513294</v>
      </c>
      <c r="L26" s="514">
        <f t="shared" si="2"/>
        <v>25.352114459356798</v>
      </c>
      <c r="M26" s="8">
        <f t="shared" si="2"/>
        <v>33.478631151148043</v>
      </c>
      <c r="N26" s="120"/>
      <c r="O26" s="1"/>
    </row>
    <row r="27" spans="1:24" x14ac:dyDescent="0.25">
      <c r="A27" s="980" t="s">
        <v>340</v>
      </c>
      <c r="B27" s="390">
        <f>Stats!D4</f>
        <v>63162</v>
      </c>
      <c r="C27" s="12">
        <f>Stats!E4</f>
        <v>67742</v>
      </c>
      <c r="D27" s="12">
        <f>Stats!F4</f>
        <v>68761</v>
      </c>
      <c r="E27" s="12">
        <f>Stats!G4</f>
        <v>69341</v>
      </c>
      <c r="F27" s="12">
        <f>Stats!H4</f>
        <v>70370</v>
      </c>
      <c r="G27" s="12">
        <f>Stats!I4</f>
        <v>71027</v>
      </c>
      <c r="H27" s="12">
        <f>Stats!J4</f>
        <v>73420</v>
      </c>
      <c r="I27" s="12">
        <f>Stats!K4</f>
        <v>74385</v>
      </c>
      <c r="J27" s="12">
        <f>Stats!L4</f>
        <v>75840</v>
      </c>
      <c r="K27" s="390">
        <f>Stats!M4</f>
        <v>77262</v>
      </c>
      <c r="L27" s="160">
        <f>Stats!N4</f>
        <v>78980</v>
      </c>
      <c r="M27" s="12">
        <f>Stats!M4</f>
        <v>77262</v>
      </c>
      <c r="N27" s="120"/>
      <c r="O27" s="1"/>
    </row>
    <row r="28" spans="1:24" x14ac:dyDescent="0.25">
      <c r="A28" s="875"/>
      <c r="B28" s="480"/>
      <c r="C28" s="146"/>
      <c r="D28" s="146"/>
      <c r="E28" s="146"/>
      <c r="F28" s="146"/>
      <c r="G28" s="146"/>
      <c r="H28" s="146"/>
      <c r="I28" s="146"/>
      <c r="J28" s="146"/>
      <c r="K28" s="480"/>
      <c r="L28" s="485"/>
      <c r="M28" s="146"/>
      <c r="N28" s="120"/>
      <c r="O28" s="1"/>
      <c r="X28" s="145"/>
    </row>
    <row r="29" spans="1:24" x14ac:dyDescent="0.25">
      <c r="A29" s="851" t="s">
        <v>130</v>
      </c>
      <c r="B29" s="516">
        <f t="shared" ref="B29:M29" si="3">+B16/B30</f>
        <v>106218.55319148937</v>
      </c>
      <c r="C29" s="79">
        <f t="shared" si="3"/>
        <v>99467.982456140351</v>
      </c>
      <c r="D29" s="79">
        <f t="shared" si="3"/>
        <v>107378.59649122806</v>
      </c>
      <c r="E29" s="79">
        <f t="shared" si="3"/>
        <v>120583.1560283688</v>
      </c>
      <c r="F29" s="79">
        <f t="shared" si="3"/>
        <v>143744.14715719063</v>
      </c>
      <c r="G29" s="79">
        <f t="shared" si="3"/>
        <v>158076.15131578947</v>
      </c>
      <c r="H29" s="79">
        <f t="shared" si="3"/>
        <v>169048.15766923735</v>
      </c>
      <c r="I29" s="79">
        <f t="shared" si="3"/>
        <v>175794.06850459485</v>
      </c>
      <c r="J29" s="79">
        <f t="shared" si="3"/>
        <v>176760.5303030303</v>
      </c>
      <c r="K29" s="516">
        <f t="shared" si="3"/>
        <v>189104.08759124088</v>
      </c>
      <c r="L29" s="518">
        <f t="shared" si="3"/>
        <v>146154.01459854015</v>
      </c>
      <c r="M29" s="1">
        <f t="shared" si="3"/>
        <v>192314.20074349444</v>
      </c>
      <c r="N29" s="120"/>
      <c r="O29" s="1"/>
    </row>
    <row r="30" spans="1:24" x14ac:dyDescent="0.25">
      <c r="A30" s="980" t="s">
        <v>341</v>
      </c>
      <c r="B30" s="394">
        <f>+B37</f>
        <v>11.75</v>
      </c>
      <c r="C30" s="33">
        <f t="shared" ref="C30:L30" si="4">+C37</f>
        <v>11.4</v>
      </c>
      <c r="D30" s="33">
        <f t="shared" si="4"/>
        <v>11.4</v>
      </c>
      <c r="E30" s="33">
        <f t="shared" si="4"/>
        <v>11.28</v>
      </c>
      <c r="F30" s="33">
        <f t="shared" si="4"/>
        <v>11.96</v>
      </c>
      <c r="G30" s="33">
        <f t="shared" si="4"/>
        <v>12.16</v>
      </c>
      <c r="H30" s="33">
        <f t="shared" si="4"/>
        <v>11.67</v>
      </c>
      <c r="I30" s="33">
        <f t="shared" si="4"/>
        <v>11.969999999999999</v>
      </c>
      <c r="J30" s="33">
        <f t="shared" si="4"/>
        <v>13.2</v>
      </c>
      <c r="K30" s="394">
        <f t="shared" ref="K30" si="5">+K37</f>
        <v>13.7</v>
      </c>
      <c r="L30" s="454">
        <f t="shared" si="4"/>
        <v>13.7</v>
      </c>
      <c r="M30" s="33">
        <f>+M37</f>
        <v>13.45</v>
      </c>
      <c r="N30" s="120"/>
      <c r="O30" s="1"/>
    </row>
    <row r="31" spans="1:24" x14ac:dyDescent="0.25">
      <c r="A31" s="877"/>
      <c r="B31" s="408"/>
      <c r="C31" s="124"/>
      <c r="D31" s="124"/>
      <c r="E31" s="124"/>
      <c r="F31" s="124"/>
      <c r="G31" s="124"/>
      <c r="H31" s="124"/>
      <c r="I31" s="124"/>
      <c r="J31" s="124"/>
      <c r="K31" s="408"/>
      <c r="L31" s="449"/>
      <c r="M31" s="124"/>
      <c r="N31" s="120"/>
      <c r="O31" s="1"/>
    </row>
    <row r="32" spans="1:24" x14ac:dyDescent="0.25">
      <c r="A32" s="877"/>
      <c r="B32" s="408"/>
      <c r="C32" s="124"/>
      <c r="D32" s="124"/>
      <c r="E32" s="124"/>
      <c r="F32" s="124"/>
      <c r="G32" s="124"/>
      <c r="H32" s="124"/>
      <c r="I32" s="124"/>
      <c r="J32" s="124"/>
      <c r="K32" s="408"/>
      <c r="L32" s="449"/>
      <c r="M32" s="124"/>
      <c r="N32" s="120"/>
      <c r="O32" s="1"/>
    </row>
    <row r="33" spans="1:15" ht="18.75" x14ac:dyDescent="0.3">
      <c r="A33" s="977"/>
      <c r="B33" s="416"/>
      <c r="C33" s="93"/>
      <c r="D33" s="93"/>
      <c r="E33" s="93"/>
      <c r="F33" s="93"/>
      <c r="G33" s="93"/>
      <c r="H33" s="93"/>
      <c r="I33" s="93"/>
      <c r="J33" s="93"/>
      <c r="K33" s="416"/>
      <c r="L33" s="109"/>
      <c r="M33" s="93"/>
      <c r="N33" s="120"/>
      <c r="O33" s="1"/>
    </row>
    <row r="34" spans="1:15" x14ac:dyDescent="0.25">
      <c r="A34" s="883" t="s">
        <v>60</v>
      </c>
      <c r="B34" s="576"/>
      <c r="C34" s="270"/>
      <c r="D34" s="270"/>
      <c r="E34" s="270"/>
      <c r="F34" s="270"/>
      <c r="G34" s="270"/>
      <c r="H34" s="270"/>
      <c r="I34" s="270"/>
      <c r="J34" s="270"/>
      <c r="K34" s="576"/>
      <c r="L34" s="468"/>
      <c r="M34" s="270"/>
      <c r="N34" s="120"/>
      <c r="O34" s="1"/>
    </row>
    <row r="35" spans="1:15" x14ac:dyDescent="0.25">
      <c r="A35" s="863" t="s">
        <v>160</v>
      </c>
      <c r="B35" s="960">
        <v>8.25</v>
      </c>
      <c r="C35" s="955">
        <v>7.9</v>
      </c>
      <c r="D35" s="955">
        <v>7.9</v>
      </c>
      <c r="E35" s="955">
        <v>6.64</v>
      </c>
      <c r="F35" s="955">
        <v>6.82</v>
      </c>
      <c r="G35" s="955">
        <v>6.97</v>
      </c>
      <c r="H35" s="955">
        <v>7.13</v>
      </c>
      <c r="I35" s="955">
        <v>7.43</v>
      </c>
      <c r="J35" s="955">
        <v>8.6</v>
      </c>
      <c r="K35" s="960">
        <v>8.85</v>
      </c>
      <c r="L35" s="961">
        <v>8.85</v>
      </c>
      <c r="M35" s="272">
        <v>8.85</v>
      </c>
      <c r="N35" s="120"/>
      <c r="O35" s="1"/>
    </row>
    <row r="36" spans="1:15" x14ac:dyDescent="0.25">
      <c r="A36" s="863" t="s">
        <v>161</v>
      </c>
      <c r="B36" s="962">
        <v>3.5</v>
      </c>
      <c r="C36" s="963">
        <v>3.5</v>
      </c>
      <c r="D36" s="963">
        <v>3.5</v>
      </c>
      <c r="E36" s="963">
        <v>4.6399999999999997</v>
      </c>
      <c r="F36" s="963">
        <v>5.14</v>
      </c>
      <c r="G36" s="963">
        <v>5.19</v>
      </c>
      <c r="H36" s="963">
        <v>4.54</v>
      </c>
      <c r="I36" s="963">
        <v>4.54</v>
      </c>
      <c r="J36" s="963">
        <v>4.5999999999999996</v>
      </c>
      <c r="K36" s="962">
        <v>4.8499999999999996</v>
      </c>
      <c r="L36" s="964">
        <v>4.8499999999999996</v>
      </c>
      <c r="M36" s="296">
        <v>4.5999999999999996</v>
      </c>
      <c r="N36" s="120"/>
      <c r="O36" s="1"/>
    </row>
    <row r="37" spans="1:15" x14ac:dyDescent="0.25">
      <c r="A37" s="863"/>
      <c r="B37" s="960">
        <f>SUM(B35:B36)</f>
        <v>11.75</v>
      </c>
      <c r="C37" s="955">
        <f t="shared" ref="C37:L37" si="6">SUM(C35:C36)</f>
        <v>11.4</v>
      </c>
      <c r="D37" s="955">
        <f t="shared" si="6"/>
        <v>11.4</v>
      </c>
      <c r="E37" s="955">
        <f t="shared" si="6"/>
        <v>11.28</v>
      </c>
      <c r="F37" s="955">
        <f t="shared" si="6"/>
        <v>11.96</v>
      </c>
      <c r="G37" s="955">
        <f t="shared" si="6"/>
        <v>12.16</v>
      </c>
      <c r="H37" s="955">
        <f t="shared" si="6"/>
        <v>11.67</v>
      </c>
      <c r="I37" s="955">
        <f t="shared" si="6"/>
        <v>11.969999999999999</v>
      </c>
      <c r="J37" s="955">
        <f t="shared" si="6"/>
        <v>13.2</v>
      </c>
      <c r="K37" s="960">
        <f t="shared" ref="K37" si="7">SUM(K35:K36)</f>
        <v>13.7</v>
      </c>
      <c r="L37" s="961">
        <f t="shared" si="6"/>
        <v>13.7</v>
      </c>
      <c r="M37" s="272">
        <f>SUM(M35:M36)</f>
        <v>13.45</v>
      </c>
      <c r="N37" s="120"/>
      <c r="O37" s="1"/>
    </row>
    <row r="38" spans="1:15" ht="16.5" thickBot="1" x14ac:dyDescent="0.3">
      <c r="A38" s="863" t="s">
        <v>162</v>
      </c>
      <c r="B38" s="965">
        <v>0.75</v>
      </c>
      <c r="C38" s="966">
        <v>0.9</v>
      </c>
      <c r="D38" s="966">
        <v>0.85</v>
      </c>
      <c r="E38" s="966">
        <v>1.1200000000000001</v>
      </c>
      <c r="F38" s="966">
        <v>1.04</v>
      </c>
      <c r="G38" s="966">
        <v>0.84</v>
      </c>
      <c r="H38" s="966">
        <v>0.84</v>
      </c>
      <c r="I38" s="966">
        <v>0</v>
      </c>
      <c r="J38" s="966">
        <v>0.8</v>
      </c>
      <c r="K38" s="965">
        <v>1.05</v>
      </c>
      <c r="L38" s="967">
        <v>1.05</v>
      </c>
      <c r="M38" s="273">
        <v>0.8</v>
      </c>
      <c r="N38" s="120"/>
      <c r="O38" s="1"/>
    </row>
    <row r="39" spans="1:15" x14ac:dyDescent="0.25">
      <c r="A39" s="987" t="s">
        <v>335</v>
      </c>
      <c r="B39" s="793">
        <f>+B37+B38</f>
        <v>12.5</v>
      </c>
      <c r="C39" s="305">
        <f t="shared" ref="C39:L39" si="8">+C37+C38</f>
        <v>12.3</v>
      </c>
      <c r="D39" s="305">
        <f t="shared" si="8"/>
        <v>12.25</v>
      </c>
      <c r="E39" s="305">
        <f t="shared" si="8"/>
        <v>12.399999999999999</v>
      </c>
      <c r="F39" s="305">
        <f t="shared" si="8"/>
        <v>13</v>
      </c>
      <c r="G39" s="305">
        <f t="shared" si="8"/>
        <v>13</v>
      </c>
      <c r="H39" s="305">
        <f t="shared" si="8"/>
        <v>12.51</v>
      </c>
      <c r="I39" s="305">
        <f t="shared" si="8"/>
        <v>11.969999999999999</v>
      </c>
      <c r="J39" s="305">
        <f t="shared" si="8"/>
        <v>14</v>
      </c>
      <c r="K39" s="793">
        <f t="shared" ref="K39" si="9">+K37+K38</f>
        <v>14.75</v>
      </c>
      <c r="L39" s="840">
        <f t="shared" si="8"/>
        <v>14.75</v>
      </c>
      <c r="M39" s="305">
        <f>+M37+M38</f>
        <v>14.25</v>
      </c>
      <c r="N39" s="946"/>
      <c r="O39" s="1"/>
    </row>
    <row r="40" spans="1:15" x14ac:dyDescent="0.25">
      <c r="A40" s="884" t="s">
        <v>366</v>
      </c>
      <c r="B40" s="941" t="s">
        <v>348</v>
      </c>
      <c r="C40" s="957">
        <f>C39/B39</f>
        <v>0.9840000000000001</v>
      </c>
      <c r="D40" s="957">
        <f t="shared" ref="D40:J40" si="10">D39/C39</f>
        <v>0.99593495934959342</v>
      </c>
      <c r="E40" s="957">
        <f t="shared" si="10"/>
        <v>1.0122448979591836</v>
      </c>
      <c r="F40" s="957">
        <f t="shared" si="10"/>
        <v>1.0483870967741937</v>
      </c>
      <c r="G40" s="957">
        <f t="shared" si="10"/>
        <v>1</v>
      </c>
      <c r="H40" s="957">
        <f t="shared" si="10"/>
        <v>0.96230769230769231</v>
      </c>
      <c r="I40" s="957">
        <f t="shared" si="10"/>
        <v>0.95683453237410065</v>
      </c>
      <c r="J40" s="957">
        <f t="shared" si="10"/>
        <v>1.169590643274854</v>
      </c>
      <c r="K40" s="958">
        <f>K39/L39</f>
        <v>1</v>
      </c>
      <c r="L40" s="959">
        <f>L39/M39</f>
        <v>1.0350877192982457</v>
      </c>
      <c r="M40" s="957">
        <f>M39/J39</f>
        <v>1.0178571428571428</v>
      </c>
      <c r="N40" s="946"/>
      <c r="O40" s="1"/>
    </row>
    <row r="41" spans="1:15" x14ac:dyDescent="0.25">
      <c r="A41" s="882"/>
      <c r="B41" s="416"/>
      <c r="C41" s="93"/>
      <c r="D41" s="93"/>
      <c r="E41" s="93"/>
      <c r="F41" s="93"/>
      <c r="G41" s="93"/>
      <c r="H41" s="93"/>
      <c r="I41" s="93"/>
      <c r="J41" s="93"/>
      <c r="K41" s="416"/>
      <c r="L41" s="109"/>
      <c r="M41" s="93"/>
      <c r="N41" s="120"/>
      <c r="O41" s="1"/>
    </row>
    <row r="42" spans="1:15" x14ac:dyDescent="0.25">
      <c r="A42" s="883"/>
      <c r="B42" s="416"/>
      <c r="C42" s="93"/>
      <c r="D42" s="93"/>
      <c r="E42" s="93"/>
      <c r="F42" s="93"/>
      <c r="G42" s="93"/>
      <c r="H42" s="93"/>
      <c r="I42" s="93"/>
      <c r="J42" s="93"/>
      <c r="K42" s="416"/>
      <c r="L42" s="109"/>
      <c r="M42" s="93"/>
      <c r="N42" s="120"/>
      <c r="O42" s="1"/>
    </row>
    <row r="43" spans="1:15" ht="18.75" x14ac:dyDescent="0.3">
      <c r="A43" s="977"/>
      <c r="B43" s="509"/>
      <c r="C43" s="314"/>
      <c r="D43" s="314"/>
      <c r="E43" s="314"/>
      <c r="F43" s="314"/>
      <c r="G43" s="314"/>
      <c r="H43" s="314"/>
      <c r="I43" s="314"/>
      <c r="J43" s="314"/>
      <c r="K43" s="509"/>
      <c r="L43" s="494"/>
      <c r="M43" s="314"/>
      <c r="N43" s="120"/>
      <c r="O43" s="1"/>
    </row>
    <row r="44" spans="1:15" x14ac:dyDescent="0.25">
      <c r="A44" s="862"/>
      <c r="B44" s="509"/>
      <c r="C44" s="314"/>
      <c r="D44" s="314"/>
      <c r="E44" s="314"/>
      <c r="F44" s="314"/>
      <c r="G44" s="314"/>
      <c r="H44" s="314"/>
      <c r="I44" s="314"/>
      <c r="J44" s="314"/>
      <c r="K44" s="509"/>
      <c r="L44" s="494"/>
      <c r="M44" s="314"/>
      <c r="N44" s="120"/>
      <c r="O44" s="1"/>
    </row>
    <row r="45" spans="1:15" x14ac:dyDescent="0.25">
      <c r="A45" s="863"/>
      <c r="B45" s="509"/>
      <c r="C45" s="314"/>
      <c r="D45" s="314"/>
      <c r="E45" s="314"/>
      <c r="F45" s="314"/>
      <c r="G45" s="314"/>
      <c r="H45" s="314"/>
      <c r="I45" s="314"/>
      <c r="J45" s="314"/>
      <c r="K45" s="509"/>
      <c r="L45" s="494"/>
      <c r="M45" s="314"/>
      <c r="N45" s="120"/>
      <c r="O45" s="1"/>
    </row>
    <row r="46" spans="1:15" x14ac:dyDescent="0.25">
      <c r="A46" s="863"/>
      <c r="B46" s="509"/>
      <c r="C46" s="314"/>
      <c r="D46" s="314"/>
      <c r="E46" s="314"/>
      <c r="F46" s="314"/>
      <c r="G46" s="314"/>
      <c r="H46" s="314"/>
      <c r="I46" s="314"/>
      <c r="J46" s="314"/>
      <c r="K46" s="509"/>
      <c r="L46" s="494"/>
      <c r="M46" s="314"/>
      <c r="N46" s="120"/>
      <c r="O46" s="1"/>
    </row>
    <row r="47" spans="1:15" x14ac:dyDescent="0.25">
      <c r="A47" s="863"/>
      <c r="B47" s="509"/>
      <c r="C47" s="314"/>
      <c r="D47" s="314"/>
      <c r="E47" s="314"/>
      <c r="F47" s="314"/>
      <c r="G47" s="314"/>
      <c r="H47" s="314"/>
      <c r="I47" s="314"/>
      <c r="J47" s="314"/>
      <c r="K47" s="509"/>
      <c r="L47" s="494"/>
      <c r="M47" s="314"/>
      <c r="N47" s="120"/>
      <c r="O47" s="1"/>
    </row>
    <row r="48" spans="1:15" x14ac:dyDescent="0.25">
      <c r="A48" s="882"/>
      <c r="B48" s="509"/>
      <c r="C48" s="314"/>
      <c r="D48" s="314"/>
      <c r="E48" s="314"/>
      <c r="F48" s="314"/>
      <c r="G48" s="314"/>
      <c r="H48" s="314"/>
      <c r="I48" s="314"/>
      <c r="J48" s="314"/>
      <c r="K48" s="509"/>
      <c r="L48" s="494"/>
      <c r="M48" s="314"/>
      <c r="N48" s="120"/>
      <c r="O48" s="1"/>
    </row>
    <row r="49" spans="1:15" x14ac:dyDescent="0.25">
      <c r="A49" s="883"/>
      <c r="B49" s="509"/>
      <c r="C49" s="314"/>
      <c r="D49" s="314"/>
      <c r="E49" s="314"/>
      <c r="F49" s="314"/>
      <c r="G49" s="314"/>
      <c r="H49" s="314"/>
      <c r="I49" s="314"/>
      <c r="J49" s="314"/>
      <c r="K49" s="509"/>
      <c r="L49" s="494"/>
      <c r="M49" s="314"/>
      <c r="N49" s="120"/>
      <c r="O49" s="1"/>
    </row>
    <row r="50" spans="1:15" x14ac:dyDescent="0.25">
      <c r="A50" s="884"/>
      <c r="B50" s="587"/>
      <c r="C50" s="321"/>
      <c r="D50" s="321"/>
      <c r="E50" s="321"/>
      <c r="F50" s="321"/>
      <c r="G50" s="321"/>
      <c r="H50" s="321"/>
      <c r="I50" s="321"/>
      <c r="J50" s="321"/>
      <c r="K50" s="587"/>
      <c r="L50" s="495"/>
      <c r="M50" s="321"/>
      <c r="N50" s="120"/>
      <c r="O50" s="1"/>
    </row>
    <row r="51" spans="1:15" x14ac:dyDescent="0.25">
      <c r="A51" s="885"/>
      <c r="B51" s="509"/>
      <c r="C51" s="314"/>
      <c r="D51" s="314"/>
      <c r="E51" s="314"/>
      <c r="F51" s="314"/>
      <c r="G51" s="314"/>
      <c r="H51" s="314"/>
      <c r="I51" s="314"/>
      <c r="J51" s="314"/>
      <c r="K51" s="587"/>
      <c r="L51" s="495"/>
      <c r="M51" s="321"/>
      <c r="N51" s="120"/>
      <c r="O51" s="1"/>
    </row>
    <row r="52" spans="1:15" x14ac:dyDescent="0.25">
      <c r="A52" s="882"/>
      <c r="B52" s="509"/>
      <c r="C52" s="314"/>
      <c r="D52" s="314"/>
      <c r="E52" s="314"/>
      <c r="F52" s="314"/>
      <c r="G52" s="314"/>
      <c r="H52" s="314"/>
      <c r="I52" s="314"/>
      <c r="J52" s="314"/>
      <c r="K52" s="509"/>
      <c r="L52" s="494"/>
      <c r="M52" s="314"/>
    </row>
    <row r="53" spans="1:15" x14ac:dyDescent="0.25">
      <c r="A53" s="883"/>
      <c r="B53" s="509"/>
      <c r="C53" s="314"/>
      <c r="D53" s="314"/>
      <c r="E53" s="314"/>
      <c r="F53" s="314"/>
      <c r="G53" s="314"/>
      <c r="H53" s="314"/>
      <c r="I53" s="314"/>
      <c r="J53" s="314"/>
      <c r="K53" s="509"/>
      <c r="L53" s="494"/>
      <c r="M53" s="314"/>
      <c r="N53" s="120"/>
      <c r="O53" s="1"/>
    </row>
    <row r="54" spans="1:15" x14ac:dyDescent="0.25">
      <c r="A54" s="863"/>
      <c r="B54" s="509"/>
      <c r="C54" s="314"/>
      <c r="D54" s="314"/>
      <c r="E54" s="314"/>
      <c r="F54" s="314"/>
      <c r="G54" s="314"/>
      <c r="H54" s="314"/>
      <c r="I54" s="314"/>
      <c r="J54" s="314"/>
      <c r="K54" s="509"/>
      <c r="L54" s="494"/>
      <c r="M54" s="314"/>
      <c r="N54" s="120"/>
      <c r="O54" s="1"/>
    </row>
    <row r="55" spans="1:15" x14ac:dyDescent="0.25">
      <c r="A55" s="863"/>
      <c r="B55" s="509"/>
      <c r="C55" s="314"/>
      <c r="D55" s="314"/>
      <c r="E55" s="314"/>
      <c r="F55" s="314"/>
      <c r="G55" s="314"/>
      <c r="H55" s="314"/>
      <c r="I55" s="314"/>
      <c r="J55" s="314"/>
      <c r="K55" s="509"/>
      <c r="L55" s="494"/>
      <c r="M55" s="314"/>
      <c r="N55" s="120"/>
      <c r="O55" s="1"/>
    </row>
    <row r="56" spans="1:15" x14ac:dyDescent="0.25">
      <c r="A56" s="882"/>
      <c r="B56" s="509"/>
      <c r="C56" s="314"/>
      <c r="D56" s="314"/>
      <c r="E56" s="314"/>
      <c r="F56" s="314"/>
      <c r="G56" s="314"/>
      <c r="H56" s="314"/>
      <c r="I56" s="314"/>
      <c r="J56" s="314"/>
      <c r="K56" s="509"/>
      <c r="L56" s="494"/>
      <c r="M56" s="314"/>
      <c r="N56" s="120"/>
      <c r="O56" s="1"/>
    </row>
    <row r="57" spans="1:15" x14ac:dyDescent="0.25">
      <c r="A57" s="883"/>
      <c r="B57" s="509"/>
      <c r="C57" s="314"/>
      <c r="D57" s="314"/>
      <c r="E57" s="314"/>
      <c r="F57" s="314"/>
      <c r="G57" s="314"/>
      <c r="H57" s="314"/>
      <c r="I57" s="314"/>
      <c r="J57" s="314"/>
      <c r="K57" s="509"/>
      <c r="L57" s="494"/>
      <c r="M57" s="314"/>
      <c r="N57" s="120"/>
      <c r="O57" s="1"/>
    </row>
    <row r="58" spans="1:15" x14ac:dyDescent="0.25">
      <c r="A58" s="884"/>
      <c r="B58" s="587"/>
      <c r="C58" s="321"/>
      <c r="D58" s="321"/>
      <c r="E58" s="321"/>
      <c r="F58" s="321"/>
      <c r="G58" s="321"/>
      <c r="H58" s="321"/>
      <c r="I58" s="321"/>
      <c r="J58" s="321"/>
      <c r="K58" s="587"/>
      <c r="L58" s="495"/>
      <c r="M58" s="321"/>
      <c r="N58" s="120"/>
      <c r="O58" s="1"/>
    </row>
    <row r="59" spans="1:15" x14ac:dyDescent="0.25">
      <c r="A59" s="885"/>
      <c r="B59" s="509"/>
      <c r="C59" s="314"/>
      <c r="D59" s="314"/>
      <c r="E59" s="314"/>
      <c r="F59" s="314"/>
      <c r="G59" s="314"/>
      <c r="H59" s="314"/>
      <c r="I59" s="314"/>
      <c r="J59" s="314"/>
      <c r="K59" s="587"/>
      <c r="L59" s="495"/>
      <c r="M59" s="321"/>
    </row>
    <row r="60" spans="1:15" x14ac:dyDescent="0.25">
      <c r="A60" s="883"/>
      <c r="B60" s="576"/>
      <c r="C60" s="322"/>
      <c r="D60" s="322"/>
      <c r="E60" s="322"/>
      <c r="F60" s="322"/>
      <c r="G60" s="322"/>
      <c r="H60" s="322"/>
      <c r="I60" s="322"/>
      <c r="J60" s="322"/>
      <c r="K60" s="576"/>
      <c r="L60" s="468"/>
      <c r="M60" s="322"/>
      <c r="N60" s="120"/>
      <c r="O60" s="1"/>
    </row>
    <row r="61" spans="1:15" x14ac:dyDescent="0.25">
      <c r="A61" s="863"/>
      <c r="B61" s="577"/>
      <c r="C61" s="202"/>
      <c r="D61" s="202"/>
      <c r="E61" s="202"/>
      <c r="F61" s="202"/>
      <c r="G61" s="202"/>
      <c r="H61" s="202"/>
      <c r="I61" s="202"/>
      <c r="J61" s="202"/>
      <c r="K61" s="577"/>
      <c r="L61" s="469"/>
      <c r="M61" s="202"/>
      <c r="N61" s="120"/>
      <c r="O61" s="1"/>
    </row>
    <row r="62" spans="1:15" x14ac:dyDescent="0.25">
      <c r="A62" s="863"/>
      <c r="B62" s="577"/>
      <c r="C62" s="202"/>
      <c r="D62" s="202"/>
      <c r="E62" s="202"/>
      <c r="F62" s="202"/>
      <c r="G62" s="202"/>
      <c r="H62" s="202"/>
      <c r="I62" s="202"/>
      <c r="J62" s="202"/>
      <c r="K62" s="577"/>
      <c r="L62" s="469"/>
      <c r="M62" s="202"/>
      <c r="N62" s="120"/>
      <c r="O62" s="1"/>
    </row>
    <row r="63" spans="1:15" x14ac:dyDescent="0.25">
      <c r="A63" s="863"/>
      <c r="B63" s="577"/>
      <c r="C63" s="202"/>
      <c r="D63" s="202"/>
      <c r="E63" s="202"/>
      <c r="F63" s="202"/>
      <c r="G63" s="202"/>
      <c r="H63" s="202"/>
      <c r="I63" s="202"/>
      <c r="J63" s="202"/>
      <c r="K63" s="577"/>
      <c r="L63" s="469"/>
      <c r="M63" s="202"/>
      <c r="N63" s="120"/>
      <c r="O63" s="1"/>
    </row>
    <row r="64" spans="1:15" x14ac:dyDescent="0.25">
      <c r="A64" s="863"/>
      <c r="B64" s="577"/>
      <c r="C64" s="202"/>
      <c r="D64" s="202"/>
      <c r="E64" s="202"/>
      <c r="F64" s="202"/>
      <c r="G64" s="202"/>
      <c r="H64" s="202"/>
      <c r="I64" s="202"/>
      <c r="J64" s="202"/>
      <c r="K64" s="577"/>
      <c r="L64" s="469"/>
      <c r="M64" s="202"/>
      <c r="N64" s="120"/>
      <c r="O64" s="1"/>
    </row>
    <row r="65" spans="1:15" x14ac:dyDescent="0.25">
      <c r="A65" s="882"/>
      <c r="B65" s="418"/>
      <c r="C65" s="114"/>
      <c r="D65" s="114"/>
      <c r="E65" s="114"/>
      <c r="F65" s="114"/>
      <c r="G65" s="114"/>
      <c r="H65" s="114"/>
      <c r="I65" s="114"/>
      <c r="J65" s="114"/>
      <c r="K65" s="418"/>
      <c r="L65" s="455"/>
      <c r="M65" s="114"/>
      <c r="N65" s="120"/>
      <c r="O65" s="1"/>
    </row>
    <row r="66" spans="1:15" s="17" customFormat="1" x14ac:dyDescent="0.25">
      <c r="A66" s="884"/>
      <c r="B66" s="576"/>
      <c r="C66" s="140"/>
      <c r="D66" s="140"/>
      <c r="E66" s="140"/>
      <c r="F66" s="140"/>
      <c r="G66" s="140"/>
      <c r="H66" s="140"/>
      <c r="I66" s="140"/>
      <c r="J66" s="140"/>
      <c r="K66" s="586"/>
      <c r="L66" s="470"/>
      <c r="M66" s="140"/>
      <c r="N66" s="128"/>
      <c r="O66" s="32"/>
    </row>
    <row r="67" spans="1:15" x14ac:dyDescent="0.25">
      <c r="A67" s="141"/>
      <c r="B67" s="200"/>
      <c r="C67" s="140"/>
      <c r="D67" s="140"/>
      <c r="E67" s="140"/>
      <c r="F67" s="140"/>
      <c r="G67" s="140"/>
      <c r="H67" s="140"/>
      <c r="I67" s="140"/>
      <c r="J67" s="140"/>
      <c r="K67" s="140"/>
      <c r="L67" s="140"/>
      <c r="M67" s="140"/>
      <c r="N67" s="26"/>
      <c r="O67" s="1"/>
    </row>
    <row r="68" spans="1:15" x14ac:dyDescent="0.25">
      <c r="A68" s="114"/>
      <c r="B68" s="93"/>
      <c r="C68" s="93"/>
      <c r="D68" s="93"/>
      <c r="E68" s="93"/>
      <c r="F68" s="93"/>
      <c r="G68" s="93"/>
      <c r="H68" s="93"/>
      <c r="I68" s="93"/>
      <c r="J68" s="93"/>
      <c r="K68" s="93"/>
      <c r="L68" s="93"/>
      <c r="M68" s="93"/>
      <c r="N68" s="26"/>
      <c r="O68" s="1"/>
    </row>
    <row r="69" spans="1:15" ht="18.75" x14ac:dyDescent="0.3">
      <c r="A69" s="206"/>
      <c r="B69" s="93"/>
      <c r="C69" s="93"/>
      <c r="D69" s="93"/>
      <c r="E69" s="93"/>
      <c r="F69" s="93"/>
      <c r="G69" s="93"/>
      <c r="H69" s="93"/>
      <c r="I69" s="93"/>
      <c r="J69" s="93"/>
      <c r="K69" s="93"/>
      <c r="L69" s="93"/>
      <c r="M69" s="93"/>
      <c r="N69" s="26"/>
      <c r="O69" s="1"/>
    </row>
    <row r="70" spans="1:15" x14ac:dyDescent="0.25">
      <c r="A70" s="116"/>
      <c r="B70" s="207"/>
      <c r="C70" s="207"/>
      <c r="D70" s="207"/>
      <c r="E70" s="207"/>
      <c r="F70" s="207"/>
      <c r="G70" s="207"/>
      <c r="H70" s="207"/>
      <c r="I70" s="207"/>
      <c r="J70" s="207"/>
      <c r="K70" s="207"/>
      <c r="L70" s="207"/>
      <c r="M70" s="207"/>
      <c r="N70" s="26"/>
      <c r="O70" s="1"/>
    </row>
    <row r="71" spans="1:15" x14ac:dyDescent="0.25">
      <c r="A71" s="114"/>
      <c r="B71" s="93"/>
      <c r="C71" s="93"/>
      <c r="D71" s="93"/>
      <c r="E71" s="93"/>
      <c r="F71" s="93"/>
      <c r="G71" s="93"/>
      <c r="H71" s="93"/>
      <c r="I71" s="93"/>
      <c r="J71" s="93"/>
      <c r="K71" s="93"/>
      <c r="L71" s="93"/>
      <c r="M71" s="93"/>
      <c r="N71" s="26"/>
      <c r="O71" s="1"/>
    </row>
    <row r="72" spans="1:15" x14ac:dyDescent="0.25">
      <c r="A72" s="114"/>
      <c r="B72" s="93"/>
      <c r="C72" s="93"/>
      <c r="D72" s="93"/>
      <c r="E72" s="93"/>
      <c r="F72" s="93"/>
      <c r="G72" s="93"/>
      <c r="H72" s="93"/>
      <c r="I72" s="93"/>
      <c r="J72" s="93"/>
      <c r="K72" s="93"/>
      <c r="L72" s="93"/>
      <c r="M72" s="93"/>
      <c r="N72" s="26"/>
      <c r="O72" s="1"/>
    </row>
    <row r="73" spans="1:15" x14ac:dyDescent="0.25">
      <c r="A73" s="201"/>
      <c r="B73" s="93"/>
      <c r="C73" s="93"/>
      <c r="D73" s="93"/>
      <c r="E73" s="93"/>
      <c r="F73" s="93"/>
      <c r="G73" s="93"/>
      <c r="H73" s="93"/>
      <c r="I73" s="93"/>
      <c r="J73" s="93"/>
      <c r="K73" s="93"/>
      <c r="L73" s="93"/>
      <c r="M73" s="93"/>
      <c r="N73" s="26"/>
      <c r="O73" s="1"/>
    </row>
    <row r="74" spans="1:15" x14ac:dyDescent="0.25">
      <c r="A74" s="201"/>
      <c r="B74" s="93"/>
      <c r="C74" s="93"/>
      <c r="D74" s="93"/>
      <c r="E74" s="93"/>
      <c r="F74" s="93"/>
      <c r="G74" s="93"/>
      <c r="H74" s="93"/>
      <c r="I74" s="93"/>
      <c r="J74" s="93"/>
      <c r="K74" s="93"/>
      <c r="L74" s="93"/>
      <c r="M74" s="93"/>
      <c r="N74" s="26"/>
      <c r="O74" s="1"/>
    </row>
    <row r="75" spans="1:15" x14ac:dyDescent="0.25">
      <c r="A75" s="201"/>
      <c r="B75" s="93"/>
      <c r="C75" s="93"/>
      <c r="D75" s="93"/>
      <c r="E75" s="93"/>
      <c r="F75" s="93"/>
      <c r="G75" s="93"/>
      <c r="H75" s="93"/>
      <c r="I75" s="93"/>
      <c r="J75" s="93"/>
      <c r="K75" s="93"/>
      <c r="L75" s="93"/>
      <c r="M75" s="93"/>
      <c r="N75" s="26"/>
      <c r="O75" s="1"/>
    </row>
    <row r="76" spans="1:15" x14ac:dyDescent="0.25">
      <c r="A76" s="201"/>
      <c r="B76" s="93"/>
      <c r="C76" s="93"/>
      <c r="D76" s="93"/>
      <c r="E76" s="93"/>
      <c r="F76" s="93"/>
      <c r="G76" s="93"/>
      <c r="H76" s="93"/>
      <c r="I76" s="93"/>
      <c r="J76" s="93"/>
      <c r="K76" s="93"/>
      <c r="L76" s="93"/>
      <c r="M76" s="93"/>
      <c r="N76" s="26"/>
      <c r="O76" s="1"/>
    </row>
    <row r="77" spans="1:15" x14ac:dyDescent="0.25">
      <c r="A77" s="199"/>
      <c r="B77" s="93"/>
      <c r="C77" s="93"/>
      <c r="D77" s="93"/>
      <c r="E77" s="93"/>
      <c r="F77" s="93"/>
      <c r="G77" s="93"/>
      <c r="H77" s="93"/>
      <c r="I77" s="93"/>
      <c r="J77" s="93"/>
      <c r="K77" s="93"/>
      <c r="L77" s="93"/>
      <c r="M77" s="93"/>
      <c r="N77" s="26"/>
      <c r="O77" s="1"/>
    </row>
    <row r="78" spans="1:15" x14ac:dyDescent="0.25">
      <c r="A78" s="114"/>
      <c r="B78" s="93"/>
      <c r="C78" s="93"/>
      <c r="D78" s="93"/>
      <c r="E78" s="93"/>
      <c r="F78" s="93"/>
      <c r="G78" s="93"/>
      <c r="H78" s="93"/>
      <c r="I78" s="93"/>
      <c r="J78" s="93"/>
      <c r="K78" s="93"/>
      <c r="L78" s="93"/>
      <c r="M78" s="93"/>
      <c r="N78" s="26"/>
      <c r="O78" s="1"/>
    </row>
    <row r="79" spans="1:15" x14ac:dyDescent="0.25">
      <c r="A79" s="114"/>
      <c r="B79" s="93"/>
      <c r="C79" s="93"/>
      <c r="D79" s="93"/>
      <c r="E79" s="93"/>
      <c r="F79" s="93"/>
      <c r="G79" s="93"/>
      <c r="H79" s="93"/>
      <c r="I79" s="93"/>
      <c r="J79" s="93"/>
      <c r="K79" s="93"/>
      <c r="L79" s="93"/>
      <c r="M79" s="93"/>
      <c r="N79" s="26"/>
      <c r="O79" s="1"/>
    </row>
    <row r="80" spans="1:15" x14ac:dyDescent="0.25">
      <c r="A80" s="114"/>
      <c r="B80" s="112"/>
      <c r="C80" s="112"/>
      <c r="D80" s="112"/>
      <c r="E80" s="112"/>
      <c r="F80" s="112"/>
      <c r="G80" s="112"/>
      <c r="H80" s="112"/>
      <c r="I80" s="112"/>
      <c r="J80" s="112"/>
      <c r="K80" s="112"/>
      <c r="L80" s="112"/>
      <c r="M80" s="112"/>
      <c r="N80" s="26"/>
      <c r="O80" s="1"/>
    </row>
    <row r="81" spans="1:15" x14ac:dyDescent="0.25">
      <c r="A81" s="114"/>
      <c r="B81" s="112"/>
      <c r="C81" s="112"/>
      <c r="D81" s="112"/>
      <c r="E81" s="112"/>
      <c r="F81" s="112"/>
      <c r="G81" s="112"/>
      <c r="H81" s="112"/>
      <c r="I81" s="112"/>
      <c r="J81" s="112"/>
      <c r="K81" s="112"/>
      <c r="L81" s="112"/>
      <c r="M81" s="112"/>
      <c r="N81" s="26"/>
      <c r="O81" s="1"/>
    </row>
    <row r="82" spans="1:15" x14ac:dyDescent="0.25">
      <c r="A82" s="114"/>
      <c r="B82" s="114"/>
      <c r="C82" s="114"/>
      <c r="D82" s="114"/>
      <c r="E82" s="114"/>
      <c r="F82" s="114"/>
      <c r="G82" s="114"/>
      <c r="H82" s="114"/>
      <c r="I82" s="114"/>
      <c r="J82" s="114"/>
      <c r="K82" s="114"/>
      <c r="L82" s="114"/>
      <c r="M82" s="114"/>
      <c r="N82" s="26"/>
      <c r="O82" s="1"/>
    </row>
    <row r="83" spans="1:15" x14ac:dyDescent="0.25">
      <c r="A83" s="114"/>
      <c r="B83" s="114"/>
      <c r="C83" s="114"/>
      <c r="D83" s="114"/>
      <c r="E83" s="114"/>
      <c r="F83" s="114"/>
      <c r="G83" s="114"/>
      <c r="H83" s="114"/>
      <c r="I83" s="114"/>
      <c r="J83" s="114"/>
      <c r="K83" s="114"/>
      <c r="L83" s="114"/>
      <c r="M83" s="114"/>
      <c r="N83" s="19"/>
    </row>
    <row r="84" spans="1:15" x14ac:dyDescent="0.25">
      <c r="A84" s="114"/>
      <c r="B84" s="114"/>
      <c r="C84" s="114"/>
      <c r="D84" s="114"/>
      <c r="E84" s="114"/>
      <c r="F84" s="114"/>
      <c r="G84" s="114"/>
      <c r="H84" s="114"/>
      <c r="I84" s="114"/>
      <c r="J84" s="114"/>
      <c r="K84" s="114"/>
      <c r="L84" s="114"/>
      <c r="M84" s="114"/>
      <c r="N84" s="19"/>
    </row>
    <row r="85" spans="1:15" x14ac:dyDescent="0.25">
      <c r="A85" s="114"/>
      <c r="B85" s="114"/>
      <c r="C85" s="114"/>
      <c r="D85" s="114"/>
      <c r="E85" s="114"/>
      <c r="F85" s="114"/>
      <c r="G85" s="114"/>
      <c r="H85" s="114"/>
      <c r="I85" s="114"/>
      <c r="J85" s="114"/>
      <c r="K85" s="114"/>
      <c r="L85" s="114"/>
      <c r="M85" s="114"/>
      <c r="N85" s="19"/>
    </row>
    <row r="86" spans="1:15" x14ac:dyDescent="0.25">
      <c r="A86" s="114"/>
      <c r="B86" s="114"/>
      <c r="C86" s="114"/>
      <c r="D86" s="114"/>
      <c r="E86" s="114"/>
      <c r="F86" s="114"/>
      <c r="G86" s="114"/>
      <c r="H86" s="114"/>
      <c r="I86" s="114"/>
      <c r="J86" s="114"/>
      <c r="K86" s="114"/>
      <c r="L86" s="114"/>
      <c r="M86" s="114"/>
      <c r="N86" s="19"/>
    </row>
    <row r="87" spans="1:15" x14ac:dyDescent="0.25">
      <c r="A87" s="116"/>
      <c r="B87" s="215"/>
      <c r="C87" s="215"/>
      <c r="D87" s="215"/>
      <c r="E87" s="215"/>
      <c r="F87" s="215"/>
      <c r="G87" s="215"/>
      <c r="H87" s="215"/>
      <c r="I87" s="215"/>
      <c r="J87" s="215"/>
      <c r="K87" s="215"/>
      <c r="L87" s="215"/>
      <c r="M87" s="215"/>
      <c r="N87" s="19"/>
    </row>
    <row r="88" spans="1:15" x14ac:dyDescent="0.25">
      <c r="A88" s="114"/>
      <c r="B88" s="114"/>
      <c r="C88" s="114"/>
      <c r="D88" s="114"/>
      <c r="E88" s="114"/>
      <c r="F88" s="114"/>
      <c r="G88" s="114"/>
      <c r="H88" s="114"/>
      <c r="I88" s="114"/>
      <c r="J88" s="219"/>
      <c r="K88" s="219"/>
      <c r="L88" s="219"/>
      <c r="M88" s="219"/>
      <c r="N88" s="19"/>
    </row>
    <row r="89" spans="1:15" x14ac:dyDescent="0.25">
      <c r="A89" s="116"/>
      <c r="B89" s="116"/>
      <c r="C89" s="116"/>
      <c r="D89" s="116"/>
      <c r="E89" s="116"/>
      <c r="F89" s="116"/>
      <c r="G89" s="116"/>
      <c r="H89" s="116"/>
      <c r="I89" s="116"/>
      <c r="J89" s="114"/>
      <c r="K89" s="114"/>
      <c r="L89" s="114"/>
      <c r="M89" s="114"/>
      <c r="N89" s="19"/>
    </row>
    <row r="90" spans="1:15" x14ac:dyDescent="0.25">
      <c r="A90" s="116"/>
      <c r="B90" s="93"/>
      <c r="C90" s="93"/>
      <c r="D90" s="93"/>
      <c r="E90" s="93"/>
      <c r="F90" s="93"/>
      <c r="G90" s="93"/>
      <c r="H90" s="93"/>
      <c r="I90" s="93"/>
      <c r="J90" s="93"/>
      <c r="K90" s="93"/>
      <c r="L90" s="93"/>
      <c r="M90" s="93"/>
      <c r="N90" s="19"/>
    </row>
    <row r="91" spans="1:15" x14ac:dyDescent="0.25">
      <c r="A91" s="114"/>
      <c r="B91" s="193"/>
      <c r="C91" s="193"/>
      <c r="D91" s="193"/>
      <c r="E91" s="193"/>
      <c r="F91" s="193"/>
      <c r="G91" s="193"/>
      <c r="H91" s="193"/>
      <c r="I91" s="193"/>
      <c r="J91" s="193"/>
      <c r="K91" s="193"/>
      <c r="L91" s="193"/>
      <c r="M91" s="193"/>
      <c r="N91" s="19"/>
    </row>
    <row r="92" spans="1:15" x14ac:dyDescent="0.25">
      <c r="A92" s="114"/>
      <c r="B92" s="114"/>
      <c r="C92" s="114"/>
      <c r="D92" s="114"/>
      <c r="E92" s="114"/>
      <c r="F92" s="114"/>
      <c r="G92" s="114"/>
      <c r="H92" s="114"/>
      <c r="I92" s="114"/>
      <c r="J92" s="114"/>
      <c r="K92" s="114"/>
      <c r="L92" s="114"/>
      <c r="M92" s="114"/>
      <c r="N92" s="19"/>
    </row>
    <row r="93" spans="1:15" x14ac:dyDescent="0.25">
      <c r="A93" s="114"/>
      <c r="B93" s="114"/>
      <c r="C93" s="114"/>
      <c r="D93" s="114"/>
      <c r="E93" s="114"/>
      <c r="F93" s="114"/>
      <c r="G93" s="114"/>
      <c r="H93" s="114"/>
      <c r="I93" s="114"/>
      <c r="J93" s="114"/>
      <c r="K93" s="114"/>
      <c r="L93" s="114"/>
      <c r="M93" s="114"/>
      <c r="N93" s="19"/>
    </row>
    <row r="94" spans="1:15" x14ac:dyDescent="0.25">
      <c r="A94" s="114"/>
      <c r="B94" s="114"/>
      <c r="C94" s="114"/>
      <c r="D94" s="114"/>
      <c r="E94" s="114"/>
      <c r="F94" s="114"/>
      <c r="G94" s="114"/>
      <c r="H94" s="114"/>
      <c r="I94" s="114"/>
      <c r="J94" s="114"/>
      <c r="K94" s="114"/>
      <c r="L94" s="114"/>
      <c r="M94" s="114"/>
      <c r="N94" s="19"/>
    </row>
    <row r="95" spans="1:15" x14ac:dyDescent="0.25">
      <c r="A95" s="114"/>
      <c r="B95" s="220"/>
      <c r="C95" s="220"/>
      <c r="D95" s="220"/>
      <c r="E95" s="220"/>
      <c r="F95" s="220"/>
      <c r="G95" s="220"/>
      <c r="H95" s="220"/>
      <c r="I95" s="220"/>
      <c r="J95" s="220"/>
      <c r="K95" s="220"/>
      <c r="L95" s="220"/>
      <c r="M95" s="220"/>
      <c r="N95" s="19"/>
    </row>
    <row r="96" spans="1:15" x14ac:dyDescent="0.25">
      <c r="A96" s="114"/>
      <c r="B96" s="215"/>
      <c r="C96" s="215"/>
      <c r="D96" s="215"/>
      <c r="E96" s="215"/>
      <c r="F96" s="215"/>
      <c r="G96" s="215"/>
      <c r="H96" s="215"/>
      <c r="I96" s="215"/>
      <c r="J96" s="215"/>
      <c r="K96" s="215"/>
      <c r="L96" s="215"/>
      <c r="M96" s="215"/>
      <c r="N96" s="19"/>
    </row>
    <row r="97" spans="1:14" x14ac:dyDescent="0.25">
      <c r="A97" s="114"/>
      <c r="B97" s="114"/>
      <c r="C97" s="114"/>
      <c r="D97" s="114"/>
      <c r="E97" s="114"/>
      <c r="F97" s="114"/>
      <c r="G97" s="114"/>
      <c r="H97" s="114"/>
      <c r="I97" s="114"/>
      <c r="J97" s="114"/>
      <c r="K97" s="114"/>
      <c r="L97" s="114"/>
      <c r="M97" s="114"/>
      <c r="N97" s="19"/>
    </row>
    <row r="98" spans="1:14" x14ac:dyDescent="0.25">
      <c r="A98" s="114"/>
      <c r="B98" s="114"/>
      <c r="C98" s="114"/>
      <c r="D98" s="114"/>
      <c r="E98" s="114"/>
      <c r="F98" s="114"/>
      <c r="G98" s="114"/>
      <c r="H98" s="114"/>
      <c r="I98" s="114"/>
      <c r="J98" s="114"/>
      <c r="K98" s="114"/>
      <c r="L98" s="114"/>
      <c r="M98" s="114"/>
      <c r="N98" s="19"/>
    </row>
    <row r="99" spans="1:14" x14ac:dyDescent="0.25">
      <c r="A99" s="114"/>
      <c r="B99" s="114"/>
      <c r="C99" s="114"/>
      <c r="D99" s="114"/>
      <c r="E99" s="114"/>
      <c r="F99" s="114"/>
      <c r="G99" s="114"/>
      <c r="H99" s="114"/>
      <c r="I99" s="114"/>
      <c r="J99" s="114"/>
      <c r="K99" s="114"/>
      <c r="L99" s="114"/>
      <c r="M99" s="114"/>
      <c r="N99" s="19"/>
    </row>
    <row r="100" spans="1:14" x14ac:dyDescent="0.25">
      <c r="A100" s="114"/>
      <c r="B100" s="114"/>
      <c r="C100" s="114"/>
      <c r="D100" s="114"/>
      <c r="E100" s="114"/>
      <c r="F100" s="114"/>
      <c r="G100" s="114"/>
      <c r="H100" s="114"/>
      <c r="I100" s="114"/>
      <c r="J100" s="114"/>
      <c r="K100" s="114"/>
      <c r="L100" s="114"/>
      <c r="M100" s="114"/>
      <c r="N100" s="19"/>
    </row>
    <row r="101" spans="1:14" x14ac:dyDescent="0.25">
      <c r="A101" s="114"/>
      <c r="B101" s="114"/>
      <c r="C101" s="114"/>
      <c r="D101" s="114"/>
      <c r="E101" s="114"/>
      <c r="F101" s="114"/>
      <c r="G101" s="114"/>
      <c r="H101" s="114"/>
      <c r="I101" s="114"/>
      <c r="J101" s="114"/>
      <c r="K101" s="114"/>
      <c r="L101" s="114"/>
      <c r="M101" s="114"/>
      <c r="N101" s="19"/>
    </row>
    <row r="102" spans="1:14" x14ac:dyDescent="0.25">
      <c r="A102" s="114"/>
      <c r="B102" s="114"/>
      <c r="C102" s="114"/>
      <c r="D102" s="114"/>
      <c r="E102" s="114"/>
      <c r="F102" s="114"/>
      <c r="G102" s="114"/>
      <c r="H102" s="114"/>
      <c r="I102" s="114"/>
      <c r="J102" s="114"/>
      <c r="K102" s="114"/>
      <c r="L102" s="114"/>
      <c r="M102" s="114"/>
      <c r="N102" s="19"/>
    </row>
    <row r="103" spans="1:14" x14ac:dyDescent="0.25">
      <c r="A103" s="114"/>
      <c r="B103" s="215"/>
      <c r="C103" s="215"/>
      <c r="D103" s="215"/>
      <c r="E103" s="215"/>
      <c r="F103" s="215"/>
      <c r="G103" s="215"/>
      <c r="H103" s="215"/>
      <c r="I103" s="215"/>
      <c r="J103" s="215"/>
      <c r="K103" s="215"/>
      <c r="L103" s="215"/>
      <c r="M103" s="215"/>
      <c r="N103" s="19"/>
    </row>
    <row r="104" spans="1:14" x14ac:dyDescent="0.25">
      <c r="A104" s="114"/>
      <c r="B104" s="207"/>
      <c r="C104" s="207"/>
      <c r="D104" s="207"/>
      <c r="E104" s="207"/>
      <c r="F104" s="207"/>
      <c r="G104" s="207"/>
      <c r="H104" s="207"/>
      <c r="I104" s="207"/>
      <c r="J104" s="207"/>
      <c r="K104" s="207"/>
      <c r="L104" s="207"/>
      <c r="M104" s="207"/>
      <c r="N104" s="19"/>
    </row>
    <row r="105" spans="1:14" x14ac:dyDescent="0.25">
      <c r="A105" s="114"/>
      <c r="B105" s="114"/>
      <c r="C105" s="114"/>
      <c r="D105" s="114"/>
      <c r="E105" s="114"/>
      <c r="F105" s="114"/>
      <c r="G105" s="114"/>
      <c r="H105" s="114"/>
      <c r="I105" s="114"/>
      <c r="J105" s="114"/>
      <c r="K105" s="114"/>
      <c r="L105" s="114"/>
      <c r="M105" s="114"/>
      <c r="N105" s="64"/>
    </row>
    <row r="106" spans="1:14" x14ac:dyDescent="0.25">
      <c r="A106" s="114"/>
      <c r="B106" s="114"/>
      <c r="C106" s="114"/>
      <c r="D106" s="114"/>
      <c r="E106" s="114"/>
      <c r="F106" s="114"/>
      <c r="G106" s="114"/>
      <c r="H106" s="114"/>
      <c r="I106" s="114"/>
      <c r="J106" s="114"/>
      <c r="K106" s="114"/>
      <c r="L106" s="114"/>
      <c r="M106" s="114"/>
      <c r="N106" s="19"/>
    </row>
    <row r="107" spans="1:14" x14ac:dyDescent="0.25">
      <c r="A107" s="114"/>
      <c r="B107" s="114"/>
      <c r="C107" s="114"/>
      <c r="D107" s="114"/>
      <c r="E107" s="114"/>
      <c r="F107" s="114"/>
      <c r="G107" s="114"/>
      <c r="H107" s="114"/>
      <c r="I107" s="114"/>
      <c r="J107" s="114"/>
      <c r="K107" s="114"/>
      <c r="L107" s="114"/>
      <c r="M107" s="114"/>
      <c r="N107" s="19"/>
    </row>
    <row r="108" spans="1:14" x14ac:dyDescent="0.25">
      <c r="A108" s="114"/>
      <c r="B108" s="114"/>
      <c r="C108" s="114"/>
      <c r="D108" s="114"/>
      <c r="E108" s="114"/>
      <c r="F108" s="114"/>
      <c r="G108" s="114"/>
      <c r="H108" s="114"/>
      <c r="I108" s="114"/>
      <c r="J108" s="114"/>
      <c r="K108" s="114"/>
      <c r="L108" s="114"/>
      <c r="M108" s="114"/>
      <c r="N108" s="19"/>
    </row>
    <row r="109" spans="1:14" x14ac:dyDescent="0.25">
      <c r="A109" s="114"/>
      <c r="B109" s="114"/>
      <c r="C109" s="114"/>
      <c r="D109" s="114"/>
      <c r="E109" s="114"/>
      <c r="F109" s="114"/>
      <c r="G109" s="114"/>
      <c r="H109" s="114"/>
      <c r="I109" s="114"/>
      <c r="J109" s="114"/>
      <c r="K109" s="114"/>
      <c r="L109" s="114"/>
      <c r="M109" s="114"/>
      <c r="N109" s="19"/>
    </row>
    <row r="110" spans="1:14" x14ac:dyDescent="0.25">
      <c r="A110" s="114"/>
      <c r="B110" s="114"/>
      <c r="C110" s="114"/>
      <c r="D110" s="114"/>
      <c r="E110" s="114"/>
      <c r="F110" s="114"/>
      <c r="G110" s="114"/>
      <c r="H110" s="114"/>
      <c r="I110" s="114"/>
      <c r="J110" s="114"/>
      <c r="K110" s="114"/>
      <c r="L110" s="114"/>
      <c r="M110" s="114"/>
      <c r="N110" s="19"/>
    </row>
    <row r="111" spans="1:14" x14ac:dyDescent="0.25">
      <c r="A111" s="114"/>
      <c r="B111" s="114"/>
      <c r="C111" s="114"/>
      <c r="D111" s="114"/>
      <c r="E111" s="114"/>
      <c r="F111" s="114"/>
      <c r="G111" s="114"/>
      <c r="H111" s="114"/>
      <c r="I111" s="114"/>
      <c r="J111" s="114"/>
      <c r="K111" s="114"/>
      <c r="L111" s="114"/>
      <c r="M111" s="114"/>
      <c r="N111" s="19"/>
    </row>
    <row r="112" spans="1:14" x14ac:dyDescent="0.25">
      <c r="A112" s="114"/>
      <c r="B112" s="114"/>
      <c r="C112" s="114"/>
      <c r="D112" s="114"/>
      <c r="E112" s="114"/>
      <c r="F112" s="114"/>
      <c r="G112" s="114"/>
      <c r="H112" s="114"/>
      <c r="I112" s="114"/>
      <c r="J112" s="114"/>
      <c r="K112" s="114"/>
      <c r="L112" s="114"/>
      <c r="M112" s="114"/>
      <c r="N112" s="19"/>
    </row>
    <row r="113" spans="1:14" x14ac:dyDescent="0.25">
      <c r="A113" s="114"/>
      <c r="B113" s="114"/>
      <c r="C113" s="114"/>
      <c r="D113" s="114"/>
      <c r="E113" s="114"/>
      <c r="F113" s="114"/>
      <c r="G113" s="114"/>
      <c r="H113" s="114"/>
      <c r="I113" s="114"/>
      <c r="J113" s="114"/>
      <c r="K113" s="114"/>
      <c r="L113" s="114"/>
      <c r="M113" s="114"/>
      <c r="N113" s="19"/>
    </row>
    <row r="114" spans="1:14" x14ac:dyDescent="0.25">
      <c r="A114" s="114"/>
      <c r="B114" s="114"/>
      <c r="C114" s="114"/>
      <c r="D114" s="114"/>
      <c r="E114" s="114"/>
      <c r="F114" s="114"/>
      <c r="G114" s="114"/>
      <c r="H114" s="114"/>
      <c r="I114" s="114"/>
      <c r="J114" s="114"/>
      <c r="K114" s="114"/>
      <c r="L114" s="114"/>
      <c r="M114" s="114"/>
      <c r="N114" s="19"/>
    </row>
    <row r="115" spans="1:14" x14ac:dyDescent="0.25">
      <c r="A115" s="114"/>
      <c r="B115" s="114"/>
      <c r="C115" s="114"/>
      <c r="D115" s="114"/>
      <c r="E115" s="114"/>
      <c r="F115" s="114"/>
      <c r="G115" s="114"/>
      <c r="H115" s="114"/>
      <c r="I115" s="114"/>
      <c r="J115" s="114"/>
      <c r="K115" s="114"/>
      <c r="L115" s="114"/>
      <c r="M115" s="114"/>
      <c r="N115" s="19"/>
    </row>
    <row r="116" spans="1:14" x14ac:dyDescent="0.25">
      <c r="A116" s="114"/>
      <c r="B116" s="114"/>
      <c r="C116" s="114"/>
      <c r="D116" s="114"/>
      <c r="E116" s="114"/>
      <c r="F116" s="114"/>
      <c r="G116" s="114"/>
      <c r="H116" s="114"/>
      <c r="I116" s="114"/>
      <c r="J116" s="114"/>
      <c r="K116" s="114"/>
      <c r="L116" s="114"/>
      <c r="M116" s="114"/>
      <c r="N116" s="19"/>
    </row>
    <row r="117" spans="1:14" x14ac:dyDescent="0.25">
      <c r="A117" s="114"/>
      <c r="B117" s="114"/>
      <c r="C117" s="114"/>
      <c r="D117" s="114"/>
      <c r="E117" s="114"/>
      <c r="F117" s="114"/>
      <c r="G117" s="114"/>
      <c r="H117" s="114"/>
      <c r="I117" s="114"/>
      <c r="J117" s="114"/>
      <c r="K117" s="114"/>
      <c r="L117" s="114"/>
      <c r="M117" s="114"/>
      <c r="N117" s="19"/>
    </row>
    <row r="118" spans="1:14" x14ac:dyDescent="0.25">
      <c r="A118" s="114"/>
      <c r="B118" s="114"/>
      <c r="C118" s="114"/>
      <c r="D118" s="114"/>
      <c r="E118" s="114"/>
      <c r="F118" s="114"/>
      <c r="G118" s="114"/>
      <c r="H118" s="114"/>
      <c r="I118" s="114"/>
      <c r="J118" s="114"/>
      <c r="K118" s="114"/>
      <c r="L118" s="114"/>
      <c r="M118" s="114"/>
      <c r="N118" s="19"/>
    </row>
    <row r="119" spans="1:14" x14ac:dyDescent="0.25">
      <c r="A119" s="114"/>
      <c r="B119" s="114"/>
      <c r="C119" s="114"/>
      <c r="D119" s="114"/>
      <c r="E119" s="114"/>
      <c r="F119" s="114"/>
      <c r="G119" s="114"/>
      <c r="H119" s="114"/>
      <c r="I119" s="114"/>
      <c r="J119" s="114"/>
      <c r="K119" s="114"/>
      <c r="L119" s="114"/>
      <c r="M119" s="114"/>
      <c r="N119" s="19"/>
    </row>
    <row r="120" spans="1:14" x14ac:dyDescent="0.25">
      <c r="A120" s="114"/>
      <c r="B120" s="114"/>
      <c r="C120" s="114"/>
      <c r="D120" s="114"/>
      <c r="E120" s="114"/>
      <c r="F120" s="114"/>
      <c r="G120" s="114"/>
      <c r="H120" s="114"/>
      <c r="I120" s="114"/>
      <c r="J120" s="114"/>
      <c r="K120" s="114"/>
      <c r="L120" s="114"/>
      <c r="M120" s="114"/>
      <c r="N120" s="19"/>
    </row>
    <row r="121" spans="1:14" x14ac:dyDescent="0.25">
      <c r="A121" s="114"/>
      <c r="B121" s="114"/>
      <c r="C121" s="114"/>
      <c r="D121" s="114"/>
      <c r="E121" s="114"/>
      <c r="F121" s="114"/>
      <c r="G121" s="114"/>
      <c r="H121" s="114"/>
      <c r="I121" s="114"/>
      <c r="J121" s="114"/>
      <c r="K121" s="114"/>
      <c r="L121" s="114"/>
      <c r="M121" s="114"/>
      <c r="N121" s="19"/>
    </row>
    <row r="122" spans="1:14" x14ac:dyDescent="0.25">
      <c r="A122" s="114"/>
      <c r="B122" s="114"/>
      <c r="C122" s="114"/>
      <c r="D122" s="114"/>
      <c r="E122" s="114"/>
      <c r="F122" s="114"/>
      <c r="G122" s="114"/>
      <c r="H122" s="114"/>
      <c r="I122" s="114"/>
      <c r="J122" s="114"/>
      <c r="K122" s="114"/>
      <c r="L122" s="114"/>
      <c r="M122" s="114"/>
      <c r="N122" s="19"/>
    </row>
    <row r="123" spans="1:14" x14ac:dyDescent="0.25">
      <c r="A123" s="114"/>
      <c r="B123" s="114"/>
      <c r="C123" s="114"/>
      <c r="D123" s="114"/>
      <c r="E123" s="114"/>
      <c r="F123" s="114"/>
      <c r="G123" s="114"/>
      <c r="H123" s="114"/>
      <c r="I123" s="114"/>
      <c r="J123" s="114"/>
      <c r="K123" s="114"/>
      <c r="L123" s="114"/>
      <c r="M123" s="114"/>
      <c r="N123" s="19"/>
    </row>
    <row r="124" spans="1:14" x14ac:dyDescent="0.25">
      <c r="A124" s="114"/>
      <c r="B124" s="114"/>
      <c r="C124" s="114"/>
      <c r="D124" s="114"/>
      <c r="E124" s="114"/>
      <c r="F124" s="114"/>
      <c r="G124" s="114"/>
      <c r="H124" s="114"/>
      <c r="I124" s="114"/>
      <c r="J124" s="114"/>
      <c r="K124" s="114"/>
      <c r="L124" s="114"/>
      <c r="M124" s="114"/>
      <c r="N124" s="19"/>
    </row>
    <row r="125" spans="1:14" x14ac:dyDescent="0.25">
      <c r="A125" s="114"/>
      <c r="B125" s="114"/>
      <c r="C125" s="114"/>
      <c r="D125" s="114"/>
      <c r="E125" s="114"/>
      <c r="F125" s="114"/>
      <c r="G125" s="114"/>
      <c r="H125" s="114"/>
      <c r="I125" s="114"/>
      <c r="J125" s="114"/>
      <c r="K125" s="114"/>
      <c r="L125" s="114"/>
      <c r="M125" s="114"/>
      <c r="N125" s="19"/>
    </row>
    <row r="126" spans="1:14" x14ac:dyDescent="0.25">
      <c r="A126" s="114"/>
      <c r="B126" s="114"/>
      <c r="C126" s="114"/>
      <c r="D126" s="114"/>
      <c r="E126" s="114"/>
      <c r="F126" s="114"/>
      <c r="G126" s="114"/>
      <c r="H126" s="114"/>
      <c r="I126" s="114"/>
      <c r="J126" s="114"/>
      <c r="K126" s="114"/>
      <c r="L126" s="114"/>
      <c r="M126" s="114"/>
      <c r="N126" s="19"/>
    </row>
    <row r="127" spans="1:14" x14ac:dyDescent="0.25">
      <c r="A127" s="114"/>
      <c r="B127" s="114"/>
      <c r="C127" s="114"/>
      <c r="D127" s="114"/>
      <c r="E127" s="114"/>
      <c r="F127" s="114"/>
      <c r="G127" s="114"/>
      <c r="H127" s="114"/>
      <c r="I127" s="114"/>
      <c r="J127" s="114"/>
      <c r="K127" s="114"/>
      <c r="L127" s="114"/>
      <c r="M127" s="114"/>
      <c r="N127" s="19"/>
    </row>
    <row r="128" spans="1:14" x14ac:dyDescent="0.25">
      <c r="A128" s="114"/>
      <c r="B128" s="114"/>
      <c r="C128" s="114"/>
      <c r="D128" s="114"/>
      <c r="E128" s="114"/>
      <c r="F128" s="114"/>
      <c r="G128" s="114"/>
      <c r="H128" s="114"/>
      <c r="I128" s="114"/>
      <c r="J128" s="114"/>
      <c r="K128" s="114"/>
      <c r="L128" s="114"/>
      <c r="M128" s="114"/>
      <c r="N128" s="19"/>
    </row>
    <row r="129" spans="1:14" x14ac:dyDescent="0.25">
      <c r="A129" s="114"/>
      <c r="B129" s="114"/>
      <c r="C129" s="114"/>
      <c r="D129" s="114"/>
      <c r="E129" s="114"/>
      <c r="F129" s="114"/>
      <c r="G129" s="114"/>
      <c r="H129" s="114"/>
      <c r="I129" s="114"/>
      <c r="J129" s="114"/>
      <c r="K129" s="114"/>
      <c r="L129" s="114"/>
      <c r="M129" s="114"/>
      <c r="N129" s="19"/>
    </row>
    <row r="130" spans="1:14" x14ac:dyDescent="0.25">
      <c r="A130" s="114"/>
      <c r="B130" s="114"/>
      <c r="C130" s="114"/>
      <c r="D130" s="114"/>
      <c r="E130" s="114"/>
      <c r="F130" s="114"/>
      <c r="G130" s="114"/>
      <c r="H130" s="114"/>
      <c r="I130" s="114"/>
      <c r="J130" s="114"/>
      <c r="K130" s="114"/>
      <c r="L130" s="114"/>
      <c r="M130" s="114"/>
      <c r="N130" s="19"/>
    </row>
    <row r="131" spans="1:14" x14ac:dyDescent="0.25">
      <c r="A131" s="114"/>
      <c r="B131" s="114"/>
      <c r="C131" s="114"/>
      <c r="D131" s="114"/>
      <c r="E131" s="114"/>
      <c r="F131" s="114"/>
      <c r="G131" s="114"/>
      <c r="H131" s="114"/>
      <c r="I131" s="114"/>
      <c r="J131" s="114"/>
      <c r="K131" s="114"/>
      <c r="L131" s="114"/>
      <c r="M131" s="114"/>
      <c r="N131" s="19"/>
    </row>
    <row r="132" spans="1:14" x14ac:dyDescent="0.25">
      <c r="A132" s="114"/>
      <c r="B132" s="114"/>
      <c r="C132" s="114"/>
      <c r="D132" s="114"/>
      <c r="E132" s="114"/>
      <c r="F132" s="114"/>
      <c r="G132" s="114"/>
      <c r="H132" s="114"/>
      <c r="I132" s="114"/>
      <c r="J132" s="114"/>
      <c r="K132" s="114"/>
      <c r="L132" s="114"/>
      <c r="M132" s="114"/>
      <c r="N132" s="19"/>
    </row>
    <row r="133" spans="1:14" x14ac:dyDescent="0.25">
      <c r="A133" s="114"/>
      <c r="B133" s="114"/>
      <c r="C133" s="114"/>
      <c r="D133" s="114"/>
      <c r="E133" s="114"/>
      <c r="F133" s="114"/>
      <c r="G133" s="114"/>
      <c r="H133" s="114"/>
      <c r="I133" s="114"/>
      <c r="J133" s="114"/>
      <c r="K133" s="114"/>
      <c r="L133" s="114"/>
      <c r="M133" s="114"/>
      <c r="N133" s="19"/>
    </row>
    <row r="134" spans="1:14" x14ac:dyDescent="0.25">
      <c r="A134" s="114"/>
      <c r="B134" s="114"/>
      <c r="C134" s="114"/>
      <c r="D134" s="114"/>
      <c r="E134" s="114"/>
      <c r="F134" s="114"/>
      <c r="G134" s="114"/>
      <c r="H134" s="114"/>
      <c r="I134" s="114"/>
      <c r="J134" s="114"/>
      <c r="K134" s="114"/>
      <c r="L134" s="114"/>
      <c r="M134" s="114"/>
      <c r="N134" s="19"/>
    </row>
    <row r="135" spans="1:14" x14ac:dyDescent="0.25">
      <c r="A135" s="114"/>
      <c r="B135" s="114"/>
      <c r="C135" s="114"/>
      <c r="D135" s="114"/>
      <c r="E135" s="114"/>
      <c r="F135" s="114"/>
      <c r="G135" s="114"/>
      <c r="H135" s="114"/>
      <c r="I135" s="114"/>
      <c r="J135" s="114"/>
      <c r="K135" s="114"/>
      <c r="L135" s="114"/>
      <c r="M135" s="114"/>
      <c r="N135" s="19"/>
    </row>
    <row r="136" spans="1:14" x14ac:dyDescent="0.25">
      <c r="A136" s="114"/>
      <c r="B136" s="114"/>
      <c r="C136" s="114"/>
      <c r="D136" s="114"/>
      <c r="E136" s="114"/>
      <c r="F136" s="114"/>
      <c r="G136" s="114"/>
      <c r="H136" s="114"/>
      <c r="I136" s="114"/>
      <c r="J136" s="114"/>
      <c r="K136" s="114"/>
      <c r="L136" s="114"/>
      <c r="M136" s="114"/>
      <c r="N136" s="19"/>
    </row>
    <row r="137" spans="1:14" x14ac:dyDescent="0.25">
      <c r="A137" s="114"/>
      <c r="B137" s="114"/>
      <c r="C137" s="114"/>
      <c r="D137" s="114"/>
      <c r="E137" s="114"/>
      <c r="F137" s="114"/>
      <c r="G137" s="114"/>
      <c r="H137" s="114"/>
      <c r="I137" s="114"/>
      <c r="J137" s="114"/>
      <c r="K137" s="114"/>
      <c r="L137" s="114"/>
      <c r="M137" s="114"/>
      <c r="N137" s="19"/>
    </row>
    <row r="138" spans="1:14" x14ac:dyDescent="0.25">
      <c r="A138" s="114"/>
      <c r="B138" s="114"/>
      <c r="C138" s="114"/>
      <c r="D138" s="114"/>
      <c r="E138" s="114"/>
      <c r="F138" s="114"/>
      <c r="G138" s="114"/>
      <c r="H138" s="114"/>
      <c r="I138" s="114"/>
      <c r="J138" s="114"/>
      <c r="K138" s="114"/>
      <c r="L138" s="114"/>
      <c r="M138" s="114"/>
      <c r="N138" s="19"/>
    </row>
    <row r="139" spans="1:14" x14ac:dyDescent="0.25">
      <c r="A139" s="114"/>
      <c r="B139" s="114"/>
      <c r="C139" s="114"/>
      <c r="D139" s="114"/>
      <c r="E139" s="114"/>
      <c r="F139" s="114"/>
      <c r="G139" s="114"/>
      <c r="H139" s="114"/>
      <c r="I139" s="114"/>
      <c r="J139" s="114"/>
      <c r="K139" s="114"/>
      <c r="L139" s="114"/>
      <c r="M139" s="114"/>
      <c r="N139" s="19"/>
    </row>
    <row r="140" spans="1:14" x14ac:dyDescent="0.25">
      <c r="A140" s="114"/>
      <c r="B140" s="114"/>
      <c r="C140" s="114"/>
      <c r="D140" s="114"/>
      <c r="E140" s="114"/>
      <c r="F140" s="114"/>
      <c r="G140" s="114"/>
      <c r="H140" s="114"/>
      <c r="I140" s="114"/>
      <c r="J140" s="114"/>
      <c r="K140" s="114"/>
      <c r="L140" s="114"/>
      <c r="M140" s="114"/>
      <c r="N140" s="19"/>
    </row>
    <row r="141" spans="1:14" x14ac:dyDescent="0.25">
      <c r="A141" s="114"/>
      <c r="B141" s="114"/>
      <c r="C141" s="114"/>
      <c r="D141" s="114"/>
      <c r="E141" s="114"/>
      <c r="F141" s="114"/>
      <c r="G141" s="114"/>
      <c r="H141" s="114"/>
      <c r="I141" s="114"/>
      <c r="J141" s="114"/>
      <c r="K141" s="114"/>
      <c r="L141" s="114"/>
      <c r="M141" s="114"/>
      <c r="N141" s="19"/>
    </row>
    <row r="142" spans="1:14" x14ac:dyDescent="0.25">
      <c r="A142" s="114"/>
      <c r="B142" s="114"/>
      <c r="C142" s="114"/>
      <c r="D142" s="114"/>
      <c r="E142" s="114"/>
      <c r="F142" s="114"/>
      <c r="G142" s="114"/>
      <c r="H142" s="114"/>
      <c r="I142" s="114"/>
      <c r="J142" s="114"/>
      <c r="K142" s="114"/>
      <c r="L142" s="114"/>
      <c r="M142" s="114"/>
      <c r="N142" s="19"/>
    </row>
    <row r="143" spans="1:14" x14ac:dyDescent="0.25">
      <c r="A143" s="114"/>
      <c r="B143" s="114"/>
      <c r="C143" s="114"/>
      <c r="D143" s="114"/>
      <c r="E143" s="114"/>
      <c r="F143" s="114"/>
      <c r="G143" s="114"/>
      <c r="H143" s="114"/>
      <c r="I143" s="114"/>
      <c r="J143" s="114"/>
      <c r="K143" s="114"/>
      <c r="L143" s="114"/>
      <c r="M143" s="114"/>
      <c r="N143" s="19"/>
    </row>
    <row r="144" spans="1:14" x14ac:dyDescent="0.25">
      <c r="A144" s="114"/>
      <c r="B144" s="114"/>
      <c r="C144" s="114"/>
      <c r="D144" s="114"/>
      <c r="E144" s="114"/>
      <c r="F144" s="114"/>
      <c r="G144" s="114"/>
      <c r="H144" s="114"/>
      <c r="I144" s="114"/>
      <c r="J144" s="114"/>
      <c r="K144" s="114"/>
      <c r="L144" s="114"/>
      <c r="M144" s="114"/>
      <c r="N144" s="19"/>
    </row>
    <row r="145" spans="1:14" x14ac:dyDescent="0.25">
      <c r="A145" s="114"/>
      <c r="B145" s="114"/>
      <c r="C145" s="114"/>
      <c r="D145" s="114"/>
      <c r="E145" s="114"/>
      <c r="F145" s="114"/>
      <c r="G145" s="114"/>
      <c r="H145" s="114"/>
      <c r="I145" s="114"/>
      <c r="J145" s="114"/>
      <c r="K145" s="114"/>
      <c r="L145" s="114"/>
      <c r="M145" s="114"/>
      <c r="N145" s="19"/>
    </row>
    <row r="146" spans="1:14" x14ac:dyDescent="0.25">
      <c r="A146" s="114"/>
      <c r="B146" s="114"/>
      <c r="C146" s="114"/>
      <c r="D146" s="114"/>
      <c r="E146" s="114"/>
      <c r="F146" s="114"/>
      <c r="G146" s="114"/>
      <c r="H146" s="114"/>
      <c r="I146" s="114"/>
      <c r="J146" s="114"/>
      <c r="K146" s="114"/>
      <c r="L146" s="114"/>
      <c r="M146" s="114"/>
      <c r="N146" s="19"/>
    </row>
    <row r="147" spans="1:14" x14ac:dyDescent="0.25">
      <c r="A147" s="114"/>
      <c r="B147" s="114"/>
      <c r="C147" s="114"/>
      <c r="D147" s="114"/>
      <c r="E147" s="114"/>
      <c r="F147" s="114"/>
      <c r="G147" s="114"/>
      <c r="H147" s="114"/>
      <c r="I147" s="114"/>
      <c r="J147" s="114"/>
      <c r="K147" s="114"/>
      <c r="L147" s="114"/>
      <c r="M147" s="114"/>
      <c r="N147" s="19"/>
    </row>
    <row r="148" spans="1:14" x14ac:dyDescent="0.25">
      <c r="A148" s="114"/>
      <c r="B148" s="114"/>
      <c r="C148" s="114"/>
      <c r="D148" s="114"/>
      <c r="E148" s="114"/>
      <c r="F148" s="114"/>
      <c r="G148" s="114"/>
      <c r="H148" s="114"/>
      <c r="I148" s="114"/>
      <c r="J148" s="114"/>
      <c r="K148" s="114"/>
      <c r="L148" s="114"/>
      <c r="M148" s="114"/>
      <c r="N148" s="19"/>
    </row>
    <row r="149" spans="1:14" x14ac:dyDescent="0.25">
      <c r="A149" s="114"/>
      <c r="B149" s="114"/>
      <c r="C149" s="114"/>
      <c r="D149" s="114"/>
      <c r="E149" s="114"/>
      <c r="F149" s="114"/>
      <c r="G149" s="114"/>
      <c r="H149" s="114"/>
      <c r="I149" s="114"/>
      <c r="J149" s="114"/>
      <c r="K149" s="114"/>
      <c r="L149" s="114"/>
      <c r="M149" s="114"/>
      <c r="N149" s="19"/>
    </row>
    <row r="150" spans="1:14" x14ac:dyDescent="0.25">
      <c r="A150" s="114"/>
      <c r="B150" s="114"/>
      <c r="C150" s="114"/>
      <c r="D150" s="114"/>
      <c r="E150" s="114"/>
      <c r="F150" s="114"/>
      <c r="G150" s="114"/>
      <c r="H150" s="114"/>
      <c r="I150" s="114"/>
      <c r="J150" s="114"/>
      <c r="K150" s="114"/>
      <c r="L150" s="114"/>
      <c r="M150" s="114"/>
      <c r="N150" s="19"/>
    </row>
    <row r="151" spans="1:14" x14ac:dyDescent="0.25">
      <c r="A151" s="114"/>
      <c r="B151" s="114"/>
      <c r="C151" s="114"/>
      <c r="D151" s="114"/>
      <c r="E151" s="114"/>
      <c r="F151" s="114"/>
      <c r="G151" s="114"/>
      <c r="H151" s="114"/>
      <c r="I151" s="114"/>
      <c r="J151" s="114"/>
      <c r="K151" s="114"/>
      <c r="L151" s="114"/>
      <c r="M151" s="114"/>
      <c r="N151" s="19"/>
    </row>
    <row r="152" spans="1:14" x14ac:dyDescent="0.25">
      <c r="A152" s="114"/>
      <c r="B152" s="114"/>
      <c r="C152" s="114"/>
      <c r="D152" s="114"/>
      <c r="E152" s="114"/>
      <c r="F152" s="114"/>
      <c r="G152" s="114"/>
      <c r="H152" s="114"/>
      <c r="I152" s="114"/>
      <c r="J152" s="114"/>
      <c r="K152" s="114"/>
      <c r="L152" s="114"/>
      <c r="M152" s="114"/>
      <c r="N152" s="19"/>
    </row>
    <row r="153" spans="1:14" x14ac:dyDescent="0.25">
      <c r="A153" s="114"/>
      <c r="B153" s="114"/>
      <c r="C153" s="114"/>
      <c r="D153" s="114"/>
      <c r="E153" s="114"/>
      <c r="F153" s="114"/>
      <c r="G153" s="114"/>
      <c r="H153" s="114"/>
      <c r="I153" s="114"/>
      <c r="J153" s="114"/>
      <c r="K153" s="114"/>
      <c r="L153" s="114"/>
      <c r="M153" s="114"/>
      <c r="N153" s="19"/>
    </row>
    <row r="154" spans="1:14" x14ac:dyDescent="0.25">
      <c r="A154" s="114"/>
      <c r="B154" s="114"/>
      <c r="C154" s="114"/>
      <c r="D154" s="114"/>
      <c r="E154" s="114"/>
      <c r="F154" s="114"/>
      <c r="G154" s="114"/>
      <c r="H154" s="114"/>
      <c r="I154" s="114"/>
      <c r="J154" s="114"/>
      <c r="K154" s="114"/>
      <c r="L154" s="114"/>
      <c r="M154" s="114"/>
      <c r="N154" s="19"/>
    </row>
    <row r="155" spans="1:14" x14ac:dyDescent="0.25">
      <c r="A155" s="114"/>
      <c r="B155" s="114"/>
      <c r="C155" s="114"/>
      <c r="D155" s="114"/>
      <c r="E155" s="114"/>
      <c r="F155" s="114"/>
      <c r="G155" s="114"/>
      <c r="H155" s="114"/>
      <c r="I155" s="114"/>
      <c r="J155" s="114"/>
      <c r="K155" s="114"/>
      <c r="L155" s="114"/>
      <c r="M155" s="114"/>
      <c r="N155" s="19"/>
    </row>
    <row r="156" spans="1:14" x14ac:dyDescent="0.25">
      <c r="A156" s="114"/>
      <c r="B156" s="114"/>
      <c r="C156" s="114"/>
      <c r="D156" s="114"/>
      <c r="E156" s="114"/>
      <c r="F156" s="114"/>
      <c r="G156" s="114"/>
      <c r="H156" s="114"/>
      <c r="I156" s="114"/>
      <c r="J156" s="114"/>
      <c r="K156" s="114"/>
      <c r="L156" s="114"/>
      <c r="M156" s="114"/>
      <c r="N156" s="19"/>
    </row>
    <row r="157" spans="1:14" x14ac:dyDescent="0.25">
      <c r="A157" s="114"/>
      <c r="B157" s="114"/>
      <c r="C157" s="114"/>
      <c r="D157" s="114"/>
      <c r="E157" s="114"/>
      <c r="F157" s="114"/>
      <c r="G157" s="114"/>
      <c r="H157" s="114"/>
      <c r="I157" s="114"/>
      <c r="J157" s="114"/>
      <c r="K157" s="114"/>
      <c r="L157" s="114"/>
      <c r="M157" s="114"/>
      <c r="N157" s="19"/>
    </row>
    <row r="158" spans="1:14" x14ac:dyDescent="0.25">
      <c r="A158" s="114"/>
      <c r="B158" s="114"/>
      <c r="C158" s="114"/>
      <c r="D158" s="114"/>
      <c r="E158" s="114"/>
      <c r="F158" s="114"/>
      <c r="G158" s="114"/>
      <c r="H158" s="114"/>
      <c r="I158" s="114"/>
      <c r="J158" s="114"/>
      <c r="K158" s="114"/>
      <c r="L158" s="114"/>
      <c r="M158" s="114"/>
      <c r="N158" s="19"/>
    </row>
    <row r="159" spans="1:14" x14ac:dyDescent="0.25">
      <c r="A159" s="114"/>
      <c r="B159" s="114"/>
      <c r="C159" s="114"/>
      <c r="D159" s="114"/>
      <c r="E159" s="114"/>
      <c r="F159" s="114"/>
      <c r="G159" s="114"/>
      <c r="H159" s="114"/>
      <c r="I159" s="114"/>
      <c r="J159" s="114"/>
      <c r="K159" s="114"/>
      <c r="L159" s="114"/>
      <c r="M159" s="114"/>
      <c r="N159" s="19"/>
    </row>
    <row r="160" spans="1:14" x14ac:dyDescent="0.25">
      <c r="A160" s="114"/>
      <c r="B160" s="114"/>
      <c r="C160" s="114"/>
      <c r="D160" s="114"/>
      <c r="E160" s="114"/>
      <c r="F160" s="114"/>
      <c r="G160" s="114"/>
      <c r="H160" s="114"/>
      <c r="I160" s="114"/>
      <c r="J160" s="114"/>
      <c r="K160" s="114"/>
      <c r="L160" s="114"/>
      <c r="M160" s="114"/>
      <c r="N160" s="19"/>
    </row>
    <row r="161" spans="1:14" x14ac:dyDescent="0.25">
      <c r="A161" s="114"/>
      <c r="B161" s="114"/>
      <c r="C161" s="114"/>
      <c r="D161" s="114"/>
      <c r="E161" s="114"/>
      <c r="F161" s="114"/>
      <c r="G161" s="114"/>
      <c r="H161" s="114"/>
      <c r="I161" s="114"/>
      <c r="J161" s="114"/>
      <c r="K161" s="114"/>
      <c r="L161" s="114"/>
      <c r="M161" s="114"/>
      <c r="N161" s="19"/>
    </row>
    <row r="162" spans="1:14" x14ac:dyDescent="0.25">
      <c r="A162" s="114"/>
      <c r="B162" s="114"/>
      <c r="C162" s="114"/>
      <c r="D162" s="114"/>
      <c r="E162" s="114"/>
      <c r="F162" s="114"/>
      <c r="G162" s="114"/>
      <c r="H162" s="114"/>
      <c r="I162" s="114"/>
      <c r="J162" s="114"/>
      <c r="K162" s="114"/>
      <c r="L162" s="114"/>
      <c r="M162" s="114"/>
      <c r="N162" s="19"/>
    </row>
    <row r="163" spans="1:14" x14ac:dyDescent="0.25">
      <c r="A163" s="114"/>
      <c r="B163" s="114"/>
      <c r="C163" s="114"/>
      <c r="D163" s="114"/>
      <c r="E163" s="114"/>
      <c r="F163" s="114"/>
      <c r="G163" s="114"/>
      <c r="H163" s="114"/>
      <c r="I163" s="114"/>
      <c r="J163" s="114"/>
      <c r="K163" s="114"/>
      <c r="L163" s="114"/>
      <c r="M163" s="114"/>
      <c r="N163" s="19"/>
    </row>
    <row r="164" spans="1:14" x14ac:dyDescent="0.25">
      <c r="A164" s="114"/>
      <c r="B164" s="114"/>
      <c r="C164" s="114"/>
      <c r="D164" s="114"/>
      <c r="E164" s="114"/>
      <c r="F164" s="114"/>
      <c r="G164" s="114"/>
      <c r="H164" s="114"/>
      <c r="I164" s="114"/>
      <c r="J164" s="114"/>
      <c r="K164" s="114"/>
      <c r="L164" s="114"/>
      <c r="M164" s="114"/>
      <c r="N164" s="19"/>
    </row>
    <row r="165" spans="1:14" x14ac:dyDescent="0.25">
      <c r="A165" s="114"/>
      <c r="B165" s="114"/>
      <c r="C165" s="114"/>
      <c r="D165" s="114"/>
      <c r="E165" s="114"/>
      <c r="F165" s="114"/>
      <c r="G165" s="114"/>
      <c r="H165" s="114"/>
      <c r="I165" s="114"/>
      <c r="J165" s="114"/>
      <c r="K165" s="114"/>
      <c r="L165" s="114"/>
      <c r="M165" s="114"/>
      <c r="N165" s="19"/>
    </row>
    <row r="166" spans="1:14" x14ac:dyDescent="0.25">
      <c r="A166" s="114"/>
      <c r="B166" s="114"/>
      <c r="C166" s="114"/>
      <c r="D166" s="114"/>
      <c r="E166" s="114"/>
      <c r="F166" s="114"/>
      <c r="G166" s="114"/>
      <c r="H166" s="114"/>
      <c r="I166" s="114"/>
      <c r="J166" s="114"/>
      <c r="K166" s="114"/>
      <c r="L166" s="114"/>
      <c r="M166" s="114"/>
      <c r="N166" s="19"/>
    </row>
    <row r="167" spans="1:14" x14ac:dyDescent="0.25">
      <c r="A167" s="114"/>
      <c r="B167" s="114"/>
      <c r="C167" s="114"/>
      <c r="D167" s="114"/>
      <c r="E167" s="114"/>
      <c r="F167" s="114"/>
      <c r="G167" s="114"/>
      <c r="H167" s="114"/>
      <c r="I167" s="114"/>
      <c r="J167" s="114"/>
      <c r="K167" s="114"/>
      <c r="L167" s="114"/>
      <c r="M167" s="114"/>
      <c r="N167" s="19"/>
    </row>
    <row r="168" spans="1:14" x14ac:dyDescent="0.25">
      <c r="A168" s="114"/>
      <c r="B168" s="114"/>
      <c r="C168" s="114"/>
      <c r="D168" s="114"/>
      <c r="E168" s="114"/>
      <c r="F168" s="114"/>
      <c r="G168" s="114"/>
      <c r="H168" s="114"/>
      <c r="I168" s="114"/>
      <c r="J168" s="114"/>
      <c r="K168" s="114"/>
      <c r="L168" s="114"/>
      <c r="M168" s="114"/>
      <c r="N168" s="19"/>
    </row>
    <row r="169" spans="1:14" x14ac:dyDescent="0.25">
      <c r="A169" s="114"/>
      <c r="B169" s="114"/>
      <c r="C169" s="114"/>
      <c r="D169" s="114"/>
      <c r="E169" s="114"/>
      <c r="F169" s="114"/>
      <c r="G169" s="114"/>
      <c r="H169" s="114"/>
      <c r="I169" s="114"/>
      <c r="J169" s="114"/>
      <c r="K169" s="114"/>
      <c r="L169" s="114"/>
      <c r="M169" s="114"/>
      <c r="N169" s="19"/>
    </row>
    <row r="170" spans="1:14" x14ac:dyDescent="0.25">
      <c r="A170" s="114"/>
      <c r="B170" s="114"/>
      <c r="C170" s="114"/>
      <c r="D170" s="114"/>
      <c r="E170" s="114"/>
      <c r="F170" s="114"/>
      <c r="G170" s="114"/>
      <c r="H170" s="114"/>
      <c r="I170" s="114"/>
      <c r="J170" s="114"/>
      <c r="K170" s="114"/>
      <c r="L170" s="114"/>
      <c r="M170" s="114"/>
      <c r="N170" s="19"/>
    </row>
    <row r="171" spans="1:14" x14ac:dyDescent="0.25">
      <c r="A171" s="114"/>
      <c r="B171" s="114"/>
      <c r="C171" s="114"/>
      <c r="D171" s="114"/>
      <c r="E171" s="114"/>
      <c r="F171" s="114"/>
      <c r="G171" s="114"/>
      <c r="H171" s="114"/>
      <c r="I171" s="114"/>
      <c r="J171" s="114"/>
      <c r="K171" s="114"/>
      <c r="L171" s="114"/>
      <c r="M171" s="114"/>
      <c r="N171" s="19"/>
    </row>
    <row r="172" spans="1:14" x14ac:dyDescent="0.25">
      <c r="A172" s="114"/>
      <c r="B172" s="114"/>
      <c r="C172" s="114"/>
      <c r="D172" s="114"/>
      <c r="E172" s="114"/>
      <c r="F172" s="114"/>
      <c r="G172" s="114"/>
      <c r="H172" s="114"/>
      <c r="I172" s="114"/>
      <c r="J172" s="114"/>
      <c r="K172" s="114"/>
      <c r="L172" s="114"/>
      <c r="M172" s="114"/>
      <c r="N172" s="19"/>
    </row>
    <row r="173" spans="1:14" x14ac:dyDescent="0.25">
      <c r="A173" s="114"/>
      <c r="B173" s="114"/>
      <c r="C173" s="114"/>
      <c r="D173" s="114"/>
      <c r="E173" s="114"/>
      <c r="F173" s="114"/>
      <c r="G173" s="114"/>
      <c r="H173" s="114"/>
      <c r="I173" s="114"/>
      <c r="J173" s="114"/>
      <c r="K173" s="114"/>
      <c r="L173" s="114"/>
      <c r="M173" s="114"/>
      <c r="N173" s="19"/>
    </row>
    <row r="174" spans="1:14" x14ac:dyDescent="0.25">
      <c r="A174" s="114"/>
      <c r="B174" s="114"/>
      <c r="C174" s="114"/>
      <c r="D174" s="114"/>
      <c r="E174" s="114"/>
      <c r="F174" s="114"/>
      <c r="G174" s="114"/>
      <c r="H174" s="114"/>
      <c r="I174" s="114"/>
      <c r="J174" s="114"/>
      <c r="K174" s="114"/>
      <c r="L174" s="114"/>
      <c r="M174" s="114"/>
      <c r="N174" s="19"/>
    </row>
    <row r="175" spans="1:14" x14ac:dyDescent="0.25">
      <c r="A175" s="114"/>
      <c r="B175" s="114"/>
      <c r="C175" s="114"/>
      <c r="D175" s="114"/>
      <c r="E175" s="114"/>
      <c r="F175" s="114"/>
      <c r="G175" s="114"/>
      <c r="H175" s="114"/>
      <c r="I175" s="114"/>
      <c r="J175" s="114"/>
      <c r="K175" s="114"/>
      <c r="L175" s="114"/>
      <c r="M175" s="114"/>
      <c r="N175" s="19"/>
    </row>
    <row r="176" spans="1:14" x14ac:dyDescent="0.25">
      <c r="A176" s="114"/>
      <c r="B176" s="114"/>
      <c r="C176" s="114"/>
      <c r="D176" s="114"/>
      <c r="E176" s="114"/>
      <c r="F176" s="114"/>
      <c r="G176" s="114"/>
      <c r="H176" s="114"/>
      <c r="I176" s="114"/>
      <c r="J176" s="114"/>
      <c r="K176" s="114"/>
      <c r="L176" s="114"/>
      <c r="M176" s="114"/>
      <c r="N176" s="19"/>
    </row>
    <row r="177" spans="1:14" x14ac:dyDescent="0.25">
      <c r="A177" s="114"/>
      <c r="B177" s="114"/>
      <c r="C177" s="114"/>
      <c r="D177" s="114"/>
      <c r="E177" s="114"/>
      <c r="F177" s="114"/>
      <c r="G177" s="114"/>
      <c r="H177" s="114"/>
      <c r="I177" s="114"/>
      <c r="J177" s="114"/>
      <c r="K177" s="114"/>
      <c r="L177" s="114"/>
      <c r="M177" s="114"/>
      <c r="N177" s="19"/>
    </row>
    <row r="178" spans="1:14" x14ac:dyDescent="0.25">
      <c r="A178" s="114"/>
      <c r="B178" s="114"/>
      <c r="C178" s="114"/>
      <c r="D178" s="114"/>
      <c r="E178" s="114"/>
      <c r="F178" s="114"/>
      <c r="G178" s="114"/>
      <c r="H178" s="114"/>
      <c r="I178" s="114"/>
      <c r="J178" s="114"/>
      <c r="K178" s="114"/>
      <c r="L178" s="114"/>
      <c r="M178" s="114"/>
      <c r="N178" s="19"/>
    </row>
    <row r="179" spans="1:14" x14ac:dyDescent="0.25">
      <c r="A179" s="114"/>
      <c r="B179" s="114"/>
      <c r="C179" s="114"/>
      <c r="D179" s="114"/>
      <c r="E179" s="114"/>
      <c r="F179" s="114"/>
      <c r="G179" s="114"/>
      <c r="H179" s="114"/>
      <c r="I179" s="114"/>
      <c r="J179" s="114"/>
      <c r="K179" s="114"/>
      <c r="L179" s="114"/>
      <c r="M179" s="114"/>
      <c r="N179" s="19"/>
    </row>
    <row r="180" spans="1:14" x14ac:dyDescent="0.25">
      <c r="A180" s="114"/>
      <c r="B180" s="114"/>
      <c r="C180" s="114"/>
      <c r="D180" s="114"/>
      <c r="E180" s="114"/>
      <c r="F180" s="114"/>
      <c r="G180" s="114"/>
      <c r="H180" s="114"/>
      <c r="I180" s="114"/>
      <c r="J180" s="114"/>
      <c r="K180" s="114"/>
      <c r="L180" s="114"/>
      <c r="M180" s="114"/>
      <c r="N180" s="19"/>
    </row>
    <row r="181" spans="1:14" x14ac:dyDescent="0.25">
      <c r="A181" s="114"/>
      <c r="B181" s="114"/>
      <c r="C181" s="114"/>
      <c r="D181" s="114"/>
      <c r="E181" s="114"/>
      <c r="F181" s="114"/>
      <c r="G181" s="114"/>
      <c r="H181" s="114"/>
      <c r="I181" s="114"/>
      <c r="J181" s="114"/>
      <c r="K181" s="114"/>
      <c r="L181" s="114"/>
      <c r="M181" s="114"/>
      <c r="N181" s="19"/>
    </row>
    <row r="182" spans="1:14" x14ac:dyDescent="0.25">
      <c r="A182" s="114"/>
      <c r="B182" s="114"/>
      <c r="C182" s="114"/>
      <c r="D182" s="114"/>
      <c r="E182" s="114"/>
      <c r="F182" s="114"/>
      <c r="G182" s="114"/>
      <c r="H182" s="114"/>
      <c r="I182" s="114"/>
      <c r="J182" s="114"/>
      <c r="K182" s="114"/>
      <c r="L182" s="114"/>
      <c r="M182" s="114"/>
      <c r="N182" s="19"/>
    </row>
    <row r="183" spans="1:14" x14ac:dyDescent="0.25">
      <c r="A183" s="114"/>
      <c r="B183" s="114"/>
      <c r="C183" s="114"/>
      <c r="D183" s="114"/>
      <c r="E183" s="114"/>
      <c r="F183" s="114"/>
      <c r="G183" s="114"/>
      <c r="H183" s="114"/>
      <c r="I183" s="114"/>
      <c r="J183" s="114"/>
      <c r="K183" s="114"/>
      <c r="L183" s="114"/>
      <c r="M183" s="114"/>
      <c r="N183" s="19"/>
    </row>
    <row r="184" spans="1:14" x14ac:dyDescent="0.25">
      <c r="A184" s="114"/>
      <c r="B184" s="114"/>
      <c r="C184" s="114"/>
      <c r="D184" s="114"/>
      <c r="E184" s="114"/>
      <c r="F184" s="114"/>
      <c r="G184" s="114"/>
      <c r="H184" s="114"/>
      <c r="I184" s="114"/>
      <c r="J184" s="114"/>
      <c r="K184" s="114"/>
      <c r="L184" s="114"/>
      <c r="M184" s="114"/>
      <c r="N184" s="19"/>
    </row>
    <row r="185" spans="1:14" x14ac:dyDescent="0.25">
      <c r="A185" s="114"/>
      <c r="B185" s="114"/>
      <c r="C185" s="114"/>
      <c r="D185" s="114"/>
      <c r="E185" s="114"/>
      <c r="F185" s="114"/>
      <c r="G185" s="114"/>
      <c r="H185" s="114"/>
      <c r="I185" s="114"/>
      <c r="J185" s="114"/>
      <c r="K185" s="114"/>
      <c r="L185" s="114"/>
      <c r="M185" s="114"/>
      <c r="N185" s="19"/>
    </row>
    <row r="186" spans="1:14" x14ac:dyDescent="0.25">
      <c r="A186" s="114"/>
      <c r="B186" s="114"/>
      <c r="C186" s="114"/>
      <c r="D186" s="114"/>
      <c r="E186" s="114"/>
      <c r="F186" s="114"/>
      <c r="G186" s="114"/>
      <c r="H186" s="114"/>
      <c r="I186" s="114"/>
      <c r="J186" s="114"/>
      <c r="K186" s="114"/>
      <c r="L186" s="114"/>
      <c r="M186" s="114"/>
      <c r="N186" s="19"/>
    </row>
    <row r="187" spans="1:14" x14ac:dyDescent="0.25">
      <c r="A187" s="114"/>
      <c r="B187" s="114"/>
      <c r="C187" s="114"/>
      <c r="D187" s="114"/>
      <c r="E187" s="114"/>
      <c r="F187" s="114"/>
      <c r="G187" s="114"/>
      <c r="H187" s="114"/>
      <c r="I187" s="114"/>
      <c r="J187" s="114"/>
      <c r="K187" s="114"/>
      <c r="L187" s="114"/>
      <c r="M187" s="114"/>
      <c r="N187" s="19"/>
    </row>
    <row r="188" spans="1:14" x14ac:dyDescent="0.25">
      <c r="A188" s="114"/>
      <c r="B188" s="114"/>
      <c r="C188" s="114"/>
      <c r="D188" s="114"/>
      <c r="E188" s="114"/>
      <c r="F188" s="114"/>
      <c r="G188" s="114"/>
      <c r="H188" s="114"/>
      <c r="I188" s="114"/>
      <c r="J188" s="114"/>
      <c r="K188" s="114"/>
      <c r="L188" s="114"/>
      <c r="M188" s="114"/>
      <c r="N188" s="19"/>
    </row>
    <row r="189" spans="1:14" x14ac:dyDescent="0.25">
      <c r="A189" s="114"/>
      <c r="B189" s="114"/>
      <c r="C189" s="114"/>
      <c r="D189" s="114"/>
      <c r="E189" s="114"/>
      <c r="F189" s="114"/>
      <c r="G189" s="114"/>
      <c r="H189" s="114"/>
      <c r="I189" s="114"/>
      <c r="J189" s="114"/>
      <c r="K189" s="114"/>
      <c r="L189" s="114"/>
      <c r="M189" s="114"/>
      <c r="N189" s="19"/>
    </row>
    <row r="190" spans="1:14" x14ac:dyDescent="0.25">
      <c r="A190" s="114"/>
      <c r="B190" s="114"/>
      <c r="C190" s="114"/>
      <c r="D190" s="114"/>
      <c r="E190" s="114"/>
      <c r="F190" s="114"/>
      <c r="G190" s="114"/>
      <c r="H190" s="114"/>
      <c r="I190" s="114"/>
      <c r="J190" s="114"/>
      <c r="K190" s="114"/>
      <c r="L190" s="114"/>
      <c r="M190" s="114"/>
      <c r="N190" s="19"/>
    </row>
    <row r="191" spans="1:14" x14ac:dyDescent="0.25">
      <c r="A191" s="114"/>
      <c r="B191" s="114"/>
      <c r="C191" s="114"/>
      <c r="D191" s="114"/>
      <c r="E191" s="114"/>
      <c r="F191" s="114"/>
      <c r="G191" s="114"/>
      <c r="H191" s="114"/>
      <c r="I191" s="114"/>
      <c r="J191" s="114"/>
      <c r="K191" s="114"/>
      <c r="L191" s="114"/>
      <c r="M191" s="114"/>
      <c r="N191" s="19"/>
    </row>
    <row r="192" spans="1:14" x14ac:dyDescent="0.25">
      <c r="A192" s="114"/>
      <c r="B192" s="114"/>
      <c r="C192" s="114"/>
      <c r="D192" s="114"/>
      <c r="E192" s="114"/>
      <c r="F192" s="114"/>
      <c r="G192" s="114"/>
      <c r="H192" s="114"/>
      <c r="I192" s="114"/>
      <c r="J192" s="114"/>
      <c r="K192" s="114"/>
      <c r="L192" s="114"/>
      <c r="M192" s="114"/>
      <c r="N192" s="19"/>
    </row>
    <row r="193" spans="1:14" x14ac:dyDescent="0.25">
      <c r="A193" s="114"/>
      <c r="B193" s="114"/>
      <c r="C193" s="114"/>
      <c r="D193" s="114"/>
      <c r="E193" s="114"/>
      <c r="F193" s="114"/>
      <c r="G193" s="114"/>
      <c r="H193" s="114"/>
      <c r="I193" s="114"/>
      <c r="J193" s="114"/>
      <c r="K193" s="114"/>
      <c r="L193" s="114"/>
      <c r="M193" s="114"/>
      <c r="N193" s="19"/>
    </row>
    <row r="194" spans="1:14" x14ac:dyDescent="0.25">
      <c r="A194" s="114"/>
      <c r="B194" s="114"/>
      <c r="C194" s="114"/>
      <c r="D194" s="114"/>
      <c r="E194" s="114"/>
      <c r="F194" s="114"/>
      <c r="G194" s="114"/>
      <c r="H194" s="114"/>
      <c r="I194" s="114"/>
      <c r="J194" s="114"/>
      <c r="K194" s="114"/>
      <c r="L194" s="114"/>
      <c r="M194" s="114"/>
      <c r="N194" s="19"/>
    </row>
    <row r="195" spans="1:14" x14ac:dyDescent="0.25">
      <c r="A195" s="114"/>
      <c r="B195" s="114"/>
      <c r="C195" s="114"/>
      <c r="D195" s="114"/>
      <c r="E195" s="114"/>
      <c r="F195" s="114"/>
      <c r="G195" s="114"/>
      <c r="H195" s="114"/>
      <c r="I195" s="114"/>
      <c r="J195" s="114"/>
      <c r="K195" s="114"/>
      <c r="L195" s="114"/>
      <c r="M195" s="114"/>
      <c r="N195" s="19"/>
    </row>
    <row r="196" spans="1:14" x14ac:dyDescent="0.25">
      <c r="A196" s="114"/>
      <c r="B196" s="114"/>
      <c r="C196" s="114"/>
      <c r="D196" s="114"/>
      <c r="E196" s="114"/>
      <c r="F196" s="114"/>
      <c r="G196" s="114"/>
      <c r="H196" s="114"/>
      <c r="I196" s="114"/>
      <c r="J196" s="114"/>
      <c r="K196" s="114"/>
      <c r="L196" s="114"/>
      <c r="M196" s="114"/>
      <c r="N196" s="19"/>
    </row>
    <row r="197" spans="1:14" x14ac:dyDescent="0.25">
      <c r="A197" s="114"/>
      <c r="B197" s="114"/>
      <c r="C197" s="114"/>
      <c r="D197" s="114"/>
      <c r="E197" s="114"/>
      <c r="F197" s="114"/>
      <c r="G197" s="114"/>
      <c r="H197" s="114"/>
      <c r="I197" s="114"/>
      <c r="J197" s="114"/>
      <c r="K197" s="114"/>
      <c r="L197" s="114"/>
      <c r="M197" s="114"/>
      <c r="N197" s="19"/>
    </row>
    <row r="198" spans="1:14" x14ac:dyDescent="0.25">
      <c r="A198" s="114"/>
      <c r="B198" s="114"/>
      <c r="C198" s="114"/>
      <c r="D198" s="114"/>
      <c r="E198" s="114"/>
      <c r="F198" s="114"/>
      <c r="G198" s="114"/>
      <c r="H198" s="114"/>
      <c r="I198" s="114"/>
      <c r="J198" s="114"/>
      <c r="K198" s="114"/>
      <c r="L198" s="114"/>
      <c r="M198" s="114"/>
      <c r="N198" s="19"/>
    </row>
    <row r="199" spans="1:14" x14ac:dyDescent="0.25">
      <c r="A199" s="114"/>
      <c r="B199" s="114"/>
      <c r="C199" s="114"/>
      <c r="D199" s="114"/>
      <c r="E199" s="114"/>
      <c r="F199" s="114"/>
      <c r="G199" s="114"/>
      <c r="H199" s="114"/>
      <c r="I199" s="114"/>
      <c r="J199" s="114"/>
      <c r="K199" s="114"/>
      <c r="L199" s="114"/>
      <c r="M199" s="114"/>
      <c r="N199" s="19"/>
    </row>
    <row r="200" spans="1:14" x14ac:dyDescent="0.25">
      <c r="A200" s="114"/>
      <c r="B200" s="114"/>
      <c r="C200" s="114"/>
      <c r="D200" s="114"/>
      <c r="E200" s="114"/>
      <c r="F200" s="114"/>
      <c r="G200" s="114"/>
      <c r="H200" s="114"/>
      <c r="I200" s="114"/>
      <c r="J200" s="114"/>
      <c r="K200" s="114"/>
      <c r="L200" s="114"/>
      <c r="M200" s="114"/>
      <c r="N200" s="19"/>
    </row>
    <row r="201" spans="1:14" x14ac:dyDescent="0.25">
      <c r="A201" s="114"/>
      <c r="B201" s="114"/>
      <c r="C201" s="114"/>
      <c r="D201" s="114"/>
      <c r="E201" s="114"/>
      <c r="F201" s="114"/>
      <c r="G201" s="114"/>
      <c r="H201" s="114"/>
      <c r="I201" s="114"/>
      <c r="J201" s="114"/>
      <c r="K201" s="114"/>
      <c r="L201" s="114"/>
      <c r="M201" s="114"/>
      <c r="N201" s="19"/>
    </row>
    <row r="202" spans="1:14" x14ac:dyDescent="0.25">
      <c r="A202" s="114"/>
      <c r="B202" s="114"/>
      <c r="C202" s="114"/>
      <c r="D202" s="114"/>
      <c r="E202" s="114"/>
      <c r="F202" s="114"/>
      <c r="G202" s="114"/>
      <c r="H202" s="114"/>
      <c r="I202" s="114"/>
      <c r="J202" s="114"/>
      <c r="K202" s="114"/>
      <c r="L202" s="114"/>
      <c r="M202" s="114"/>
      <c r="N202" s="19"/>
    </row>
    <row r="203" spans="1:14" x14ac:dyDescent="0.25">
      <c r="A203" s="114"/>
      <c r="B203" s="114"/>
      <c r="C203" s="114"/>
      <c r="D203" s="114"/>
      <c r="E203" s="114"/>
      <c r="F203" s="114"/>
      <c r="G203" s="114"/>
      <c r="H203" s="114"/>
      <c r="I203" s="114"/>
      <c r="J203" s="114"/>
      <c r="K203" s="114"/>
      <c r="L203" s="114"/>
      <c r="M203" s="114"/>
      <c r="N203" s="19"/>
    </row>
    <row r="204" spans="1:14" x14ac:dyDescent="0.25">
      <c r="A204" s="114"/>
      <c r="B204" s="114"/>
      <c r="C204" s="114"/>
      <c r="D204" s="114"/>
      <c r="E204" s="114"/>
      <c r="F204" s="114"/>
      <c r="G204" s="114"/>
      <c r="H204" s="114"/>
      <c r="I204" s="114"/>
      <c r="J204" s="114"/>
      <c r="K204" s="114"/>
      <c r="L204" s="114"/>
      <c r="M204" s="114"/>
      <c r="N204" s="19"/>
    </row>
    <row r="205" spans="1:14" x14ac:dyDescent="0.25">
      <c r="A205" s="114"/>
      <c r="B205" s="114"/>
      <c r="C205" s="114"/>
      <c r="D205" s="114"/>
      <c r="E205" s="114"/>
      <c r="F205" s="114"/>
      <c r="G205" s="114"/>
      <c r="H205" s="114"/>
      <c r="I205" s="114"/>
      <c r="J205" s="114"/>
      <c r="K205" s="114"/>
      <c r="L205" s="114"/>
      <c r="M205" s="114"/>
      <c r="N205" s="19"/>
    </row>
    <row r="206" spans="1:14" x14ac:dyDescent="0.25">
      <c r="A206" s="114"/>
      <c r="B206" s="114"/>
      <c r="C206" s="114"/>
      <c r="D206" s="114"/>
      <c r="E206" s="114"/>
      <c r="F206" s="114"/>
      <c r="G206" s="114"/>
      <c r="H206" s="114"/>
      <c r="I206" s="114"/>
      <c r="J206" s="114"/>
      <c r="K206" s="114"/>
      <c r="L206" s="114"/>
      <c r="M206" s="114"/>
      <c r="N206" s="19"/>
    </row>
    <row r="207" spans="1:14" x14ac:dyDescent="0.25">
      <c r="A207" s="114"/>
      <c r="B207" s="114"/>
      <c r="C207" s="114"/>
      <c r="D207" s="114"/>
      <c r="E207" s="114"/>
      <c r="F207" s="114"/>
      <c r="G207" s="114"/>
      <c r="H207" s="114"/>
      <c r="I207" s="114"/>
      <c r="J207" s="114"/>
      <c r="K207" s="114"/>
      <c r="L207" s="114"/>
      <c r="M207" s="114"/>
      <c r="N207" s="19"/>
    </row>
    <row r="208" spans="1:14" x14ac:dyDescent="0.25">
      <c r="A208" s="114"/>
      <c r="B208" s="114"/>
      <c r="C208" s="114"/>
      <c r="D208" s="114"/>
      <c r="E208" s="114"/>
      <c r="F208" s="114"/>
      <c r="G208" s="114"/>
      <c r="H208" s="114"/>
      <c r="I208" s="114"/>
      <c r="J208" s="114"/>
      <c r="K208" s="114"/>
      <c r="L208" s="114"/>
      <c r="M208" s="114"/>
      <c r="N208" s="19"/>
    </row>
    <row r="209" spans="1:14" x14ac:dyDescent="0.25">
      <c r="A209" s="114"/>
      <c r="B209" s="114"/>
      <c r="C209" s="114"/>
      <c r="D209" s="114"/>
      <c r="E209" s="114"/>
      <c r="F209" s="114"/>
      <c r="G209" s="114"/>
      <c r="H209" s="114"/>
      <c r="I209" s="114"/>
      <c r="J209" s="114"/>
      <c r="K209" s="114"/>
      <c r="L209" s="114"/>
      <c r="M209" s="114"/>
      <c r="N209" s="19"/>
    </row>
    <row r="210" spans="1:14" x14ac:dyDescent="0.25">
      <c r="A210" s="114"/>
      <c r="B210" s="114"/>
      <c r="C210" s="114"/>
      <c r="D210" s="114"/>
      <c r="E210" s="114"/>
      <c r="F210" s="114"/>
      <c r="G210" s="114"/>
      <c r="H210" s="114"/>
      <c r="I210" s="114"/>
      <c r="J210" s="114"/>
      <c r="K210" s="114"/>
      <c r="L210" s="114"/>
      <c r="M210" s="114"/>
      <c r="N210" s="19"/>
    </row>
    <row r="211" spans="1:14" x14ac:dyDescent="0.25">
      <c r="A211" s="114"/>
      <c r="B211" s="114"/>
      <c r="C211" s="114"/>
      <c r="D211" s="114"/>
      <c r="E211" s="114"/>
      <c r="F211" s="114"/>
      <c r="G211" s="114"/>
      <c r="H211" s="114"/>
      <c r="I211" s="114"/>
      <c r="J211" s="114"/>
      <c r="K211" s="114"/>
      <c r="L211" s="114"/>
      <c r="M211" s="114"/>
      <c r="N211" s="19"/>
    </row>
    <row r="212" spans="1:14" x14ac:dyDescent="0.25">
      <c r="A212" s="114"/>
      <c r="B212" s="114"/>
      <c r="C212" s="114"/>
      <c r="D212" s="114"/>
      <c r="E212" s="114"/>
      <c r="F212" s="114"/>
      <c r="G212" s="114"/>
      <c r="H212" s="114"/>
      <c r="I212" s="114"/>
      <c r="J212" s="114"/>
      <c r="K212" s="114"/>
      <c r="L212" s="114"/>
      <c r="M212" s="114"/>
      <c r="N212" s="19"/>
    </row>
    <row r="213" spans="1:14" x14ac:dyDescent="0.25">
      <c r="A213" s="114"/>
      <c r="B213" s="114"/>
      <c r="C213" s="114"/>
      <c r="D213" s="114"/>
      <c r="E213" s="114"/>
      <c r="F213" s="114"/>
      <c r="G213" s="114"/>
      <c r="H213" s="114"/>
      <c r="I213" s="114"/>
      <c r="J213" s="114"/>
      <c r="K213" s="114"/>
      <c r="L213" s="114"/>
      <c r="M213" s="114"/>
      <c r="N213" s="19"/>
    </row>
    <row r="214" spans="1:14" x14ac:dyDescent="0.25">
      <c r="A214" s="114"/>
      <c r="B214" s="114"/>
      <c r="C214" s="114"/>
      <c r="D214" s="114"/>
      <c r="E214" s="114"/>
      <c r="F214" s="114"/>
      <c r="G214" s="114"/>
      <c r="H214" s="114"/>
      <c r="I214" s="114"/>
      <c r="J214" s="114"/>
      <c r="K214" s="114"/>
      <c r="L214" s="114"/>
      <c r="M214" s="114"/>
      <c r="N214" s="19"/>
    </row>
    <row r="215" spans="1:14" x14ac:dyDescent="0.25">
      <c r="A215" s="114"/>
      <c r="B215" s="114"/>
      <c r="C215" s="114"/>
      <c r="D215" s="114"/>
      <c r="E215" s="114"/>
      <c r="F215" s="114"/>
      <c r="G215" s="114"/>
      <c r="H215" s="114"/>
      <c r="I215" s="114"/>
      <c r="J215" s="114"/>
      <c r="K215" s="114"/>
      <c r="L215" s="114"/>
      <c r="M215" s="114"/>
      <c r="N215" s="19"/>
    </row>
    <row r="216" spans="1:14" x14ac:dyDescent="0.25">
      <c r="A216" s="114"/>
      <c r="B216" s="114"/>
      <c r="C216" s="114"/>
      <c r="D216" s="114"/>
      <c r="E216" s="114"/>
      <c r="F216" s="114"/>
      <c r="G216" s="114"/>
      <c r="H216" s="114"/>
      <c r="I216" s="114"/>
      <c r="J216" s="114"/>
      <c r="K216" s="114"/>
      <c r="L216" s="114"/>
      <c r="M216" s="114"/>
      <c r="N216" s="19"/>
    </row>
    <row r="217" spans="1:14" x14ac:dyDescent="0.25">
      <c r="A217" s="114"/>
      <c r="B217" s="114"/>
      <c r="C217" s="114"/>
      <c r="D217" s="114"/>
      <c r="E217" s="114"/>
      <c r="F217" s="114"/>
      <c r="G217" s="114"/>
      <c r="H217" s="114"/>
      <c r="I217" s="114"/>
      <c r="J217" s="114"/>
      <c r="K217" s="114"/>
      <c r="L217" s="114"/>
      <c r="M217" s="114"/>
      <c r="N217" s="19"/>
    </row>
    <row r="218" spans="1:14" x14ac:dyDescent="0.25">
      <c r="A218" s="114"/>
      <c r="B218" s="114"/>
      <c r="C218" s="114"/>
      <c r="D218" s="114"/>
      <c r="E218" s="114"/>
      <c r="F218" s="114"/>
      <c r="G218" s="114"/>
      <c r="H218" s="114"/>
      <c r="I218" s="114"/>
      <c r="J218" s="114"/>
      <c r="K218" s="114"/>
      <c r="L218" s="114"/>
      <c r="M218" s="114"/>
      <c r="N218" s="19"/>
    </row>
    <row r="219" spans="1:14" x14ac:dyDescent="0.25">
      <c r="A219" s="114"/>
      <c r="B219" s="114"/>
      <c r="C219" s="114"/>
      <c r="D219" s="114"/>
      <c r="E219" s="114"/>
      <c r="F219" s="114"/>
      <c r="G219" s="114"/>
      <c r="H219" s="114"/>
      <c r="I219" s="114"/>
      <c r="J219" s="114"/>
      <c r="K219" s="114"/>
      <c r="L219" s="114"/>
      <c r="M219" s="114"/>
      <c r="N219" s="19"/>
    </row>
    <row r="220" spans="1:14" x14ac:dyDescent="0.25">
      <c r="A220" s="114"/>
      <c r="B220" s="114"/>
      <c r="C220" s="114"/>
      <c r="D220" s="114"/>
      <c r="E220" s="114"/>
      <c r="F220" s="114"/>
      <c r="G220" s="114"/>
      <c r="H220" s="114"/>
      <c r="I220" s="114"/>
      <c r="J220" s="114"/>
      <c r="K220" s="114"/>
      <c r="L220" s="114"/>
      <c r="M220" s="114"/>
      <c r="N220" s="19"/>
    </row>
    <row r="221" spans="1:14" x14ac:dyDescent="0.25">
      <c r="A221" s="114"/>
      <c r="B221" s="114"/>
      <c r="C221" s="114"/>
      <c r="D221" s="114"/>
      <c r="E221" s="114"/>
      <c r="F221" s="114"/>
      <c r="G221" s="114"/>
      <c r="H221" s="114"/>
      <c r="I221" s="114"/>
      <c r="J221" s="114"/>
      <c r="K221" s="114"/>
      <c r="L221" s="114"/>
      <c r="M221" s="114"/>
      <c r="N221" s="19"/>
    </row>
    <row r="222" spans="1:14" x14ac:dyDescent="0.25">
      <c r="A222" s="114"/>
      <c r="B222" s="114"/>
      <c r="C222" s="114"/>
      <c r="D222" s="114"/>
      <c r="E222" s="114"/>
      <c r="F222" s="114"/>
      <c r="G222" s="114"/>
      <c r="H222" s="114"/>
      <c r="I222" s="114"/>
      <c r="J222" s="114"/>
      <c r="K222" s="114"/>
      <c r="L222" s="114"/>
      <c r="M222" s="114"/>
      <c r="N222" s="19"/>
    </row>
    <row r="223" spans="1:14" x14ac:dyDescent="0.25">
      <c r="A223" s="114"/>
      <c r="B223" s="114"/>
      <c r="C223" s="114"/>
      <c r="D223" s="114"/>
      <c r="E223" s="114"/>
      <c r="F223" s="114"/>
      <c r="G223" s="114"/>
      <c r="H223" s="114"/>
      <c r="I223" s="114"/>
      <c r="J223" s="114"/>
      <c r="K223" s="114"/>
      <c r="L223" s="114"/>
      <c r="M223" s="114"/>
      <c r="N223" s="19"/>
    </row>
    <row r="224" spans="1:14" x14ac:dyDescent="0.25">
      <c r="A224" s="114"/>
      <c r="B224" s="114"/>
      <c r="C224" s="114"/>
      <c r="D224" s="114"/>
      <c r="E224" s="114"/>
      <c r="F224" s="114"/>
      <c r="G224" s="114"/>
      <c r="H224" s="114"/>
      <c r="I224" s="114"/>
      <c r="J224" s="114"/>
      <c r="K224" s="114"/>
      <c r="L224" s="114"/>
      <c r="M224" s="114"/>
      <c r="N224" s="19"/>
    </row>
    <row r="225" spans="1:14" x14ac:dyDescent="0.25">
      <c r="A225" s="114"/>
      <c r="B225" s="114"/>
      <c r="C225" s="114"/>
      <c r="D225" s="114"/>
      <c r="E225" s="114"/>
      <c r="F225" s="114"/>
      <c r="G225" s="114"/>
      <c r="H225" s="114"/>
      <c r="I225" s="114"/>
      <c r="J225" s="114"/>
      <c r="K225" s="114"/>
      <c r="L225" s="114"/>
      <c r="M225" s="114"/>
      <c r="N225" s="19"/>
    </row>
    <row r="226" spans="1:14" x14ac:dyDescent="0.25">
      <c r="A226" s="114"/>
      <c r="B226" s="114"/>
      <c r="C226" s="114"/>
      <c r="D226" s="114"/>
      <c r="E226" s="114"/>
      <c r="F226" s="114"/>
      <c r="G226" s="114"/>
      <c r="H226" s="114"/>
      <c r="I226" s="114"/>
      <c r="J226" s="114"/>
      <c r="K226" s="114"/>
      <c r="L226" s="114"/>
      <c r="M226" s="114"/>
      <c r="N226" s="19"/>
    </row>
    <row r="227" spans="1:14" x14ac:dyDescent="0.25">
      <c r="A227" s="114"/>
      <c r="B227" s="114"/>
      <c r="C227" s="114"/>
      <c r="D227" s="114"/>
      <c r="E227" s="114"/>
      <c r="F227" s="114"/>
      <c r="G227" s="114"/>
      <c r="H227" s="114"/>
      <c r="I227" s="114"/>
      <c r="J227" s="114"/>
      <c r="K227" s="114"/>
      <c r="L227" s="114"/>
      <c r="M227" s="114"/>
      <c r="N227" s="19"/>
    </row>
    <row r="228" spans="1:14" x14ac:dyDescent="0.25">
      <c r="A228" s="114"/>
      <c r="B228" s="114"/>
      <c r="C228" s="114"/>
      <c r="D228" s="114"/>
      <c r="E228" s="114"/>
      <c r="F228" s="114"/>
      <c r="G228" s="114"/>
      <c r="H228" s="114"/>
      <c r="I228" s="114"/>
      <c r="J228" s="114"/>
      <c r="K228" s="114"/>
      <c r="L228" s="114"/>
      <c r="M228" s="114"/>
      <c r="N228" s="19"/>
    </row>
    <row r="229" spans="1:14" x14ac:dyDescent="0.25">
      <c r="A229" s="114"/>
      <c r="B229" s="114"/>
      <c r="C229" s="114"/>
      <c r="D229" s="114"/>
      <c r="E229" s="114"/>
      <c r="F229" s="114"/>
      <c r="G229" s="114"/>
      <c r="H229" s="114"/>
      <c r="I229" s="114"/>
      <c r="J229" s="114"/>
      <c r="K229" s="114"/>
      <c r="L229" s="114"/>
      <c r="M229" s="114"/>
      <c r="N229" s="19"/>
    </row>
    <row r="230" spans="1:14" x14ac:dyDescent="0.25">
      <c r="A230" s="114"/>
      <c r="B230" s="114"/>
      <c r="C230" s="114"/>
      <c r="D230" s="114"/>
      <c r="E230" s="114"/>
      <c r="F230" s="114"/>
      <c r="G230" s="114"/>
      <c r="H230" s="114"/>
      <c r="I230" s="114"/>
      <c r="J230" s="114"/>
      <c r="K230" s="114"/>
      <c r="L230" s="114"/>
      <c r="M230" s="114"/>
      <c r="N230" s="19"/>
    </row>
    <row r="231" spans="1:14" x14ac:dyDescent="0.25">
      <c r="A231" s="114"/>
      <c r="B231" s="114"/>
      <c r="C231" s="114"/>
      <c r="D231" s="114"/>
      <c r="E231" s="114"/>
      <c r="F231" s="114"/>
      <c r="G231" s="114"/>
      <c r="H231" s="114"/>
      <c r="I231" s="114"/>
      <c r="J231" s="114"/>
      <c r="K231" s="114"/>
      <c r="L231" s="114"/>
      <c r="M231" s="114"/>
      <c r="N231" s="19"/>
    </row>
    <row r="232" spans="1:14" x14ac:dyDescent="0.25">
      <c r="A232" s="114"/>
      <c r="B232" s="114"/>
      <c r="C232" s="114"/>
      <c r="D232" s="114"/>
      <c r="E232" s="114"/>
      <c r="F232" s="114"/>
      <c r="G232" s="114"/>
      <c r="H232" s="114"/>
      <c r="I232" s="114"/>
      <c r="J232" s="114"/>
      <c r="K232" s="114"/>
      <c r="L232" s="114"/>
      <c r="M232" s="114"/>
      <c r="N232" s="19"/>
    </row>
    <row r="233" spans="1:14" x14ac:dyDescent="0.25">
      <c r="A233" s="114"/>
      <c r="B233" s="114"/>
      <c r="C233" s="114"/>
      <c r="D233" s="114"/>
      <c r="E233" s="114"/>
      <c r="F233" s="114"/>
      <c r="G233" s="114"/>
      <c r="H233" s="114"/>
      <c r="I233" s="114"/>
      <c r="J233" s="114"/>
      <c r="K233" s="114"/>
      <c r="L233" s="114"/>
      <c r="M233" s="114"/>
      <c r="N233" s="19"/>
    </row>
    <row r="234" spans="1:14" x14ac:dyDescent="0.25">
      <c r="A234" s="114"/>
      <c r="B234" s="114"/>
      <c r="C234" s="114"/>
      <c r="D234" s="114"/>
      <c r="E234" s="114"/>
      <c r="F234" s="114"/>
      <c r="G234" s="114"/>
      <c r="H234" s="114"/>
      <c r="I234" s="114"/>
      <c r="J234" s="114"/>
      <c r="K234" s="114"/>
      <c r="L234" s="114"/>
      <c r="M234" s="114"/>
      <c r="N234" s="19"/>
    </row>
    <row r="235" spans="1:14" x14ac:dyDescent="0.25">
      <c r="A235" s="114"/>
      <c r="B235" s="114"/>
      <c r="C235" s="114"/>
      <c r="D235" s="114"/>
      <c r="E235" s="114"/>
      <c r="F235" s="114"/>
      <c r="G235" s="114"/>
      <c r="H235" s="114"/>
      <c r="I235" s="114"/>
      <c r="J235" s="114"/>
      <c r="K235" s="114"/>
      <c r="L235" s="114"/>
      <c r="M235" s="114"/>
      <c r="N235" s="19"/>
    </row>
    <row r="236" spans="1:14" x14ac:dyDescent="0.25">
      <c r="A236" s="114"/>
      <c r="B236" s="114"/>
      <c r="C236" s="114"/>
      <c r="D236" s="114"/>
      <c r="E236" s="114"/>
      <c r="F236" s="114"/>
      <c r="G236" s="114"/>
      <c r="H236" s="114"/>
      <c r="I236" s="114"/>
      <c r="J236" s="114"/>
      <c r="K236" s="114"/>
      <c r="L236" s="114"/>
      <c r="M236" s="114"/>
      <c r="N236" s="19"/>
    </row>
    <row r="237" spans="1:14" x14ac:dyDescent="0.25">
      <c r="A237" s="114"/>
      <c r="B237" s="114"/>
      <c r="C237" s="114"/>
      <c r="D237" s="114"/>
      <c r="E237" s="114"/>
      <c r="F237" s="114"/>
      <c r="G237" s="114"/>
      <c r="H237" s="114"/>
      <c r="I237" s="114"/>
      <c r="J237" s="114"/>
      <c r="K237" s="114"/>
      <c r="L237" s="114"/>
      <c r="M237" s="114"/>
      <c r="N237" s="19"/>
    </row>
    <row r="238" spans="1:14" x14ac:dyDescent="0.25">
      <c r="A238" s="114"/>
      <c r="B238" s="114"/>
      <c r="C238" s="114"/>
      <c r="D238" s="114"/>
      <c r="E238" s="114"/>
      <c r="F238" s="114"/>
      <c r="G238" s="114"/>
      <c r="H238" s="114"/>
      <c r="I238" s="114"/>
      <c r="J238" s="114"/>
      <c r="K238" s="114"/>
      <c r="L238" s="114"/>
      <c r="M238" s="114"/>
      <c r="N238" s="19"/>
    </row>
    <row r="239" spans="1:14" x14ac:dyDescent="0.25">
      <c r="A239" s="114"/>
      <c r="B239" s="114"/>
      <c r="C239" s="114"/>
      <c r="D239" s="114"/>
      <c r="E239" s="114"/>
      <c r="F239" s="114"/>
      <c r="G239" s="114"/>
      <c r="H239" s="114"/>
      <c r="I239" s="114"/>
      <c r="J239" s="114"/>
      <c r="K239" s="114"/>
      <c r="L239" s="114"/>
      <c r="M239" s="114"/>
      <c r="N239" s="19"/>
    </row>
    <row r="240" spans="1:14" x14ac:dyDescent="0.25">
      <c r="A240" s="114"/>
      <c r="B240" s="114"/>
      <c r="C240" s="114"/>
      <c r="D240" s="114"/>
      <c r="E240" s="114"/>
      <c r="F240" s="114"/>
      <c r="G240" s="114"/>
      <c r="H240" s="114"/>
      <c r="I240" s="114"/>
      <c r="J240" s="114"/>
      <c r="K240" s="114"/>
      <c r="L240" s="114"/>
      <c r="M240" s="114"/>
      <c r="N240" s="19"/>
    </row>
    <row r="241" spans="1:14" x14ac:dyDescent="0.25">
      <c r="A241" s="114"/>
      <c r="B241" s="114"/>
      <c r="C241" s="114"/>
      <c r="D241" s="114"/>
      <c r="E241" s="114"/>
      <c r="F241" s="114"/>
      <c r="G241" s="114"/>
      <c r="H241" s="114"/>
      <c r="I241" s="114"/>
      <c r="J241" s="114"/>
      <c r="K241" s="114"/>
      <c r="L241" s="114"/>
      <c r="M241" s="114"/>
      <c r="N241" s="19"/>
    </row>
    <row r="242" spans="1:14" x14ac:dyDescent="0.25">
      <c r="A242" s="114"/>
      <c r="B242" s="114"/>
      <c r="C242" s="114"/>
      <c r="D242" s="114"/>
      <c r="E242" s="114"/>
      <c r="F242" s="114"/>
      <c r="G242" s="114"/>
      <c r="H242" s="114"/>
      <c r="I242" s="114"/>
      <c r="J242" s="114"/>
      <c r="K242" s="114"/>
      <c r="L242" s="114"/>
      <c r="M242" s="114"/>
      <c r="N242" s="19"/>
    </row>
    <row r="243" spans="1:14" x14ac:dyDescent="0.25">
      <c r="A243" s="114"/>
      <c r="B243" s="114"/>
      <c r="C243" s="114"/>
      <c r="D243" s="114"/>
      <c r="E243" s="114"/>
      <c r="F243" s="114"/>
      <c r="G243" s="114"/>
      <c r="H243" s="114"/>
      <c r="I243" s="114"/>
      <c r="J243" s="114"/>
      <c r="K243" s="114"/>
      <c r="L243" s="114"/>
      <c r="M243" s="114"/>
      <c r="N243" s="19"/>
    </row>
    <row r="244" spans="1:14" x14ac:dyDescent="0.25">
      <c r="A244" s="114"/>
      <c r="B244" s="114"/>
      <c r="C244" s="114"/>
      <c r="D244" s="114"/>
      <c r="E244" s="114"/>
      <c r="F244" s="114"/>
      <c r="G244" s="114"/>
      <c r="H244" s="114"/>
      <c r="I244" s="114"/>
      <c r="J244" s="114"/>
      <c r="K244" s="114"/>
      <c r="L244" s="114"/>
      <c r="M244" s="114"/>
      <c r="N244" s="19"/>
    </row>
    <row r="245" spans="1:14" x14ac:dyDescent="0.25">
      <c r="A245" s="114"/>
      <c r="B245" s="114"/>
      <c r="C245" s="114"/>
      <c r="D245" s="114"/>
      <c r="E245" s="114"/>
      <c r="F245" s="114"/>
      <c r="G245" s="114"/>
      <c r="H245" s="114"/>
      <c r="I245" s="114"/>
      <c r="J245" s="114"/>
      <c r="K245" s="114"/>
      <c r="L245" s="114"/>
      <c r="M245" s="114"/>
      <c r="N245" s="19"/>
    </row>
    <row r="246" spans="1:14" x14ac:dyDescent="0.25">
      <c r="A246" s="114"/>
      <c r="B246" s="114"/>
      <c r="C246" s="114"/>
      <c r="D246" s="114"/>
      <c r="E246" s="114"/>
      <c r="F246" s="114"/>
      <c r="G246" s="114"/>
      <c r="H246" s="114"/>
      <c r="I246" s="114"/>
      <c r="J246" s="114"/>
      <c r="K246" s="114"/>
      <c r="L246" s="114"/>
      <c r="M246" s="114"/>
      <c r="N246" s="19"/>
    </row>
    <row r="247" spans="1:14" x14ac:dyDescent="0.25">
      <c r="A247" s="114"/>
      <c r="B247" s="114"/>
      <c r="C247" s="114"/>
      <c r="D247" s="114"/>
      <c r="E247" s="114"/>
      <c r="F247" s="114"/>
      <c r="G247" s="114"/>
      <c r="H247" s="114"/>
      <c r="I247" s="114"/>
      <c r="J247" s="114"/>
      <c r="K247" s="114"/>
      <c r="L247" s="114"/>
      <c r="M247" s="114"/>
      <c r="N247" s="19"/>
    </row>
    <row r="248" spans="1:14" x14ac:dyDescent="0.25">
      <c r="A248" s="114"/>
      <c r="B248" s="114"/>
      <c r="C248" s="114"/>
      <c r="D248" s="114"/>
      <c r="E248" s="114"/>
      <c r="F248" s="114"/>
      <c r="G248" s="114"/>
      <c r="H248" s="114"/>
      <c r="I248" s="114"/>
      <c r="J248" s="114"/>
      <c r="K248" s="114"/>
      <c r="L248" s="114"/>
      <c r="M248" s="114"/>
      <c r="N248" s="19"/>
    </row>
    <row r="249" spans="1:14" x14ac:dyDescent="0.25">
      <c r="A249" s="114"/>
      <c r="B249" s="114"/>
      <c r="C249" s="114"/>
      <c r="D249" s="114"/>
      <c r="E249" s="114"/>
      <c r="F249" s="114"/>
      <c r="G249" s="114"/>
      <c r="H249" s="114"/>
      <c r="I249" s="114"/>
      <c r="J249" s="114"/>
      <c r="K249" s="114"/>
      <c r="L249" s="114"/>
      <c r="M249" s="114"/>
      <c r="N249" s="19"/>
    </row>
    <row r="250" spans="1:14" x14ac:dyDescent="0.25">
      <c r="A250" s="114"/>
      <c r="B250" s="114"/>
      <c r="C250" s="114"/>
      <c r="D250" s="114"/>
      <c r="E250" s="114"/>
      <c r="F250" s="114"/>
      <c r="G250" s="114"/>
      <c r="H250" s="114"/>
      <c r="I250" s="114"/>
      <c r="J250" s="114"/>
      <c r="K250" s="114"/>
      <c r="L250" s="114"/>
      <c r="M250" s="114"/>
      <c r="N250" s="19"/>
    </row>
    <row r="251" spans="1:14" x14ac:dyDescent="0.25">
      <c r="A251" s="114"/>
      <c r="B251" s="114"/>
      <c r="C251" s="114"/>
      <c r="D251" s="114"/>
      <c r="E251" s="114"/>
      <c r="F251" s="114"/>
      <c r="G251" s="114"/>
      <c r="H251" s="114"/>
      <c r="I251" s="114"/>
      <c r="J251" s="114"/>
      <c r="K251" s="114"/>
      <c r="L251" s="114"/>
      <c r="M251" s="114"/>
      <c r="N251" s="19"/>
    </row>
    <row r="252" spans="1:14" x14ac:dyDescent="0.25">
      <c r="A252" s="114"/>
      <c r="B252" s="114"/>
      <c r="C252" s="114"/>
      <c r="D252" s="114"/>
      <c r="E252" s="114"/>
      <c r="F252" s="114"/>
      <c r="G252" s="114"/>
      <c r="H252" s="114"/>
      <c r="I252" s="114"/>
      <c r="J252" s="114"/>
      <c r="K252" s="114"/>
      <c r="L252" s="114"/>
      <c r="M252" s="114"/>
      <c r="N252" s="19"/>
    </row>
    <row r="253" spans="1:14" x14ac:dyDescent="0.25">
      <c r="A253" s="114"/>
      <c r="B253" s="114"/>
      <c r="C253" s="114"/>
      <c r="D253" s="114"/>
      <c r="E253" s="114"/>
      <c r="F253" s="114"/>
      <c r="G253" s="114"/>
      <c r="H253" s="114"/>
      <c r="I253" s="114"/>
      <c r="J253" s="114"/>
      <c r="K253" s="114"/>
      <c r="L253" s="114"/>
      <c r="M253" s="114"/>
      <c r="N253" s="19"/>
    </row>
    <row r="254" spans="1:14" x14ac:dyDescent="0.25">
      <c r="A254" s="114"/>
      <c r="B254" s="114"/>
      <c r="C254" s="114"/>
      <c r="D254" s="114"/>
      <c r="E254" s="114"/>
      <c r="F254" s="114"/>
      <c r="G254" s="114"/>
      <c r="H254" s="114"/>
      <c r="I254" s="114"/>
      <c r="J254" s="114"/>
      <c r="K254" s="114"/>
      <c r="L254" s="114"/>
      <c r="M254" s="114"/>
      <c r="N254" s="19"/>
    </row>
    <row r="255" spans="1:14" x14ac:dyDescent="0.25">
      <c r="A255" s="114"/>
      <c r="B255" s="114"/>
      <c r="C255" s="114"/>
      <c r="D255" s="114"/>
      <c r="E255" s="114"/>
      <c r="F255" s="114"/>
      <c r="G255" s="114"/>
      <c r="H255" s="114"/>
      <c r="I255" s="114"/>
      <c r="J255" s="114"/>
      <c r="K255" s="114"/>
      <c r="L255" s="114"/>
      <c r="M255" s="114"/>
      <c r="N255" s="19"/>
    </row>
    <row r="256" spans="1:14" x14ac:dyDescent="0.25">
      <c r="A256" s="114"/>
      <c r="B256" s="114"/>
      <c r="C256" s="114"/>
      <c r="D256" s="114"/>
      <c r="E256" s="114"/>
      <c r="F256" s="114"/>
      <c r="G256" s="114"/>
      <c r="H256" s="114"/>
      <c r="I256" s="114"/>
      <c r="J256" s="114"/>
      <c r="K256" s="114"/>
      <c r="L256" s="114"/>
      <c r="M256" s="114"/>
      <c r="N256" s="19"/>
    </row>
    <row r="257" spans="1:14" x14ac:dyDescent="0.25">
      <c r="A257" s="114"/>
      <c r="B257" s="114"/>
      <c r="C257" s="114"/>
      <c r="D257" s="114"/>
      <c r="E257" s="114"/>
      <c r="F257" s="114"/>
      <c r="G257" s="114"/>
      <c r="H257" s="114"/>
      <c r="I257" s="114"/>
      <c r="J257" s="114"/>
      <c r="K257" s="114"/>
      <c r="L257" s="114"/>
      <c r="M257" s="114"/>
      <c r="N257" s="19"/>
    </row>
    <row r="258" spans="1:14" x14ac:dyDescent="0.25">
      <c r="A258" s="114"/>
      <c r="B258" s="114"/>
      <c r="C258" s="114"/>
      <c r="D258" s="114"/>
      <c r="E258" s="114"/>
      <c r="F258" s="114"/>
      <c r="G258" s="114"/>
      <c r="H258" s="114"/>
      <c r="I258" s="114"/>
      <c r="J258" s="114"/>
      <c r="K258" s="114"/>
      <c r="L258" s="114"/>
      <c r="M258" s="114"/>
      <c r="N258" s="19"/>
    </row>
    <row r="259" spans="1:14" x14ac:dyDescent="0.25">
      <c r="A259" s="114"/>
      <c r="B259" s="114"/>
      <c r="C259" s="114"/>
      <c r="D259" s="114"/>
      <c r="E259" s="114"/>
      <c r="F259" s="114"/>
      <c r="G259" s="114"/>
      <c r="H259" s="114"/>
      <c r="I259" s="114"/>
      <c r="J259" s="114"/>
      <c r="K259" s="114"/>
      <c r="L259" s="114"/>
      <c r="M259" s="114"/>
      <c r="N259" s="19"/>
    </row>
    <row r="260" spans="1:14" x14ac:dyDescent="0.25">
      <c r="A260" s="114"/>
      <c r="B260" s="114"/>
      <c r="C260" s="114"/>
      <c r="D260" s="114"/>
      <c r="E260" s="114"/>
      <c r="F260" s="114"/>
      <c r="G260" s="114"/>
      <c r="H260" s="114"/>
      <c r="I260" s="114"/>
      <c r="J260" s="114"/>
      <c r="K260" s="114"/>
      <c r="L260" s="114"/>
      <c r="M260" s="114"/>
      <c r="N260" s="19"/>
    </row>
    <row r="261" spans="1:14" x14ac:dyDescent="0.25">
      <c r="A261" s="114"/>
      <c r="B261" s="114"/>
      <c r="C261" s="114"/>
      <c r="D261" s="114"/>
      <c r="E261" s="114"/>
      <c r="F261" s="114"/>
      <c r="G261" s="114"/>
      <c r="H261" s="114"/>
      <c r="I261" s="114"/>
      <c r="J261" s="114"/>
      <c r="K261" s="114"/>
      <c r="L261" s="114"/>
      <c r="M261" s="114"/>
      <c r="N261" s="19"/>
    </row>
    <row r="262" spans="1:14" x14ac:dyDescent="0.25">
      <c r="A262" s="114"/>
      <c r="B262" s="114"/>
      <c r="C262" s="114"/>
      <c r="D262" s="114"/>
      <c r="E262" s="114"/>
      <c r="F262" s="114"/>
      <c r="G262" s="114"/>
      <c r="H262" s="114"/>
      <c r="I262" s="114"/>
      <c r="J262" s="114"/>
      <c r="K262" s="114"/>
      <c r="L262" s="114"/>
      <c r="M262" s="114"/>
      <c r="N262" s="19"/>
    </row>
    <row r="263" spans="1:14" x14ac:dyDescent="0.25">
      <c r="A263" s="114"/>
      <c r="B263" s="114"/>
      <c r="C263" s="114"/>
      <c r="D263" s="114"/>
      <c r="E263" s="114"/>
      <c r="F263" s="114"/>
      <c r="G263" s="114"/>
      <c r="H263" s="114"/>
      <c r="I263" s="114"/>
      <c r="J263" s="114"/>
      <c r="K263" s="114"/>
      <c r="L263" s="114"/>
      <c r="M263" s="114"/>
      <c r="N263" s="19"/>
    </row>
    <row r="264" spans="1:14" x14ac:dyDescent="0.25">
      <c r="A264" s="114"/>
      <c r="B264" s="114"/>
      <c r="C264" s="114"/>
      <c r="D264" s="114"/>
      <c r="E264" s="114"/>
      <c r="F264" s="114"/>
      <c r="G264" s="114"/>
      <c r="H264" s="114"/>
      <c r="I264" s="114"/>
      <c r="J264" s="114"/>
      <c r="K264" s="114"/>
      <c r="L264" s="114"/>
      <c r="M264" s="114"/>
      <c r="N264" s="19"/>
    </row>
    <row r="265" spans="1:14" x14ac:dyDescent="0.25">
      <c r="A265" s="114"/>
      <c r="B265" s="114"/>
      <c r="C265" s="114"/>
      <c r="D265" s="114"/>
      <c r="E265" s="114"/>
      <c r="F265" s="114"/>
      <c r="G265" s="114"/>
      <c r="H265" s="114"/>
      <c r="I265" s="114"/>
      <c r="J265" s="114"/>
      <c r="K265" s="114"/>
      <c r="L265" s="114"/>
      <c r="M265" s="114"/>
      <c r="N265" s="19"/>
    </row>
    <row r="266" spans="1:14" x14ac:dyDescent="0.25">
      <c r="A266" s="114"/>
      <c r="B266" s="114"/>
      <c r="C266" s="114"/>
      <c r="D266" s="114"/>
      <c r="E266" s="114"/>
      <c r="F266" s="114"/>
      <c r="G266" s="114"/>
      <c r="H266" s="114"/>
      <c r="I266" s="114"/>
      <c r="J266" s="114"/>
      <c r="K266" s="114"/>
      <c r="L266" s="114"/>
      <c r="M266" s="114"/>
      <c r="N266" s="19"/>
    </row>
    <row r="267" spans="1:14" x14ac:dyDescent="0.25">
      <c r="A267" s="114"/>
      <c r="B267" s="114"/>
      <c r="C267" s="114"/>
      <c r="D267" s="114"/>
      <c r="E267" s="114"/>
      <c r="F267" s="114"/>
      <c r="G267" s="114"/>
      <c r="H267" s="114"/>
      <c r="I267" s="114"/>
      <c r="J267" s="114"/>
      <c r="K267" s="114"/>
      <c r="L267" s="114"/>
      <c r="M267" s="114"/>
      <c r="N267" s="19"/>
    </row>
    <row r="268" spans="1:14" x14ac:dyDescent="0.25">
      <c r="A268" s="114"/>
      <c r="B268" s="114"/>
      <c r="C268" s="114"/>
      <c r="D268" s="114"/>
      <c r="E268" s="114"/>
      <c r="F268" s="114"/>
      <c r="G268" s="114"/>
      <c r="H268" s="114"/>
      <c r="I268" s="114"/>
      <c r="J268" s="114"/>
      <c r="K268" s="114"/>
      <c r="L268" s="114"/>
      <c r="M268" s="114"/>
      <c r="N268" s="19"/>
    </row>
    <row r="269" spans="1:14" x14ac:dyDescent="0.25">
      <c r="A269" s="114"/>
      <c r="B269" s="114"/>
      <c r="C269" s="114"/>
      <c r="D269" s="114"/>
      <c r="E269" s="114"/>
      <c r="F269" s="114"/>
      <c r="G269" s="114"/>
      <c r="H269" s="114"/>
      <c r="I269" s="114"/>
      <c r="J269" s="114"/>
      <c r="K269" s="114"/>
      <c r="L269" s="114"/>
      <c r="M269" s="114"/>
      <c r="N269" s="19"/>
    </row>
    <row r="270" spans="1:14" x14ac:dyDescent="0.25">
      <c r="A270" s="114"/>
      <c r="B270" s="114"/>
      <c r="C270" s="114"/>
      <c r="D270" s="114"/>
      <c r="E270" s="114"/>
      <c r="F270" s="114"/>
      <c r="G270" s="114"/>
      <c r="H270" s="114"/>
      <c r="I270" s="114"/>
      <c r="J270" s="114"/>
      <c r="K270" s="114"/>
      <c r="L270" s="114"/>
      <c r="M270" s="114"/>
      <c r="N270" s="19"/>
    </row>
    <row r="271" spans="1:14" x14ac:dyDescent="0.25">
      <c r="A271" s="114"/>
      <c r="B271" s="114"/>
      <c r="C271" s="114"/>
      <c r="D271" s="114"/>
      <c r="E271" s="114"/>
      <c r="F271" s="114"/>
      <c r="G271" s="114"/>
      <c r="H271" s="114"/>
      <c r="I271" s="114"/>
      <c r="J271" s="114"/>
      <c r="K271" s="114"/>
      <c r="L271" s="114"/>
      <c r="M271" s="114"/>
      <c r="N271" s="19"/>
    </row>
    <row r="272" spans="1:14" x14ac:dyDescent="0.25">
      <c r="A272" s="114"/>
      <c r="B272" s="114"/>
      <c r="C272" s="114"/>
      <c r="D272" s="114"/>
      <c r="E272" s="114"/>
      <c r="F272" s="114"/>
      <c r="G272" s="114"/>
      <c r="H272" s="114"/>
      <c r="I272" s="114"/>
      <c r="J272" s="114"/>
      <c r="K272" s="114"/>
      <c r="L272" s="114"/>
      <c r="M272" s="114"/>
      <c r="N272" s="19"/>
    </row>
    <row r="273" spans="1:14" x14ac:dyDescent="0.25">
      <c r="A273" s="114"/>
      <c r="B273" s="114"/>
      <c r="C273" s="114"/>
      <c r="D273" s="114"/>
      <c r="E273" s="114"/>
      <c r="F273" s="114"/>
      <c r="G273" s="114"/>
      <c r="H273" s="114"/>
      <c r="I273" s="114"/>
      <c r="J273" s="114"/>
      <c r="K273" s="114"/>
      <c r="L273" s="114"/>
      <c r="M273" s="114"/>
      <c r="N273" s="19"/>
    </row>
    <row r="274" spans="1:14" x14ac:dyDescent="0.25">
      <c r="A274" s="114"/>
      <c r="B274" s="114"/>
      <c r="C274" s="114"/>
      <c r="D274" s="114"/>
      <c r="E274" s="114"/>
      <c r="F274" s="114"/>
      <c r="G274" s="114"/>
      <c r="H274" s="114"/>
      <c r="I274" s="114"/>
      <c r="J274" s="114"/>
      <c r="K274" s="114"/>
      <c r="L274" s="114"/>
      <c r="M274" s="114"/>
      <c r="N274" s="19"/>
    </row>
    <row r="275" spans="1:14" x14ac:dyDescent="0.25">
      <c r="A275" s="114"/>
      <c r="B275" s="114"/>
      <c r="C275" s="114"/>
      <c r="D275" s="114"/>
      <c r="E275" s="114"/>
      <c r="F275" s="114"/>
      <c r="G275" s="114"/>
      <c r="H275" s="114"/>
      <c r="I275" s="114"/>
      <c r="J275" s="114"/>
      <c r="K275" s="114"/>
      <c r="L275" s="114"/>
      <c r="M275" s="114"/>
      <c r="N275" s="19"/>
    </row>
    <row r="276" spans="1:14" x14ac:dyDescent="0.25">
      <c r="A276" s="114"/>
      <c r="B276" s="114"/>
      <c r="C276" s="114"/>
      <c r="D276" s="114"/>
      <c r="E276" s="114"/>
      <c r="F276" s="114"/>
      <c r="G276" s="114"/>
      <c r="H276" s="114"/>
      <c r="I276" s="114"/>
      <c r="J276" s="114"/>
      <c r="K276" s="114"/>
      <c r="L276" s="114"/>
      <c r="M276" s="114"/>
      <c r="N276" s="19"/>
    </row>
    <row r="277" spans="1:14" x14ac:dyDescent="0.25">
      <c r="A277" s="114"/>
      <c r="B277" s="114"/>
      <c r="C277" s="114"/>
      <c r="D277" s="114"/>
      <c r="E277" s="114"/>
      <c r="F277" s="114"/>
      <c r="G277" s="114"/>
      <c r="H277" s="114"/>
      <c r="I277" s="114"/>
      <c r="J277" s="114"/>
      <c r="K277" s="114"/>
      <c r="L277" s="114"/>
      <c r="M277" s="114"/>
      <c r="N277" s="19"/>
    </row>
    <row r="278" spans="1:14" x14ac:dyDescent="0.25">
      <c r="A278" s="114"/>
      <c r="B278" s="114"/>
      <c r="C278" s="114"/>
      <c r="D278" s="114"/>
      <c r="E278" s="114"/>
      <c r="F278" s="114"/>
      <c r="G278" s="114"/>
      <c r="H278" s="114"/>
      <c r="I278" s="114"/>
      <c r="J278" s="114"/>
      <c r="K278" s="114"/>
      <c r="L278" s="114"/>
      <c r="M278" s="114"/>
      <c r="N278" s="19"/>
    </row>
    <row r="279" spans="1:14" x14ac:dyDescent="0.25">
      <c r="A279" s="114"/>
      <c r="B279" s="114"/>
      <c r="C279" s="114"/>
      <c r="D279" s="114"/>
      <c r="E279" s="114"/>
      <c r="F279" s="114"/>
      <c r="G279" s="114"/>
      <c r="H279" s="114"/>
      <c r="I279" s="114"/>
      <c r="J279" s="114"/>
      <c r="K279" s="114"/>
      <c r="L279" s="114"/>
      <c r="M279" s="114"/>
      <c r="N279" s="19"/>
    </row>
    <row r="280" spans="1:14" x14ac:dyDescent="0.25">
      <c r="A280" s="114"/>
      <c r="B280" s="114"/>
      <c r="C280" s="114"/>
      <c r="D280" s="114"/>
      <c r="E280" s="114"/>
      <c r="F280" s="114"/>
      <c r="G280" s="114"/>
      <c r="H280" s="114"/>
      <c r="I280" s="114"/>
      <c r="J280" s="114"/>
      <c r="K280" s="114"/>
      <c r="L280" s="114"/>
      <c r="M280" s="114"/>
      <c r="N280" s="19"/>
    </row>
    <row r="281" spans="1:14" x14ac:dyDescent="0.25">
      <c r="A281" s="114"/>
      <c r="B281" s="114"/>
      <c r="C281" s="114"/>
      <c r="D281" s="114"/>
      <c r="E281" s="114"/>
      <c r="F281" s="114"/>
      <c r="G281" s="114"/>
      <c r="H281" s="114"/>
      <c r="I281" s="114"/>
      <c r="J281" s="114"/>
      <c r="K281" s="114"/>
      <c r="L281" s="114"/>
      <c r="M281" s="114"/>
      <c r="N281" s="19"/>
    </row>
    <row r="282" spans="1:14" x14ac:dyDescent="0.25">
      <c r="A282" s="114"/>
      <c r="B282" s="114"/>
      <c r="C282" s="114"/>
      <c r="D282" s="114"/>
      <c r="E282" s="114"/>
      <c r="F282" s="114"/>
      <c r="G282" s="114"/>
      <c r="H282" s="114"/>
      <c r="I282" s="114"/>
      <c r="J282" s="114"/>
      <c r="K282" s="114"/>
      <c r="L282" s="114"/>
      <c r="M282" s="114"/>
      <c r="N282" s="19"/>
    </row>
    <row r="283" spans="1:14" x14ac:dyDescent="0.25">
      <c r="A283" s="114"/>
      <c r="B283" s="114"/>
      <c r="C283" s="114"/>
      <c r="D283" s="114"/>
      <c r="E283" s="114"/>
      <c r="F283" s="114"/>
      <c r="G283" s="114"/>
      <c r="H283" s="114"/>
      <c r="I283" s="114"/>
      <c r="J283" s="114"/>
      <c r="K283" s="114"/>
      <c r="L283" s="114"/>
      <c r="M283" s="114"/>
      <c r="N283" s="19"/>
    </row>
    <row r="284" spans="1:14" x14ac:dyDescent="0.25">
      <c r="A284" s="114"/>
      <c r="B284" s="114"/>
      <c r="C284" s="114"/>
      <c r="D284" s="114"/>
      <c r="E284" s="114"/>
      <c r="F284" s="114"/>
      <c r="G284" s="114"/>
      <c r="H284" s="114"/>
      <c r="I284" s="114"/>
      <c r="J284" s="114"/>
      <c r="K284" s="114"/>
      <c r="L284" s="114"/>
      <c r="M284" s="114"/>
      <c r="N284" s="19"/>
    </row>
    <row r="285" spans="1:14" x14ac:dyDescent="0.25">
      <c r="A285" s="114"/>
      <c r="B285" s="114"/>
      <c r="C285" s="114"/>
      <c r="D285" s="114"/>
      <c r="E285" s="114"/>
      <c r="F285" s="114"/>
      <c r="G285" s="114"/>
      <c r="H285" s="114"/>
      <c r="I285" s="114"/>
      <c r="J285" s="114"/>
      <c r="K285" s="114"/>
      <c r="L285" s="114"/>
      <c r="M285" s="114"/>
      <c r="N285" s="19"/>
    </row>
    <row r="286" spans="1:14" x14ac:dyDescent="0.25">
      <c r="A286" s="114"/>
      <c r="B286" s="114"/>
      <c r="C286" s="114"/>
      <c r="D286" s="114"/>
      <c r="E286" s="114"/>
      <c r="F286" s="114"/>
      <c r="G286" s="114"/>
      <c r="H286" s="114"/>
      <c r="I286" s="114"/>
      <c r="J286" s="114"/>
      <c r="K286" s="114"/>
      <c r="L286" s="114"/>
      <c r="M286" s="114"/>
      <c r="N286" s="19"/>
    </row>
    <row r="287" spans="1:14" x14ac:dyDescent="0.25">
      <c r="A287" s="114"/>
      <c r="B287" s="114"/>
      <c r="C287" s="114"/>
      <c r="D287" s="114"/>
      <c r="E287" s="114"/>
      <c r="F287" s="114"/>
      <c r="G287" s="114"/>
      <c r="H287" s="114"/>
      <c r="I287" s="114"/>
      <c r="J287" s="114"/>
      <c r="K287" s="114"/>
      <c r="L287" s="114"/>
      <c r="M287" s="114"/>
      <c r="N287" s="19"/>
    </row>
    <row r="288" spans="1:14" x14ac:dyDescent="0.25">
      <c r="A288" s="114"/>
      <c r="B288" s="114"/>
      <c r="C288" s="114"/>
      <c r="D288" s="114"/>
      <c r="E288" s="114"/>
      <c r="F288" s="114"/>
      <c r="G288" s="114"/>
      <c r="H288" s="114"/>
      <c r="I288" s="114"/>
      <c r="J288" s="114"/>
      <c r="K288" s="114"/>
      <c r="L288" s="114"/>
      <c r="M288" s="114"/>
      <c r="N288" s="19"/>
    </row>
    <row r="289" spans="1:14" x14ac:dyDescent="0.25">
      <c r="A289" s="114"/>
      <c r="B289" s="114"/>
      <c r="C289" s="114"/>
      <c r="D289" s="114"/>
      <c r="E289" s="114"/>
      <c r="F289" s="114"/>
      <c r="G289" s="114"/>
      <c r="H289" s="114"/>
      <c r="I289" s="114"/>
      <c r="J289" s="114"/>
      <c r="K289" s="114"/>
      <c r="L289" s="114"/>
      <c r="M289" s="114"/>
      <c r="N289" s="19"/>
    </row>
    <row r="290" spans="1:14" x14ac:dyDescent="0.25">
      <c r="A290" s="114"/>
      <c r="B290" s="114"/>
      <c r="C290" s="114"/>
      <c r="D290" s="114"/>
      <c r="E290" s="114"/>
      <c r="F290" s="114"/>
      <c r="G290" s="114"/>
      <c r="H290" s="114"/>
      <c r="I290" s="114"/>
      <c r="J290" s="114"/>
      <c r="K290" s="114"/>
      <c r="L290" s="114"/>
      <c r="M290" s="114"/>
      <c r="N290" s="19"/>
    </row>
    <row r="291" spans="1:14" x14ac:dyDescent="0.25">
      <c r="A291" s="114"/>
      <c r="B291" s="114"/>
      <c r="C291" s="114"/>
      <c r="D291" s="114"/>
      <c r="E291" s="114"/>
      <c r="F291" s="114"/>
      <c r="G291" s="114"/>
      <c r="H291" s="114"/>
      <c r="I291" s="114"/>
      <c r="J291" s="114"/>
      <c r="K291" s="114"/>
      <c r="L291" s="114"/>
      <c r="M291" s="114"/>
      <c r="N291" s="19"/>
    </row>
    <row r="292" spans="1:14" x14ac:dyDescent="0.25">
      <c r="A292" s="114"/>
      <c r="B292" s="114"/>
      <c r="C292" s="114"/>
      <c r="D292" s="114"/>
      <c r="E292" s="114"/>
      <c r="F292" s="114"/>
      <c r="G292" s="114"/>
      <c r="H292" s="114"/>
      <c r="I292" s="114"/>
      <c r="J292" s="114"/>
      <c r="K292" s="114"/>
      <c r="L292" s="114"/>
      <c r="M292" s="114"/>
      <c r="N292" s="19"/>
    </row>
    <row r="293" spans="1:14" x14ac:dyDescent="0.25">
      <c r="A293" s="114"/>
      <c r="B293" s="114"/>
      <c r="C293" s="114"/>
      <c r="D293" s="114"/>
      <c r="E293" s="114"/>
      <c r="F293" s="114"/>
      <c r="G293" s="114"/>
      <c r="H293" s="114"/>
      <c r="I293" s="114"/>
      <c r="J293" s="114"/>
      <c r="K293" s="114"/>
      <c r="L293" s="114"/>
      <c r="M293" s="114"/>
      <c r="N293" s="19"/>
    </row>
    <row r="294" spans="1:14" x14ac:dyDescent="0.25">
      <c r="A294" s="114"/>
      <c r="B294" s="114"/>
      <c r="C294" s="114"/>
      <c r="D294" s="114"/>
      <c r="E294" s="114"/>
      <c r="F294" s="114"/>
      <c r="G294" s="114"/>
      <c r="H294" s="114"/>
      <c r="I294" s="114"/>
      <c r="J294" s="114"/>
      <c r="K294" s="114"/>
      <c r="L294" s="114"/>
      <c r="M294" s="114"/>
      <c r="N294" s="19"/>
    </row>
    <row r="295" spans="1:14" x14ac:dyDescent="0.25">
      <c r="A295" s="114"/>
      <c r="B295" s="114"/>
      <c r="C295" s="114"/>
      <c r="D295" s="114"/>
      <c r="E295" s="114"/>
      <c r="F295" s="114"/>
      <c r="G295" s="114"/>
      <c r="H295" s="114"/>
      <c r="I295" s="114"/>
      <c r="J295" s="114"/>
      <c r="K295" s="114"/>
      <c r="L295" s="114"/>
      <c r="M295" s="114"/>
      <c r="N295" s="19"/>
    </row>
    <row r="296" spans="1:14" x14ac:dyDescent="0.25">
      <c r="A296" s="114"/>
      <c r="B296" s="114"/>
      <c r="C296" s="114"/>
      <c r="D296" s="114"/>
      <c r="E296" s="114"/>
      <c r="F296" s="114"/>
      <c r="G296" s="114"/>
      <c r="H296" s="114"/>
      <c r="I296" s="114"/>
      <c r="J296" s="114"/>
      <c r="K296" s="114"/>
      <c r="L296" s="114"/>
      <c r="M296" s="114"/>
      <c r="N296" s="19"/>
    </row>
    <row r="297" spans="1:14" x14ac:dyDescent="0.25">
      <c r="A297" s="114"/>
      <c r="B297" s="114"/>
      <c r="C297" s="114"/>
      <c r="D297" s="114"/>
      <c r="E297" s="114"/>
      <c r="F297" s="114"/>
      <c r="G297" s="114"/>
      <c r="H297" s="114"/>
      <c r="I297" s="114"/>
      <c r="J297" s="114"/>
      <c r="K297" s="114"/>
      <c r="L297" s="114"/>
      <c r="M297" s="114"/>
      <c r="N297" s="19"/>
    </row>
    <row r="298" spans="1:14" x14ac:dyDescent="0.25">
      <c r="A298" s="114"/>
      <c r="B298" s="114"/>
      <c r="C298" s="114"/>
      <c r="D298" s="114"/>
      <c r="E298" s="114"/>
      <c r="F298" s="114"/>
      <c r="G298" s="114"/>
      <c r="H298" s="114"/>
      <c r="I298" s="114"/>
      <c r="J298" s="114"/>
      <c r="K298" s="114"/>
      <c r="L298" s="114"/>
      <c r="M298" s="114"/>
      <c r="N298" s="19"/>
    </row>
    <row r="299" spans="1:14" x14ac:dyDescent="0.25">
      <c r="A299" s="114"/>
      <c r="B299" s="114"/>
      <c r="C299" s="114"/>
      <c r="D299" s="114"/>
      <c r="E299" s="114"/>
      <c r="F299" s="114"/>
      <c r="G299" s="114"/>
      <c r="H299" s="114"/>
      <c r="I299" s="114"/>
      <c r="J299" s="114"/>
      <c r="K299" s="114"/>
      <c r="L299" s="114"/>
      <c r="M299" s="114"/>
      <c r="N299" s="19"/>
    </row>
    <row r="300" spans="1:14" x14ac:dyDescent="0.25">
      <c r="A300" s="114"/>
      <c r="B300" s="114"/>
      <c r="C300" s="114"/>
      <c r="D300" s="114"/>
      <c r="E300" s="114"/>
      <c r="F300" s="114"/>
      <c r="G300" s="114"/>
      <c r="H300" s="114"/>
      <c r="I300" s="114"/>
      <c r="J300" s="114"/>
      <c r="K300" s="114"/>
      <c r="L300" s="114"/>
      <c r="M300" s="114"/>
      <c r="N300" s="19"/>
    </row>
    <row r="301" spans="1:14" x14ac:dyDescent="0.25">
      <c r="A301" s="114"/>
      <c r="B301" s="114"/>
      <c r="C301" s="114"/>
      <c r="D301" s="114"/>
      <c r="E301" s="114"/>
      <c r="F301" s="114"/>
      <c r="G301" s="114"/>
      <c r="H301" s="114"/>
      <c r="I301" s="114"/>
      <c r="J301" s="114"/>
      <c r="K301" s="114"/>
      <c r="L301" s="114"/>
      <c r="M301" s="114"/>
      <c r="N301" s="19"/>
    </row>
    <row r="302" spans="1:14" x14ac:dyDescent="0.25">
      <c r="A302" s="114"/>
      <c r="B302" s="114"/>
      <c r="C302" s="114"/>
      <c r="D302" s="114"/>
      <c r="E302" s="114"/>
      <c r="F302" s="114"/>
      <c r="G302" s="114"/>
      <c r="H302" s="114"/>
      <c r="I302" s="114"/>
      <c r="J302" s="114"/>
      <c r="K302" s="114"/>
      <c r="L302" s="114"/>
      <c r="M302" s="114"/>
      <c r="N302" s="19"/>
    </row>
    <row r="303" spans="1:14" x14ac:dyDescent="0.25">
      <c r="A303" s="114"/>
      <c r="B303" s="114"/>
      <c r="C303" s="114"/>
      <c r="D303" s="114"/>
      <c r="E303" s="114"/>
      <c r="F303" s="114"/>
      <c r="G303" s="114"/>
      <c r="H303" s="114"/>
      <c r="I303" s="114"/>
      <c r="J303" s="114"/>
      <c r="K303" s="114"/>
      <c r="L303" s="114"/>
      <c r="M303" s="114"/>
      <c r="N303" s="19"/>
    </row>
    <row r="304" spans="1:14" x14ac:dyDescent="0.25">
      <c r="A304" s="114"/>
      <c r="B304" s="114"/>
      <c r="C304" s="114"/>
      <c r="D304" s="114"/>
      <c r="E304" s="114"/>
      <c r="F304" s="114"/>
      <c r="G304" s="114"/>
      <c r="H304" s="114"/>
      <c r="I304" s="114"/>
      <c r="J304" s="114"/>
      <c r="K304" s="114"/>
      <c r="L304" s="114"/>
      <c r="M304" s="114"/>
      <c r="N304" s="19"/>
    </row>
    <row r="305" spans="1:14" x14ac:dyDescent="0.25">
      <c r="A305" s="114"/>
      <c r="B305" s="114"/>
      <c r="C305" s="114"/>
      <c r="D305" s="114"/>
      <c r="E305" s="114"/>
      <c r="F305" s="114"/>
      <c r="G305" s="114"/>
      <c r="H305" s="114"/>
      <c r="I305" s="114"/>
      <c r="J305" s="114"/>
      <c r="K305" s="114"/>
      <c r="L305" s="114"/>
      <c r="M305" s="114"/>
      <c r="N305" s="19"/>
    </row>
    <row r="306" spans="1:14" x14ac:dyDescent="0.25">
      <c r="A306" s="114"/>
      <c r="B306" s="114"/>
      <c r="C306" s="114"/>
      <c r="D306" s="114"/>
      <c r="E306" s="114"/>
      <c r="F306" s="114"/>
      <c r="G306" s="114"/>
      <c r="H306" s="114"/>
      <c r="I306" s="114"/>
      <c r="J306" s="114"/>
      <c r="K306" s="114"/>
      <c r="L306" s="114"/>
      <c r="M306" s="114"/>
      <c r="N306" s="19"/>
    </row>
    <row r="307" spans="1:14" x14ac:dyDescent="0.25">
      <c r="A307" s="114"/>
      <c r="B307" s="114"/>
      <c r="C307" s="114"/>
      <c r="D307" s="114"/>
      <c r="E307" s="114"/>
      <c r="F307" s="114"/>
      <c r="G307" s="114"/>
      <c r="H307" s="114"/>
      <c r="I307" s="114"/>
      <c r="J307" s="114"/>
      <c r="K307" s="114"/>
      <c r="L307" s="114"/>
      <c r="M307" s="114"/>
      <c r="N307" s="19"/>
    </row>
    <row r="308" spans="1:14" x14ac:dyDescent="0.25">
      <c r="A308" s="114"/>
      <c r="B308" s="114"/>
      <c r="C308" s="114"/>
      <c r="D308" s="114"/>
      <c r="E308" s="114"/>
      <c r="F308" s="114"/>
      <c r="G308" s="114"/>
      <c r="H308" s="114"/>
      <c r="I308" s="114"/>
      <c r="J308" s="114"/>
      <c r="K308" s="114"/>
      <c r="L308" s="114"/>
      <c r="M308" s="114"/>
      <c r="N308" s="19"/>
    </row>
    <row r="309" spans="1:14" x14ac:dyDescent="0.25">
      <c r="A309" s="114"/>
      <c r="B309" s="114"/>
      <c r="C309" s="114"/>
      <c r="D309" s="114"/>
      <c r="E309" s="114"/>
      <c r="F309" s="114"/>
      <c r="G309" s="114"/>
      <c r="H309" s="114"/>
      <c r="I309" s="114"/>
      <c r="J309" s="114"/>
      <c r="K309" s="114"/>
      <c r="L309" s="114"/>
      <c r="M309" s="114"/>
      <c r="N309" s="19"/>
    </row>
    <row r="310" spans="1:14" x14ac:dyDescent="0.25">
      <c r="A310" s="114"/>
      <c r="B310" s="114"/>
      <c r="C310" s="114"/>
      <c r="D310" s="114"/>
      <c r="E310" s="114"/>
      <c r="F310" s="114"/>
      <c r="G310" s="114"/>
      <c r="H310" s="114"/>
      <c r="I310" s="114"/>
      <c r="J310" s="114"/>
      <c r="K310" s="114"/>
      <c r="L310" s="114"/>
      <c r="M310" s="114"/>
      <c r="N310" s="19"/>
    </row>
    <row r="311" spans="1:14" x14ac:dyDescent="0.25">
      <c r="A311" s="114"/>
      <c r="B311" s="114"/>
      <c r="C311" s="114"/>
      <c r="D311" s="114"/>
      <c r="E311" s="114"/>
      <c r="F311" s="114"/>
      <c r="G311" s="114"/>
      <c r="H311" s="114"/>
      <c r="I311" s="114"/>
      <c r="J311" s="114"/>
      <c r="K311" s="114"/>
      <c r="L311" s="114"/>
      <c r="M311" s="114"/>
      <c r="N311" s="19"/>
    </row>
    <row r="312" spans="1:14" x14ac:dyDescent="0.25">
      <c r="A312" s="114"/>
      <c r="B312" s="114"/>
      <c r="C312" s="114"/>
      <c r="D312" s="114"/>
      <c r="E312" s="114"/>
      <c r="F312" s="114"/>
      <c r="G312" s="114"/>
      <c r="H312" s="114"/>
      <c r="I312" s="114"/>
      <c r="J312" s="114"/>
      <c r="K312" s="114"/>
      <c r="L312" s="114"/>
      <c r="M312" s="114"/>
      <c r="N312" s="19"/>
    </row>
    <row r="313" spans="1:14" x14ac:dyDescent="0.25">
      <c r="A313" s="114"/>
      <c r="B313" s="114"/>
      <c r="C313" s="114"/>
      <c r="D313" s="114"/>
      <c r="E313" s="114"/>
      <c r="F313" s="114"/>
      <c r="G313" s="114"/>
      <c r="H313" s="114"/>
      <c r="I313" s="114"/>
      <c r="J313" s="114"/>
      <c r="K313" s="114"/>
      <c r="L313" s="114"/>
      <c r="M313" s="114"/>
      <c r="N313" s="19"/>
    </row>
    <row r="314" spans="1:14" x14ac:dyDescent="0.25">
      <c r="A314" s="114"/>
      <c r="B314" s="114"/>
      <c r="C314" s="114"/>
      <c r="D314" s="114"/>
      <c r="E314" s="114"/>
      <c r="F314" s="114"/>
      <c r="G314" s="114"/>
      <c r="H314" s="114"/>
      <c r="I314" s="114"/>
      <c r="J314" s="114"/>
      <c r="K314" s="114"/>
      <c r="L314" s="114"/>
      <c r="M314" s="114"/>
      <c r="N314" s="19"/>
    </row>
    <row r="315" spans="1:14" x14ac:dyDescent="0.25">
      <c r="A315" s="114"/>
      <c r="B315" s="114"/>
      <c r="C315" s="114"/>
      <c r="D315" s="114"/>
      <c r="E315" s="114"/>
      <c r="F315" s="114"/>
      <c r="G315" s="114"/>
      <c r="H315" s="114"/>
      <c r="I315" s="114"/>
      <c r="J315" s="114"/>
      <c r="K315" s="114"/>
      <c r="L315" s="114"/>
      <c r="M315" s="114"/>
      <c r="N315" s="19"/>
    </row>
    <row r="316" spans="1:14" x14ac:dyDescent="0.25">
      <c r="A316" s="114"/>
      <c r="B316" s="114"/>
      <c r="C316" s="114"/>
      <c r="D316" s="114"/>
      <c r="E316" s="114"/>
      <c r="F316" s="114"/>
      <c r="G316" s="114"/>
      <c r="H316" s="114"/>
      <c r="I316" s="114"/>
      <c r="J316" s="114"/>
      <c r="K316" s="114"/>
      <c r="L316" s="114"/>
      <c r="M316" s="114"/>
      <c r="N316" s="19"/>
    </row>
    <row r="317" spans="1:14" x14ac:dyDescent="0.25">
      <c r="A317" s="114"/>
      <c r="B317" s="114"/>
      <c r="C317" s="114"/>
      <c r="D317" s="114"/>
      <c r="E317" s="114"/>
      <c r="F317" s="114"/>
      <c r="G317" s="114"/>
      <c r="H317" s="114"/>
      <c r="I317" s="114"/>
      <c r="J317" s="114"/>
      <c r="K317" s="114"/>
      <c r="L317" s="114"/>
      <c r="M317" s="114"/>
      <c r="N317" s="19"/>
    </row>
    <row r="318" spans="1:14" x14ac:dyDescent="0.25">
      <c r="A318" s="114"/>
      <c r="B318" s="114"/>
      <c r="C318" s="114"/>
      <c r="D318" s="114"/>
      <c r="E318" s="114"/>
      <c r="F318" s="114"/>
      <c r="G318" s="114"/>
      <c r="H318" s="114"/>
      <c r="I318" s="114"/>
      <c r="J318" s="114"/>
      <c r="K318" s="114"/>
      <c r="L318" s="114"/>
      <c r="M318" s="114"/>
      <c r="N318" s="19"/>
    </row>
    <row r="319" spans="1:14" x14ac:dyDescent="0.25">
      <c r="A319" s="114"/>
      <c r="B319" s="114"/>
      <c r="C319" s="114"/>
      <c r="D319" s="114"/>
      <c r="E319" s="114"/>
      <c r="F319" s="114"/>
      <c r="G319" s="114"/>
      <c r="H319" s="114"/>
      <c r="I319" s="114"/>
      <c r="J319" s="114"/>
      <c r="K319" s="114"/>
      <c r="L319" s="114"/>
      <c r="M319" s="114"/>
      <c r="N319" s="19"/>
    </row>
    <row r="320" spans="1:14" x14ac:dyDescent="0.25">
      <c r="A320" s="114"/>
      <c r="B320" s="114"/>
      <c r="C320" s="114"/>
      <c r="D320" s="114"/>
      <c r="E320" s="114"/>
      <c r="F320" s="114"/>
      <c r="G320" s="114"/>
      <c r="H320" s="114"/>
      <c r="I320" s="114"/>
      <c r="J320" s="114"/>
      <c r="K320" s="114"/>
      <c r="L320" s="114"/>
      <c r="M320" s="114"/>
      <c r="N320" s="19"/>
    </row>
    <row r="321" spans="1:14" x14ac:dyDescent="0.25">
      <c r="A321" s="114"/>
      <c r="B321" s="114"/>
      <c r="C321" s="114"/>
      <c r="D321" s="114"/>
      <c r="E321" s="114"/>
      <c r="F321" s="114"/>
      <c r="G321" s="114"/>
      <c r="H321" s="114"/>
      <c r="I321" s="114"/>
      <c r="J321" s="114"/>
      <c r="K321" s="114"/>
      <c r="L321" s="114"/>
      <c r="M321" s="114"/>
      <c r="N321" s="19"/>
    </row>
    <row r="322" spans="1:14" x14ac:dyDescent="0.25">
      <c r="A322" s="114"/>
      <c r="B322" s="114"/>
      <c r="C322" s="114"/>
      <c r="D322" s="114"/>
      <c r="E322" s="114"/>
      <c r="F322" s="114"/>
      <c r="G322" s="114"/>
      <c r="H322" s="114"/>
      <c r="I322" s="114"/>
      <c r="J322" s="114"/>
      <c r="K322" s="114"/>
      <c r="L322" s="114"/>
      <c r="M322" s="114"/>
      <c r="N322" s="19"/>
    </row>
    <row r="323" spans="1:14" x14ac:dyDescent="0.25">
      <c r="A323" s="114"/>
      <c r="B323" s="114"/>
      <c r="C323" s="114"/>
      <c r="D323" s="114"/>
      <c r="E323" s="114"/>
      <c r="F323" s="114"/>
      <c r="G323" s="114"/>
      <c r="H323" s="114"/>
      <c r="I323" s="114"/>
      <c r="J323" s="114"/>
      <c r="K323" s="114"/>
      <c r="L323" s="114"/>
      <c r="M323" s="114"/>
      <c r="N323" s="19"/>
    </row>
    <row r="324" spans="1:14" x14ac:dyDescent="0.25">
      <c r="A324" s="114"/>
      <c r="B324" s="114"/>
      <c r="C324" s="114"/>
      <c r="D324" s="114"/>
      <c r="E324" s="114"/>
      <c r="F324" s="114"/>
      <c r="G324" s="114"/>
      <c r="H324" s="114"/>
      <c r="I324" s="114"/>
      <c r="J324" s="114"/>
      <c r="K324" s="114"/>
      <c r="L324" s="114"/>
      <c r="M324" s="114"/>
      <c r="N324" s="19"/>
    </row>
    <row r="325" spans="1:14" x14ac:dyDescent="0.25">
      <c r="A325" s="114"/>
      <c r="B325" s="114"/>
      <c r="C325" s="114"/>
      <c r="D325" s="114"/>
      <c r="E325" s="114"/>
      <c r="F325" s="114"/>
      <c r="G325" s="114"/>
      <c r="H325" s="114"/>
      <c r="I325" s="114"/>
      <c r="J325" s="114"/>
      <c r="K325" s="114"/>
      <c r="L325" s="114"/>
      <c r="M325" s="114"/>
      <c r="N325" s="19"/>
    </row>
    <row r="326" spans="1:14" x14ac:dyDescent="0.25">
      <c r="A326" s="114"/>
      <c r="B326" s="114"/>
      <c r="C326" s="114"/>
      <c r="D326" s="114"/>
      <c r="E326" s="114"/>
      <c r="F326" s="114"/>
      <c r="G326" s="114"/>
      <c r="H326" s="114"/>
      <c r="I326" s="114"/>
      <c r="J326" s="114"/>
      <c r="K326" s="114"/>
      <c r="L326" s="114"/>
      <c r="M326" s="114"/>
      <c r="N326" s="19"/>
    </row>
    <row r="327" spans="1:14" x14ac:dyDescent="0.25">
      <c r="A327" s="114"/>
      <c r="B327" s="114"/>
      <c r="C327" s="114"/>
      <c r="D327" s="114"/>
      <c r="E327" s="114"/>
      <c r="F327" s="114"/>
      <c r="G327" s="114"/>
      <c r="H327" s="114"/>
      <c r="I327" s="114"/>
      <c r="J327" s="114"/>
      <c r="K327" s="114"/>
      <c r="L327" s="114"/>
      <c r="M327" s="114"/>
      <c r="N327" s="19"/>
    </row>
    <row r="328" spans="1:14" x14ac:dyDescent="0.25">
      <c r="A328" s="114"/>
      <c r="B328" s="114"/>
      <c r="C328" s="114"/>
      <c r="D328" s="114"/>
      <c r="E328" s="114"/>
      <c r="F328" s="114"/>
      <c r="G328" s="114"/>
      <c r="H328" s="114"/>
      <c r="I328" s="114"/>
      <c r="J328" s="114"/>
      <c r="K328" s="114"/>
      <c r="L328" s="114"/>
      <c r="M328" s="114"/>
      <c r="N328" s="19"/>
    </row>
    <row r="329" spans="1:14" x14ac:dyDescent="0.25">
      <c r="A329" s="114"/>
      <c r="B329" s="114"/>
      <c r="C329" s="114"/>
      <c r="D329" s="114"/>
      <c r="E329" s="114"/>
      <c r="F329" s="114"/>
      <c r="G329" s="114"/>
      <c r="H329" s="114"/>
      <c r="I329" s="114"/>
      <c r="J329" s="114"/>
      <c r="K329" s="114"/>
      <c r="L329" s="114"/>
      <c r="M329" s="114"/>
      <c r="N329" s="19"/>
    </row>
    <row r="330" spans="1:14" x14ac:dyDescent="0.25">
      <c r="A330" s="114"/>
      <c r="B330" s="114"/>
      <c r="C330" s="114"/>
      <c r="D330" s="114"/>
      <c r="E330" s="114"/>
      <c r="F330" s="114"/>
      <c r="G330" s="114"/>
      <c r="H330" s="114"/>
      <c r="I330" s="114"/>
      <c r="J330" s="114"/>
      <c r="K330" s="114"/>
      <c r="L330" s="114"/>
      <c r="M330" s="114"/>
      <c r="N330" s="19"/>
    </row>
    <row r="331" spans="1:14" x14ac:dyDescent="0.25">
      <c r="A331" s="114"/>
      <c r="B331" s="114"/>
      <c r="C331" s="114"/>
      <c r="D331" s="114"/>
      <c r="E331" s="114"/>
      <c r="F331" s="114"/>
      <c r="G331" s="114"/>
      <c r="H331" s="114"/>
      <c r="I331" s="114"/>
      <c r="J331" s="114"/>
      <c r="K331" s="114"/>
      <c r="L331" s="114"/>
      <c r="M331" s="114"/>
      <c r="N331" s="19"/>
    </row>
    <row r="332" spans="1:14" x14ac:dyDescent="0.25">
      <c r="A332" s="114"/>
      <c r="B332" s="114"/>
      <c r="C332" s="114"/>
      <c r="D332" s="114"/>
      <c r="E332" s="114"/>
      <c r="F332" s="114"/>
      <c r="G332" s="114"/>
      <c r="H332" s="114"/>
      <c r="I332" s="114"/>
      <c r="J332" s="114"/>
      <c r="K332" s="114"/>
      <c r="L332" s="114"/>
      <c r="M332" s="114"/>
      <c r="N332" s="19"/>
    </row>
    <row r="333" spans="1:14" x14ac:dyDescent="0.25">
      <c r="A333" s="114"/>
      <c r="B333" s="114"/>
      <c r="C333" s="114"/>
      <c r="D333" s="114"/>
      <c r="E333" s="114"/>
      <c r="F333" s="114"/>
      <c r="G333" s="114"/>
      <c r="H333" s="114"/>
      <c r="I333" s="114"/>
      <c r="J333" s="114"/>
      <c r="K333" s="114"/>
      <c r="L333" s="114"/>
      <c r="M333" s="114"/>
      <c r="N333" s="19"/>
    </row>
    <row r="334" spans="1:14" x14ac:dyDescent="0.25">
      <c r="A334" s="114"/>
      <c r="B334" s="114"/>
      <c r="C334" s="114"/>
      <c r="D334" s="114"/>
      <c r="E334" s="114"/>
      <c r="F334" s="114"/>
      <c r="G334" s="114"/>
      <c r="H334" s="114"/>
      <c r="I334" s="114"/>
      <c r="J334" s="114"/>
      <c r="K334" s="114"/>
      <c r="L334" s="114"/>
      <c r="M334" s="114"/>
      <c r="N334" s="19"/>
    </row>
    <row r="335" spans="1:14" x14ac:dyDescent="0.25">
      <c r="A335" s="114"/>
      <c r="B335" s="114"/>
      <c r="C335" s="114"/>
      <c r="D335" s="114"/>
      <c r="E335" s="114"/>
      <c r="F335" s="114"/>
      <c r="G335" s="114"/>
      <c r="H335" s="114"/>
      <c r="I335" s="114"/>
      <c r="J335" s="114"/>
      <c r="K335" s="114"/>
      <c r="L335" s="114"/>
      <c r="M335" s="114"/>
      <c r="N335" s="19"/>
    </row>
    <row r="336" spans="1:14" x14ac:dyDescent="0.25">
      <c r="A336" s="114"/>
      <c r="B336" s="114"/>
      <c r="C336" s="114"/>
      <c r="D336" s="114"/>
      <c r="E336" s="114"/>
      <c r="F336" s="114"/>
      <c r="G336" s="114"/>
      <c r="H336" s="114"/>
      <c r="I336" s="114"/>
      <c r="J336" s="114"/>
      <c r="K336" s="114"/>
      <c r="L336" s="114"/>
      <c r="M336" s="114"/>
      <c r="N336" s="19"/>
    </row>
    <row r="337" spans="1:14" x14ac:dyDescent="0.25">
      <c r="A337" s="114"/>
      <c r="B337" s="114"/>
      <c r="C337" s="114"/>
      <c r="D337" s="114"/>
      <c r="E337" s="114"/>
      <c r="F337" s="114"/>
      <c r="G337" s="114"/>
      <c r="H337" s="114"/>
      <c r="I337" s="114"/>
      <c r="J337" s="114"/>
      <c r="K337" s="114"/>
      <c r="L337" s="114"/>
      <c r="M337" s="114"/>
      <c r="N337" s="19"/>
    </row>
    <row r="338" spans="1:14" x14ac:dyDescent="0.25">
      <c r="A338" s="114"/>
      <c r="B338" s="114"/>
      <c r="C338" s="114"/>
      <c r="D338" s="114"/>
      <c r="E338" s="114"/>
      <c r="F338" s="114"/>
      <c r="G338" s="114"/>
      <c r="H338" s="114"/>
      <c r="I338" s="114"/>
      <c r="J338" s="114"/>
      <c r="K338" s="114"/>
      <c r="L338" s="114"/>
      <c r="M338" s="114"/>
      <c r="N338" s="19"/>
    </row>
    <row r="339" spans="1:14" x14ac:dyDescent="0.25">
      <c r="A339" s="114"/>
      <c r="B339" s="114"/>
      <c r="C339" s="114"/>
      <c r="D339" s="114"/>
      <c r="E339" s="114"/>
      <c r="F339" s="114"/>
      <c r="G339" s="114"/>
      <c r="H339" s="114"/>
      <c r="I339" s="114"/>
      <c r="J339" s="114"/>
      <c r="K339" s="114"/>
      <c r="L339" s="114"/>
      <c r="M339" s="114"/>
      <c r="N339" s="19"/>
    </row>
    <row r="340" spans="1:14" x14ac:dyDescent="0.25">
      <c r="A340" s="114"/>
      <c r="B340" s="114"/>
      <c r="C340" s="114"/>
      <c r="D340" s="114"/>
      <c r="E340" s="114"/>
      <c r="F340" s="114"/>
      <c r="G340" s="114"/>
      <c r="H340" s="114"/>
      <c r="I340" s="114"/>
      <c r="J340" s="114"/>
      <c r="K340" s="114"/>
      <c r="L340" s="114"/>
      <c r="M340" s="114"/>
      <c r="N340" s="19"/>
    </row>
    <row r="341" spans="1:14" x14ac:dyDescent="0.25">
      <c r="A341" s="114"/>
      <c r="B341" s="114"/>
      <c r="C341" s="114"/>
      <c r="D341" s="114"/>
      <c r="E341" s="114"/>
      <c r="F341" s="114"/>
      <c r="G341" s="114"/>
      <c r="H341" s="114"/>
      <c r="I341" s="114"/>
      <c r="J341" s="114"/>
      <c r="K341" s="114"/>
      <c r="L341" s="114"/>
      <c r="M341" s="114"/>
      <c r="N341" s="19"/>
    </row>
    <row r="342" spans="1:14" x14ac:dyDescent="0.25">
      <c r="A342" s="114"/>
      <c r="B342" s="114"/>
      <c r="C342" s="114"/>
      <c r="D342" s="114"/>
      <c r="E342" s="114"/>
      <c r="F342" s="114"/>
      <c r="G342" s="114"/>
      <c r="H342" s="114"/>
      <c r="I342" s="114"/>
      <c r="J342" s="114"/>
      <c r="K342" s="114"/>
      <c r="L342" s="114"/>
      <c r="M342" s="114"/>
      <c r="N342" s="19"/>
    </row>
    <row r="343" spans="1:14" x14ac:dyDescent="0.25">
      <c r="A343" s="114"/>
      <c r="B343" s="114"/>
      <c r="C343" s="114"/>
      <c r="D343" s="114"/>
      <c r="E343" s="114"/>
      <c r="F343" s="114"/>
      <c r="G343" s="114"/>
      <c r="H343" s="114"/>
      <c r="I343" s="114"/>
      <c r="J343" s="114"/>
      <c r="K343" s="114"/>
      <c r="L343" s="114"/>
      <c r="M343" s="114"/>
      <c r="N343" s="19"/>
    </row>
    <row r="344" spans="1:14" x14ac:dyDescent="0.25">
      <c r="A344" s="114"/>
      <c r="B344" s="114"/>
      <c r="C344" s="114"/>
      <c r="D344" s="114"/>
      <c r="E344" s="114"/>
      <c r="F344" s="114"/>
      <c r="G344" s="114"/>
      <c r="H344" s="114"/>
      <c r="I344" s="114"/>
      <c r="J344" s="114"/>
      <c r="K344" s="114"/>
      <c r="L344" s="114"/>
      <c r="M344" s="114"/>
      <c r="N344" s="19"/>
    </row>
    <row r="345" spans="1:14" x14ac:dyDescent="0.25">
      <c r="A345" s="114"/>
      <c r="B345" s="114"/>
      <c r="C345" s="114"/>
      <c r="D345" s="114"/>
      <c r="E345" s="114"/>
      <c r="F345" s="114"/>
      <c r="G345" s="114"/>
      <c r="H345" s="114"/>
      <c r="I345" s="114"/>
      <c r="J345" s="114"/>
      <c r="K345" s="114"/>
      <c r="L345" s="114"/>
      <c r="M345" s="114"/>
      <c r="N345" s="19"/>
    </row>
    <row r="346" spans="1:14" x14ac:dyDescent="0.25">
      <c r="A346" s="114"/>
      <c r="B346" s="114"/>
      <c r="C346" s="114"/>
      <c r="D346" s="114"/>
      <c r="E346" s="114"/>
      <c r="F346" s="114"/>
      <c r="G346" s="114"/>
      <c r="H346" s="114"/>
      <c r="I346" s="114"/>
      <c r="J346" s="114"/>
      <c r="K346" s="114"/>
      <c r="L346" s="114"/>
      <c r="M346" s="114"/>
      <c r="N346" s="19"/>
    </row>
    <row r="347" spans="1:14" x14ac:dyDescent="0.25">
      <c r="A347" s="114"/>
      <c r="B347" s="114"/>
      <c r="C347" s="114"/>
      <c r="D347" s="114"/>
      <c r="E347" s="114"/>
      <c r="F347" s="114"/>
      <c r="G347" s="114"/>
      <c r="H347" s="114"/>
      <c r="I347" s="114"/>
      <c r="J347" s="114"/>
      <c r="K347" s="114"/>
      <c r="L347" s="114"/>
      <c r="M347" s="114"/>
      <c r="N347" s="19"/>
    </row>
    <row r="348" spans="1:14" x14ac:dyDescent="0.25">
      <c r="A348" s="114"/>
      <c r="B348" s="114"/>
      <c r="C348" s="114"/>
      <c r="D348" s="114"/>
      <c r="E348" s="114"/>
      <c r="F348" s="114"/>
      <c r="G348" s="114"/>
      <c r="H348" s="114"/>
      <c r="I348" s="114"/>
      <c r="J348" s="114"/>
      <c r="K348" s="114"/>
      <c r="L348" s="114"/>
      <c r="M348" s="114"/>
      <c r="N348" s="19"/>
    </row>
    <row r="349" spans="1:14" x14ac:dyDescent="0.25">
      <c r="A349" s="114"/>
      <c r="B349" s="114"/>
      <c r="C349" s="114"/>
      <c r="D349" s="114"/>
      <c r="E349" s="114"/>
      <c r="F349" s="114"/>
      <c r="G349" s="114"/>
      <c r="H349" s="114"/>
      <c r="I349" s="114"/>
      <c r="J349" s="114"/>
      <c r="K349" s="114"/>
      <c r="L349" s="114"/>
      <c r="M349" s="114"/>
      <c r="N349" s="19"/>
    </row>
    <row r="350" spans="1:14" x14ac:dyDescent="0.25">
      <c r="A350" s="114"/>
      <c r="B350" s="114"/>
      <c r="C350" s="114"/>
      <c r="D350" s="114"/>
      <c r="E350" s="114"/>
      <c r="F350" s="114"/>
      <c r="G350" s="114"/>
      <c r="H350" s="114"/>
      <c r="I350" s="114"/>
      <c r="J350" s="114"/>
      <c r="K350" s="114"/>
      <c r="L350" s="114"/>
      <c r="M350" s="114"/>
      <c r="N350" s="19"/>
    </row>
    <row r="351" spans="1:14" x14ac:dyDescent="0.25">
      <c r="A351" s="114"/>
      <c r="B351" s="114"/>
      <c r="C351" s="114"/>
      <c r="D351" s="114"/>
      <c r="E351" s="114"/>
      <c r="F351" s="114"/>
      <c r="G351" s="114"/>
      <c r="H351" s="114"/>
      <c r="I351" s="114"/>
      <c r="J351" s="114"/>
      <c r="K351" s="114"/>
      <c r="L351" s="114"/>
      <c r="M351" s="114"/>
      <c r="N351" s="19"/>
    </row>
    <row r="352" spans="1:14" x14ac:dyDescent="0.25">
      <c r="N352" s="19"/>
    </row>
    <row r="353" spans="14:14" x14ac:dyDescent="0.25">
      <c r="N353" s="19"/>
    </row>
    <row r="354" spans="14:14" x14ac:dyDescent="0.25">
      <c r="N354" s="19"/>
    </row>
    <row r="355" spans="14:14" x14ac:dyDescent="0.25">
      <c r="N355" s="19"/>
    </row>
    <row r="356" spans="14:14" x14ac:dyDescent="0.25">
      <c r="N356" s="19"/>
    </row>
    <row r="357" spans="14:14" x14ac:dyDescent="0.25">
      <c r="N357" s="19"/>
    </row>
    <row r="358" spans="14:14" x14ac:dyDescent="0.25">
      <c r="N358" s="19"/>
    </row>
    <row r="359" spans="14:14" x14ac:dyDescent="0.25">
      <c r="N359" s="19"/>
    </row>
    <row r="360" spans="14:14" x14ac:dyDescent="0.25">
      <c r="N360" s="19"/>
    </row>
    <row r="361" spans="14:14" x14ac:dyDescent="0.25">
      <c r="N361" s="19"/>
    </row>
    <row r="362" spans="14:14" x14ac:dyDescent="0.25">
      <c r="N362" s="19"/>
    </row>
    <row r="363" spans="14:14" x14ac:dyDescent="0.25">
      <c r="N363" s="19"/>
    </row>
    <row r="364" spans="14:14" x14ac:dyDescent="0.25">
      <c r="N364" s="19"/>
    </row>
    <row r="365" spans="14:14" x14ac:dyDescent="0.25">
      <c r="N365" s="19"/>
    </row>
    <row r="366" spans="14:14" x14ac:dyDescent="0.25">
      <c r="N366" s="19"/>
    </row>
    <row r="367" spans="14:14" x14ac:dyDescent="0.25">
      <c r="N367" s="19"/>
    </row>
    <row r="368" spans="14:14" x14ac:dyDescent="0.25">
      <c r="N368" s="19"/>
    </row>
    <row r="369" spans="14:14" x14ac:dyDescent="0.25">
      <c r="N369" s="19"/>
    </row>
    <row r="370" spans="14:14" x14ac:dyDescent="0.25">
      <c r="N370" s="19"/>
    </row>
    <row r="371" spans="14:14" x14ac:dyDescent="0.25">
      <c r="N371" s="19"/>
    </row>
    <row r="372" spans="14:14" x14ac:dyDescent="0.25">
      <c r="N372" s="19"/>
    </row>
    <row r="373" spans="14:14" x14ac:dyDescent="0.25">
      <c r="N373" s="19"/>
    </row>
    <row r="374" spans="14:14" x14ac:dyDescent="0.25">
      <c r="N374" s="19"/>
    </row>
    <row r="375" spans="14:14" x14ac:dyDescent="0.25">
      <c r="N375" s="19"/>
    </row>
    <row r="376" spans="14:14" x14ac:dyDescent="0.25">
      <c r="N376" s="19"/>
    </row>
    <row r="377" spans="14:14" x14ac:dyDescent="0.25">
      <c r="N377" s="19"/>
    </row>
    <row r="378" spans="14:14" x14ac:dyDescent="0.25">
      <c r="N378" s="19"/>
    </row>
    <row r="379" spans="14:14" x14ac:dyDescent="0.25">
      <c r="N379" s="19"/>
    </row>
    <row r="380" spans="14:14" x14ac:dyDescent="0.25">
      <c r="N380" s="19"/>
    </row>
    <row r="381" spans="14:14" x14ac:dyDescent="0.25">
      <c r="N381" s="19"/>
    </row>
    <row r="382" spans="14:14" x14ac:dyDescent="0.25">
      <c r="N382" s="19"/>
    </row>
    <row r="383" spans="14:14" x14ac:dyDescent="0.25">
      <c r="N383" s="19"/>
    </row>
    <row r="384" spans="14:14" x14ac:dyDescent="0.25">
      <c r="N384" s="19"/>
    </row>
    <row r="385" spans="14:14" x14ac:dyDescent="0.25">
      <c r="N385" s="19"/>
    </row>
    <row r="386" spans="14:14" x14ac:dyDescent="0.25">
      <c r="N386" s="19"/>
    </row>
    <row r="387" spans="14:14" x14ac:dyDescent="0.25">
      <c r="N387" s="19"/>
    </row>
    <row r="388" spans="14:14" x14ac:dyDescent="0.25">
      <c r="N388" s="19"/>
    </row>
    <row r="389" spans="14:14" x14ac:dyDescent="0.25">
      <c r="N389" s="19"/>
    </row>
    <row r="390" spans="14:14" x14ac:dyDescent="0.25">
      <c r="N390" s="19"/>
    </row>
    <row r="391" spans="14:14" x14ac:dyDescent="0.25">
      <c r="N391" s="19"/>
    </row>
    <row r="392" spans="14:14" x14ac:dyDescent="0.25">
      <c r="N392" s="19"/>
    </row>
    <row r="393" spans="14:14" x14ac:dyDescent="0.25">
      <c r="N393" s="19"/>
    </row>
    <row r="394" spans="14:14" x14ac:dyDescent="0.25">
      <c r="N394" s="19"/>
    </row>
    <row r="395" spans="14:14" x14ac:dyDescent="0.25">
      <c r="N395" s="19"/>
    </row>
    <row r="396" spans="14:14" x14ac:dyDescent="0.25">
      <c r="N396" s="19"/>
    </row>
    <row r="397" spans="14:14" x14ac:dyDescent="0.25">
      <c r="N397" s="19"/>
    </row>
    <row r="398" spans="14:14" x14ac:dyDescent="0.25">
      <c r="N398" s="19"/>
    </row>
    <row r="399" spans="14:14" x14ac:dyDescent="0.25">
      <c r="N399" s="19"/>
    </row>
    <row r="400" spans="14:14" x14ac:dyDescent="0.25">
      <c r="N400" s="19"/>
    </row>
    <row r="401" spans="14:14" x14ac:dyDescent="0.25">
      <c r="N401" s="19"/>
    </row>
    <row r="402" spans="14:14" x14ac:dyDescent="0.25">
      <c r="N402" s="19"/>
    </row>
    <row r="403" spans="14:14" x14ac:dyDescent="0.25">
      <c r="N403" s="19"/>
    </row>
    <row r="404" spans="14:14" x14ac:dyDescent="0.25">
      <c r="N404" s="19"/>
    </row>
    <row r="405" spans="14:14" x14ac:dyDescent="0.25">
      <c r="N405" s="19"/>
    </row>
    <row r="406" spans="14:14" x14ac:dyDescent="0.25">
      <c r="N406" s="19"/>
    </row>
    <row r="407" spans="14:14" x14ac:dyDescent="0.25">
      <c r="N407" s="19"/>
    </row>
    <row r="408" spans="14:14" x14ac:dyDescent="0.25">
      <c r="N408" s="19"/>
    </row>
    <row r="409" spans="14:14" x14ac:dyDescent="0.25">
      <c r="N409" s="19"/>
    </row>
    <row r="410" spans="14:14" x14ac:dyDescent="0.25">
      <c r="N410" s="19"/>
    </row>
    <row r="411" spans="14:14" x14ac:dyDescent="0.25">
      <c r="N411" s="19"/>
    </row>
    <row r="412" spans="14:14" x14ac:dyDescent="0.25">
      <c r="N412" s="19"/>
    </row>
    <row r="413" spans="14:14" x14ac:dyDescent="0.25">
      <c r="N413" s="19"/>
    </row>
    <row r="414" spans="14:14" x14ac:dyDescent="0.25">
      <c r="N414" s="19"/>
    </row>
    <row r="415" spans="14:14" x14ac:dyDescent="0.25">
      <c r="N415" s="19"/>
    </row>
    <row r="416" spans="14:14" x14ac:dyDescent="0.25">
      <c r="N416" s="19"/>
    </row>
    <row r="417" spans="14:14" x14ac:dyDescent="0.25">
      <c r="N417" s="19"/>
    </row>
    <row r="418" spans="14:14" x14ac:dyDescent="0.25">
      <c r="N418" s="19"/>
    </row>
    <row r="419" spans="14:14" x14ac:dyDescent="0.25">
      <c r="N419" s="19"/>
    </row>
    <row r="420" spans="14:14" x14ac:dyDescent="0.25">
      <c r="N420" s="19"/>
    </row>
    <row r="421" spans="14:14" x14ac:dyDescent="0.25">
      <c r="N421" s="19"/>
    </row>
    <row r="422" spans="14:14" x14ac:dyDescent="0.25">
      <c r="N422" s="19"/>
    </row>
    <row r="423" spans="14:14" x14ac:dyDescent="0.25">
      <c r="N423" s="19"/>
    </row>
    <row r="424" spans="14:14" x14ac:dyDescent="0.25">
      <c r="N424" s="19"/>
    </row>
    <row r="425" spans="14:14" x14ac:dyDescent="0.25">
      <c r="N425" s="19"/>
    </row>
    <row r="426" spans="14:14" x14ac:dyDescent="0.25">
      <c r="N426" s="19"/>
    </row>
    <row r="427" spans="14:14" x14ac:dyDescent="0.25">
      <c r="N427" s="19"/>
    </row>
    <row r="428" spans="14:14" x14ac:dyDescent="0.25">
      <c r="N428" s="19"/>
    </row>
    <row r="429" spans="14:14" x14ac:dyDescent="0.25">
      <c r="N429" s="19"/>
    </row>
    <row r="430" spans="14:14" x14ac:dyDescent="0.25">
      <c r="N430" s="19"/>
    </row>
    <row r="431" spans="14:14" x14ac:dyDescent="0.25">
      <c r="N431" s="19"/>
    </row>
    <row r="432" spans="14:14" x14ac:dyDescent="0.25">
      <c r="N432" s="19"/>
    </row>
    <row r="433" spans="14:14" x14ac:dyDescent="0.25">
      <c r="N433" s="19"/>
    </row>
    <row r="434" spans="14:14" x14ac:dyDescent="0.25">
      <c r="N434" s="19"/>
    </row>
    <row r="435" spans="14:14" x14ac:dyDescent="0.25">
      <c r="N435" s="19"/>
    </row>
    <row r="436" spans="14:14" x14ac:dyDescent="0.25">
      <c r="N436" s="19"/>
    </row>
    <row r="437" spans="14:14" x14ac:dyDescent="0.25">
      <c r="N437" s="19"/>
    </row>
    <row r="438" spans="14:14" x14ac:dyDescent="0.25">
      <c r="N438" s="19"/>
    </row>
    <row r="439" spans="14:14" x14ac:dyDescent="0.25">
      <c r="N439" s="19"/>
    </row>
    <row r="440" spans="14:14" x14ac:dyDescent="0.25">
      <c r="N440" s="19"/>
    </row>
    <row r="441" spans="14:14" x14ac:dyDescent="0.25">
      <c r="N441" s="19"/>
    </row>
    <row r="442" spans="14:14" x14ac:dyDescent="0.25">
      <c r="N442" s="19"/>
    </row>
    <row r="443" spans="14:14" x14ac:dyDescent="0.25">
      <c r="N443" s="19"/>
    </row>
    <row r="444" spans="14:14" x14ac:dyDescent="0.25">
      <c r="N444" s="19"/>
    </row>
    <row r="445" spans="14:14" x14ac:dyDescent="0.25">
      <c r="N445" s="19"/>
    </row>
    <row r="446" spans="14:14" x14ac:dyDescent="0.25">
      <c r="N446" s="19"/>
    </row>
    <row r="447" spans="14:14" x14ac:dyDescent="0.25">
      <c r="N447" s="19"/>
    </row>
    <row r="448" spans="14:14" x14ac:dyDescent="0.25">
      <c r="N448" s="19"/>
    </row>
    <row r="449" spans="14:14" x14ac:dyDescent="0.25">
      <c r="N449" s="19"/>
    </row>
    <row r="450" spans="14:14" x14ac:dyDescent="0.25">
      <c r="N450" s="19"/>
    </row>
    <row r="451" spans="14:14" x14ac:dyDescent="0.25">
      <c r="N451" s="19"/>
    </row>
    <row r="452" spans="14:14" x14ac:dyDescent="0.25">
      <c r="N452" s="19"/>
    </row>
    <row r="453" spans="14:14" x14ac:dyDescent="0.25">
      <c r="N453" s="19"/>
    </row>
    <row r="454" spans="14:14" x14ac:dyDescent="0.25">
      <c r="N454" s="19"/>
    </row>
    <row r="455" spans="14:14" x14ac:dyDescent="0.25">
      <c r="N455" s="19"/>
    </row>
    <row r="456" spans="14:14" x14ac:dyDescent="0.25">
      <c r="N456" s="19"/>
    </row>
    <row r="457" spans="14:14" x14ac:dyDescent="0.25">
      <c r="N457" s="19"/>
    </row>
    <row r="458" spans="14:14" x14ac:dyDescent="0.25">
      <c r="N458" s="19"/>
    </row>
    <row r="459" spans="14:14" x14ac:dyDescent="0.25">
      <c r="N459" s="19"/>
    </row>
    <row r="460" spans="14:14" x14ac:dyDescent="0.25">
      <c r="N460" s="19"/>
    </row>
    <row r="461" spans="14:14" x14ac:dyDescent="0.25">
      <c r="N461" s="19"/>
    </row>
    <row r="462" spans="14:14" x14ac:dyDescent="0.25">
      <c r="N462" s="19"/>
    </row>
    <row r="463" spans="14:14" x14ac:dyDescent="0.25">
      <c r="N463" s="19"/>
    </row>
    <row r="464" spans="14:14" x14ac:dyDescent="0.25">
      <c r="N464" s="19"/>
    </row>
    <row r="465" spans="14:14" x14ac:dyDescent="0.25">
      <c r="N465" s="19"/>
    </row>
    <row r="466" spans="14:14" x14ac:dyDescent="0.25">
      <c r="N466" s="19"/>
    </row>
    <row r="467" spans="14:14" x14ac:dyDescent="0.25">
      <c r="N467" s="19"/>
    </row>
    <row r="468" spans="14:14" x14ac:dyDescent="0.25">
      <c r="N468" s="19"/>
    </row>
    <row r="469" spans="14:14" x14ac:dyDescent="0.25">
      <c r="N469" s="19"/>
    </row>
    <row r="470" spans="14:14" x14ac:dyDescent="0.25">
      <c r="N470" s="19"/>
    </row>
    <row r="471" spans="14:14" x14ac:dyDescent="0.25">
      <c r="N471" s="19"/>
    </row>
    <row r="472" spans="14:14" x14ac:dyDescent="0.25">
      <c r="N472" s="19"/>
    </row>
    <row r="473" spans="14:14" x14ac:dyDescent="0.25">
      <c r="N473" s="19"/>
    </row>
    <row r="474" spans="14:14" x14ac:dyDescent="0.25">
      <c r="N474" s="19"/>
    </row>
    <row r="475" spans="14:14" x14ac:dyDescent="0.25">
      <c r="N475" s="19"/>
    </row>
    <row r="476" spans="14:14" x14ac:dyDescent="0.25">
      <c r="N476" s="19"/>
    </row>
    <row r="477" spans="14:14" x14ac:dyDescent="0.25">
      <c r="N477" s="19"/>
    </row>
    <row r="478" spans="14:14" x14ac:dyDescent="0.25">
      <c r="N478" s="19"/>
    </row>
    <row r="479" spans="14:14" x14ac:dyDescent="0.25">
      <c r="N479" s="19"/>
    </row>
    <row r="480" spans="14:14" x14ac:dyDescent="0.25">
      <c r="N480" s="19"/>
    </row>
    <row r="481" spans="14:14" x14ac:dyDescent="0.25">
      <c r="N481" s="19"/>
    </row>
    <row r="482" spans="14:14" x14ac:dyDescent="0.25">
      <c r="N482" s="19"/>
    </row>
    <row r="483" spans="14:14" x14ac:dyDescent="0.25">
      <c r="N483" s="19"/>
    </row>
    <row r="484" spans="14:14" x14ac:dyDescent="0.25">
      <c r="N484" s="19"/>
    </row>
    <row r="485" spans="14:14" x14ac:dyDescent="0.25">
      <c r="N485" s="19"/>
    </row>
    <row r="486" spans="14:14" x14ac:dyDescent="0.25">
      <c r="N486" s="19"/>
    </row>
    <row r="487" spans="14:14" x14ac:dyDescent="0.25">
      <c r="N487" s="19"/>
    </row>
    <row r="488" spans="14:14" x14ac:dyDescent="0.25">
      <c r="N488" s="19"/>
    </row>
    <row r="489" spans="14:14" x14ac:dyDescent="0.25">
      <c r="N489" s="19"/>
    </row>
    <row r="490" spans="14:14" x14ac:dyDescent="0.25">
      <c r="N490" s="19"/>
    </row>
    <row r="491" spans="14:14" x14ac:dyDescent="0.25">
      <c r="N491" s="19"/>
    </row>
    <row r="492" spans="14:14" x14ac:dyDescent="0.25">
      <c r="N492" s="19"/>
    </row>
    <row r="493" spans="14:14" x14ac:dyDescent="0.25">
      <c r="N493" s="19"/>
    </row>
    <row r="494" spans="14:14" x14ac:dyDescent="0.25">
      <c r="N494" s="19"/>
    </row>
    <row r="495" spans="14:14" x14ac:dyDescent="0.25">
      <c r="N495" s="19"/>
    </row>
    <row r="496" spans="14:14" x14ac:dyDescent="0.25">
      <c r="N496" s="19"/>
    </row>
    <row r="497" spans="14:14" x14ac:dyDescent="0.25">
      <c r="N497" s="19"/>
    </row>
    <row r="498" spans="14:14" x14ac:dyDescent="0.25">
      <c r="N498" s="19"/>
    </row>
    <row r="499" spans="14:14" x14ac:dyDescent="0.25">
      <c r="N499" s="19"/>
    </row>
    <row r="500" spans="14:14" x14ac:dyDescent="0.25">
      <c r="N500" s="19"/>
    </row>
    <row r="501" spans="14:14" x14ac:dyDescent="0.25">
      <c r="N501" s="19"/>
    </row>
    <row r="502" spans="14:14" x14ac:dyDescent="0.25">
      <c r="N502" s="19"/>
    </row>
    <row r="503" spans="14:14" x14ac:dyDescent="0.25">
      <c r="N503" s="19"/>
    </row>
    <row r="504" spans="14:14" x14ac:dyDescent="0.25">
      <c r="N504" s="19"/>
    </row>
    <row r="505" spans="14:14" x14ac:dyDescent="0.25">
      <c r="N505" s="19"/>
    </row>
    <row r="506" spans="14:14" x14ac:dyDescent="0.25">
      <c r="N506" s="19"/>
    </row>
    <row r="507" spans="14:14" x14ac:dyDescent="0.25">
      <c r="N507" s="19"/>
    </row>
    <row r="508" spans="14:14" x14ac:dyDescent="0.25">
      <c r="N508" s="19"/>
    </row>
    <row r="509" spans="14:14" x14ac:dyDescent="0.25">
      <c r="N509" s="19"/>
    </row>
    <row r="510" spans="14:14" x14ac:dyDescent="0.25">
      <c r="N510" s="19"/>
    </row>
    <row r="511" spans="14:14" x14ac:dyDescent="0.25">
      <c r="N511" s="19"/>
    </row>
    <row r="512" spans="14:14" x14ac:dyDescent="0.25">
      <c r="N512" s="19"/>
    </row>
    <row r="513" spans="14:14" x14ac:dyDescent="0.25">
      <c r="N513" s="19"/>
    </row>
    <row r="514" spans="14:14" x14ac:dyDescent="0.25">
      <c r="N514" s="19"/>
    </row>
    <row r="515" spans="14:14" x14ac:dyDescent="0.25">
      <c r="N515" s="19"/>
    </row>
    <row r="516" spans="14:14" x14ac:dyDescent="0.25">
      <c r="N516" s="19"/>
    </row>
    <row r="517" spans="14:14" x14ac:dyDescent="0.25">
      <c r="N517" s="19"/>
    </row>
    <row r="518" spans="14:14" x14ac:dyDescent="0.25">
      <c r="N518" s="19"/>
    </row>
    <row r="519" spans="14:14" x14ac:dyDescent="0.25">
      <c r="N519" s="19"/>
    </row>
    <row r="520" spans="14:14" x14ac:dyDescent="0.25">
      <c r="N520" s="19"/>
    </row>
    <row r="521" spans="14:14" x14ac:dyDescent="0.25">
      <c r="N521" s="19"/>
    </row>
    <row r="522" spans="14:14" x14ac:dyDescent="0.25">
      <c r="N522" s="19"/>
    </row>
    <row r="523" spans="14:14" x14ac:dyDescent="0.25">
      <c r="N523" s="19"/>
    </row>
    <row r="524" spans="14:14" x14ac:dyDescent="0.25">
      <c r="N524" s="19"/>
    </row>
    <row r="525" spans="14:14" x14ac:dyDescent="0.25">
      <c r="N525" s="19"/>
    </row>
    <row r="526" spans="14:14" x14ac:dyDescent="0.25">
      <c r="N526" s="19"/>
    </row>
    <row r="527" spans="14:14" x14ac:dyDescent="0.25">
      <c r="N527" s="19"/>
    </row>
    <row r="528" spans="14:14" x14ac:dyDescent="0.25">
      <c r="N528" s="19"/>
    </row>
    <row r="529" spans="14:14" x14ac:dyDescent="0.25">
      <c r="N529" s="19"/>
    </row>
    <row r="530" spans="14:14" x14ac:dyDescent="0.25">
      <c r="N530" s="19"/>
    </row>
    <row r="531" spans="14:14" x14ac:dyDescent="0.25">
      <c r="N531" s="19"/>
    </row>
    <row r="532" spans="14:14" x14ac:dyDescent="0.25">
      <c r="N532" s="19"/>
    </row>
    <row r="533" spans="14:14" x14ac:dyDescent="0.25">
      <c r="N533" s="19"/>
    </row>
    <row r="534" spans="14:14" x14ac:dyDescent="0.25">
      <c r="N534" s="19"/>
    </row>
    <row r="535" spans="14:14" x14ac:dyDescent="0.25">
      <c r="N535" s="19"/>
    </row>
    <row r="536" spans="14:14" x14ac:dyDescent="0.25">
      <c r="N536" s="19"/>
    </row>
    <row r="537" spans="14:14" x14ac:dyDescent="0.25">
      <c r="N537" s="19"/>
    </row>
    <row r="538" spans="14:14" x14ac:dyDescent="0.25">
      <c r="N538" s="19"/>
    </row>
    <row r="539" spans="14:14" x14ac:dyDescent="0.25">
      <c r="N539" s="19"/>
    </row>
    <row r="540" spans="14:14" x14ac:dyDescent="0.25">
      <c r="N540" s="19"/>
    </row>
    <row r="541" spans="14:14" x14ac:dyDescent="0.25">
      <c r="N541" s="19"/>
    </row>
    <row r="542" spans="14:14" x14ac:dyDescent="0.25">
      <c r="N542" s="19"/>
    </row>
    <row r="543" spans="14:14" x14ac:dyDescent="0.25">
      <c r="N543" s="19"/>
    </row>
    <row r="544" spans="14:14" x14ac:dyDescent="0.25">
      <c r="N544" s="19"/>
    </row>
    <row r="545" spans="14:14" x14ac:dyDescent="0.25">
      <c r="N545" s="19"/>
    </row>
    <row r="546" spans="14:14" x14ac:dyDescent="0.25">
      <c r="N546" s="19"/>
    </row>
    <row r="547" spans="14:14" x14ac:dyDescent="0.25">
      <c r="N547" s="19"/>
    </row>
    <row r="548" spans="14:14" x14ac:dyDescent="0.25">
      <c r="N548" s="19"/>
    </row>
    <row r="549" spans="14:14" x14ac:dyDescent="0.25">
      <c r="N549" s="19"/>
    </row>
    <row r="550" spans="14:14" x14ac:dyDescent="0.25">
      <c r="N550" s="19"/>
    </row>
    <row r="551" spans="14:14" x14ac:dyDescent="0.25">
      <c r="N551" s="19"/>
    </row>
    <row r="552" spans="14:14" x14ac:dyDescent="0.25">
      <c r="N552" s="19"/>
    </row>
    <row r="553" spans="14:14" x14ac:dyDescent="0.25">
      <c r="N553" s="19"/>
    </row>
    <row r="554" spans="14:14" x14ac:dyDescent="0.25">
      <c r="N554" s="19"/>
    </row>
    <row r="555" spans="14:14" x14ac:dyDescent="0.25">
      <c r="N555" s="19"/>
    </row>
    <row r="556" spans="14:14" x14ac:dyDescent="0.25">
      <c r="N556" s="19"/>
    </row>
    <row r="557" spans="14:14" x14ac:dyDescent="0.25">
      <c r="N557" s="19"/>
    </row>
    <row r="558" spans="14:14" x14ac:dyDescent="0.25">
      <c r="N558" s="19"/>
    </row>
    <row r="559" spans="14:14" x14ac:dyDescent="0.25">
      <c r="N559" s="19"/>
    </row>
    <row r="560" spans="14:14" x14ac:dyDescent="0.25">
      <c r="N560" s="19"/>
    </row>
    <row r="561" spans="14:14" x14ac:dyDescent="0.25">
      <c r="N561" s="19"/>
    </row>
    <row r="562" spans="14:14" x14ac:dyDescent="0.25">
      <c r="N562" s="19"/>
    </row>
    <row r="563" spans="14:14" x14ac:dyDescent="0.25">
      <c r="N563" s="19"/>
    </row>
    <row r="564" spans="14:14" x14ac:dyDescent="0.25">
      <c r="N564" s="19"/>
    </row>
    <row r="565" spans="14:14" x14ac:dyDescent="0.25">
      <c r="N565" s="19"/>
    </row>
    <row r="566" spans="14:14" x14ac:dyDescent="0.25">
      <c r="N566" s="19"/>
    </row>
    <row r="567" spans="14:14" x14ac:dyDescent="0.25">
      <c r="N567" s="19"/>
    </row>
    <row r="568" spans="14:14" x14ac:dyDescent="0.25">
      <c r="N568" s="19"/>
    </row>
    <row r="569" spans="14:14" x14ac:dyDescent="0.25">
      <c r="N569" s="19"/>
    </row>
    <row r="570" spans="14:14" x14ac:dyDescent="0.25">
      <c r="N570" s="19"/>
    </row>
    <row r="571" spans="14:14" x14ac:dyDescent="0.25">
      <c r="N571" s="19"/>
    </row>
    <row r="572" spans="14:14" x14ac:dyDescent="0.25">
      <c r="N572" s="19"/>
    </row>
    <row r="573" spans="14:14" x14ac:dyDescent="0.25">
      <c r="N573" s="19"/>
    </row>
    <row r="574" spans="14:14" x14ac:dyDescent="0.25">
      <c r="N574" s="19"/>
    </row>
    <row r="575" spans="14:14" x14ac:dyDescent="0.25">
      <c r="N575" s="19"/>
    </row>
    <row r="576" spans="14:14" x14ac:dyDescent="0.25">
      <c r="N576" s="19"/>
    </row>
    <row r="577" spans="14:14" x14ac:dyDescent="0.25">
      <c r="N577" s="19"/>
    </row>
    <row r="578" spans="14:14" x14ac:dyDescent="0.25">
      <c r="N578" s="19"/>
    </row>
    <row r="579" spans="14:14" x14ac:dyDescent="0.25">
      <c r="N579" s="19"/>
    </row>
    <row r="580" spans="14:14" x14ac:dyDescent="0.25">
      <c r="N580" s="19"/>
    </row>
    <row r="581" spans="14:14" x14ac:dyDescent="0.25">
      <c r="N581" s="19"/>
    </row>
    <row r="582" spans="14:14" x14ac:dyDescent="0.25">
      <c r="N582" s="19"/>
    </row>
    <row r="583" spans="14:14" x14ac:dyDescent="0.25">
      <c r="N583" s="19"/>
    </row>
    <row r="584" spans="14:14" x14ac:dyDescent="0.25">
      <c r="N584" s="19"/>
    </row>
    <row r="585" spans="14:14" x14ac:dyDescent="0.25">
      <c r="N585" s="19"/>
    </row>
    <row r="586" spans="14:14" x14ac:dyDescent="0.25">
      <c r="N586" s="19"/>
    </row>
    <row r="587" spans="14:14" x14ac:dyDescent="0.25">
      <c r="N587" s="19"/>
    </row>
    <row r="588" spans="14:14" x14ac:dyDescent="0.25">
      <c r="N588" s="19"/>
    </row>
    <row r="589" spans="14:14" x14ac:dyDescent="0.25">
      <c r="N589" s="19"/>
    </row>
    <row r="590" spans="14:14" x14ac:dyDescent="0.25">
      <c r="N590" s="19"/>
    </row>
    <row r="591" spans="14:14" x14ac:dyDescent="0.25">
      <c r="N591" s="19"/>
    </row>
    <row r="592" spans="14:14" x14ac:dyDescent="0.25">
      <c r="N592" s="19"/>
    </row>
    <row r="593" spans="14:14" x14ac:dyDescent="0.25">
      <c r="N593" s="19"/>
    </row>
    <row r="594" spans="14:14" x14ac:dyDescent="0.25">
      <c r="N594" s="19"/>
    </row>
    <row r="595" spans="14:14" x14ac:dyDescent="0.25">
      <c r="N595" s="19"/>
    </row>
    <row r="596" spans="14:14" x14ac:dyDescent="0.25">
      <c r="N596" s="19"/>
    </row>
    <row r="597" spans="14:14" x14ac:dyDescent="0.25">
      <c r="N597" s="19"/>
    </row>
    <row r="598" spans="14:14" x14ac:dyDescent="0.25">
      <c r="N598" s="19"/>
    </row>
    <row r="599" spans="14:14" x14ac:dyDescent="0.25">
      <c r="N599" s="19"/>
    </row>
    <row r="600" spans="14:14" x14ac:dyDescent="0.25">
      <c r="N600" s="19"/>
    </row>
    <row r="601" spans="14:14" x14ac:dyDescent="0.25">
      <c r="N601" s="19"/>
    </row>
    <row r="602" spans="14:14" x14ac:dyDescent="0.25">
      <c r="N602" s="19"/>
    </row>
    <row r="603" spans="14:14" x14ac:dyDescent="0.25">
      <c r="N603" s="19"/>
    </row>
    <row r="604" spans="14:14" x14ac:dyDescent="0.25">
      <c r="N604" s="19"/>
    </row>
    <row r="605" spans="14:14" x14ac:dyDescent="0.25">
      <c r="N605" s="19"/>
    </row>
    <row r="606" spans="14:14" x14ac:dyDescent="0.25">
      <c r="N606" s="19"/>
    </row>
    <row r="607" spans="14:14" x14ac:dyDescent="0.25">
      <c r="N607" s="19"/>
    </row>
    <row r="608" spans="14:14" x14ac:dyDescent="0.25">
      <c r="N608" s="19"/>
    </row>
    <row r="609" spans="14:14" x14ac:dyDescent="0.25">
      <c r="N609" s="19"/>
    </row>
    <row r="610" spans="14:14" x14ac:dyDescent="0.25">
      <c r="N610" s="19"/>
    </row>
    <row r="611" spans="14:14" x14ac:dyDescent="0.25">
      <c r="N611" s="19"/>
    </row>
    <row r="612" spans="14:14" x14ac:dyDescent="0.25">
      <c r="N612" s="19"/>
    </row>
    <row r="613" spans="14:14" x14ac:dyDescent="0.25">
      <c r="N613" s="19"/>
    </row>
    <row r="614" spans="14:14" x14ac:dyDescent="0.25">
      <c r="N614" s="19"/>
    </row>
    <row r="615" spans="14:14" x14ac:dyDescent="0.25">
      <c r="N615" s="19"/>
    </row>
    <row r="616" spans="14:14" x14ac:dyDescent="0.25">
      <c r="N616" s="19"/>
    </row>
    <row r="617" spans="14:14" x14ac:dyDescent="0.25">
      <c r="N617" s="19"/>
    </row>
    <row r="618" spans="14:14" x14ac:dyDescent="0.25">
      <c r="N618" s="19"/>
    </row>
  </sheetData>
  <mergeCells count="1">
    <mergeCell ref="F1:H1"/>
  </mergeCells>
  <phoneticPr fontId="14" type="noConversion"/>
  <pageMargins left="0.75" right="0.75" top="1" bottom="0.75" header="0.5" footer="0.5"/>
  <pageSetup scale="56" fitToHeight="0" orientation="landscape" horizontalDpi="4294967292" verticalDpi="4294967292"/>
  <headerFooter>
    <oddHeader>&amp;C&amp;"Calibri,Regular"&amp;16&amp;K000000Cultural Services</oddHeader>
  </headerFooter>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CC"/>
    <pageSetUpPr fitToPage="1"/>
  </sheetPr>
  <dimension ref="A1:AA320"/>
  <sheetViews>
    <sheetView workbookViewId="0">
      <pane ySplit="4" topLeftCell="A5" activePane="bottomLeft" state="frozen"/>
      <selection pane="bottomLeft" activeCell="W1" sqref="W1:W1048576"/>
    </sheetView>
  </sheetViews>
  <sheetFormatPr defaultColWidth="11" defaultRowHeight="15.75" x14ac:dyDescent="0.25"/>
  <cols>
    <col min="1" max="1" width="33.75" customWidth="1"/>
    <col min="2" max="9" width="13" customWidth="1"/>
    <col min="10" max="10" width="13.875" customWidth="1"/>
    <col min="11" max="11" width="14.125" style="278" bestFit="1" customWidth="1"/>
    <col min="12" max="12" width="13.875" customWidth="1"/>
    <col min="13" max="13" width="15.125" hidden="1" customWidth="1"/>
    <col min="14" max="14" width="11" style="124"/>
    <col min="15" max="17" width="12.875" customWidth="1"/>
    <col min="23" max="23" width="48.875" style="19" hidden="1" customWidth="1"/>
    <col min="24" max="25" width="11" style="19"/>
    <col min="26" max="26" width="26" style="19" customWidth="1"/>
    <col min="27" max="27" width="11" style="19"/>
  </cols>
  <sheetData>
    <row r="1" spans="1:27" ht="18.75" x14ac:dyDescent="0.3">
      <c r="A1" s="41" t="s">
        <v>36</v>
      </c>
      <c r="B1" s="2"/>
      <c r="C1" s="2"/>
      <c r="D1" s="2"/>
      <c r="E1" s="2"/>
      <c r="F1" s="1020" t="s">
        <v>154</v>
      </c>
      <c r="G1" s="1020"/>
      <c r="H1" s="1020"/>
      <c r="I1" s="2"/>
      <c r="J1" s="357"/>
      <c r="K1" s="295"/>
      <c r="L1" s="357"/>
      <c r="M1" s="357"/>
    </row>
    <row r="2" spans="1:27" x14ac:dyDescent="0.25">
      <c r="A2" s="2"/>
    </row>
    <row r="3" spans="1:27" x14ac:dyDescent="0.25">
      <c r="A3" s="2"/>
      <c r="B3" s="435" t="s">
        <v>58</v>
      </c>
      <c r="C3" s="360" t="s">
        <v>58</v>
      </c>
      <c r="D3" s="360" t="s">
        <v>58</v>
      </c>
      <c r="E3" s="360" t="s">
        <v>58</v>
      </c>
      <c r="F3" s="360" t="s">
        <v>58</v>
      </c>
      <c r="G3" s="360" t="s">
        <v>58</v>
      </c>
      <c r="H3" s="360" t="s">
        <v>58</v>
      </c>
      <c r="I3" s="360" t="s">
        <v>58</v>
      </c>
      <c r="J3" s="436" t="s">
        <v>58</v>
      </c>
      <c r="K3" s="435" t="s">
        <v>58</v>
      </c>
      <c r="L3" s="441" t="s">
        <v>58</v>
      </c>
      <c r="M3" s="360" t="s">
        <v>58</v>
      </c>
    </row>
    <row r="4" spans="1:27" x14ac:dyDescent="0.25">
      <c r="A4" s="2"/>
      <c r="B4" s="437" t="s">
        <v>55</v>
      </c>
      <c r="C4" s="205" t="s">
        <v>55</v>
      </c>
      <c r="D4" s="205" t="s">
        <v>55</v>
      </c>
      <c r="E4" s="205" t="s">
        <v>55</v>
      </c>
      <c r="F4" s="205" t="s">
        <v>55</v>
      </c>
      <c r="G4" s="205" t="s">
        <v>55</v>
      </c>
      <c r="H4" s="205" t="s">
        <v>55</v>
      </c>
      <c r="I4" s="205" t="s">
        <v>55</v>
      </c>
      <c r="J4" s="438" t="s">
        <v>55</v>
      </c>
      <c r="K4" s="437" t="s">
        <v>151</v>
      </c>
      <c r="L4" s="442" t="s">
        <v>56</v>
      </c>
      <c r="M4" s="205" t="s">
        <v>253</v>
      </c>
    </row>
    <row r="5" spans="1:27" ht="16.5" thickBot="1" x14ac:dyDescent="0.3">
      <c r="B5" s="439">
        <v>2009</v>
      </c>
      <c r="C5" s="367">
        <v>2010</v>
      </c>
      <c r="D5" s="367">
        <v>2011</v>
      </c>
      <c r="E5" s="367">
        <v>2012</v>
      </c>
      <c r="F5" s="367">
        <v>2013</v>
      </c>
      <c r="G5" s="367">
        <v>2014</v>
      </c>
      <c r="H5" s="367">
        <v>2015</v>
      </c>
      <c r="I5" s="367">
        <v>2016</v>
      </c>
      <c r="J5" s="440">
        <v>2017</v>
      </c>
      <c r="K5" s="439">
        <v>2018</v>
      </c>
      <c r="L5" s="456">
        <v>2019</v>
      </c>
      <c r="M5" s="367">
        <v>2018</v>
      </c>
      <c r="O5" s="2"/>
    </row>
    <row r="6" spans="1:27" s="278" customFormat="1" ht="18.75" x14ac:dyDescent="0.3">
      <c r="A6" s="850" t="s">
        <v>333</v>
      </c>
      <c r="B6" s="378"/>
      <c r="C6" s="371"/>
      <c r="D6" s="371"/>
      <c r="E6" s="371"/>
      <c r="F6" s="371"/>
      <c r="G6" s="371"/>
      <c r="H6" s="371"/>
      <c r="I6" s="371"/>
      <c r="J6" s="379"/>
      <c r="K6" s="463"/>
      <c r="L6" s="464"/>
      <c r="M6" s="379"/>
      <c r="N6" s="126"/>
      <c r="O6" s="2"/>
      <c r="W6" s="19"/>
      <c r="X6" s="19"/>
      <c r="Y6" s="19"/>
      <c r="Z6" s="19"/>
      <c r="AA6" s="19"/>
    </row>
    <row r="7" spans="1:27" x14ac:dyDescent="0.25">
      <c r="A7" s="851" t="s">
        <v>92</v>
      </c>
      <c r="B7" s="380">
        <v>1040246</v>
      </c>
      <c r="C7" s="315">
        <f>1338238+154722+25752</f>
        <v>1518712</v>
      </c>
      <c r="D7" s="315">
        <f>34752+1210207+171796+2308</f>
        <v>1419063</v>
      </c>
      <c r="E7" s="315">
        <f>45959+1605963+72350+2</f>
        <v>1724274</v>
      </c>
      <c r="F7" s="315">
        <f>70260+1578378+3</f>
        <v>1648641</v>
      </c>
      <c r="G7" s="315">
        <f>59365+2345732+23342-13849</f>
        <v>2414590</v>
      </c>
      <c r="H7" s="315">
        <f>80644+2564610-108</f>
        <v>2645146</v>
      </c>
      <c r="I7" s="315">
        <f>-347+112630+2843121+25</f>
        <v>2955429</v>
      </c>
      <c r="J7" s="381">
        <v>2567529</v>
      </c>
      <c r="K7" s="315">
        <v>3018400</v>
      </c>
      <c r="L7" s="372">
        <v>3151070</v>
      </c>
      <c r="M7" s="381">
        <v>3614900</v>
      </c>
      <c r="N7" s="121"/>
      <c r="O7" s="3"/>
    </row>
    <row r="8" spans="1:27" x14ac:dyDescent="0.25">
      <c r="A8" s="852" t="s">
        <v>88</v>
      </c>
      <c r="B8" s="380">
        <v>0</v>
      </c>
      <c r="C8" s="315">
        <v>0</v>
      </c>
      <c r="D8" s="315">
        <v>0</v>
      </c>
      <c r="E8" s="315">
        <v>0</v>
      </c>
      <c r="F8" s="315">
        <v>0</v>
      </c>
      <c r="G8" s="315">
        <v>0</v>
      </c>
      <c r="H8" s="315">
        <v>0</v>
      </c>
      <c r="I8" s="315">
        <v>0</v>
      </c>
      <c r="J8" s="381">
        <v>0</v>
      </c>
      <c r="K8" s="315">
        <v>0</v>
      </c>
      <c r="L8" s="372">
        <v>0</v>
      </c>
      <c r="M8" s="381">
        <v>0</v>
      </c>
      <c r="N8" s="121"/>
      <c r="O8" s="3"/>
      <c r="W8" s="147"/>
    </row>
    <row r="9" spans="1:27" x14ac:dyDescent="0.25">
      <c r="A9" s="853" t="s">
        <v>93</v>
      </c>
      <c r="B9" s="380">
        <v>0</v>
      </c>
      <c r="C9" s="315">
        <v>0</v>
      </c>
      <c r="D9" s="315">
        <v>0</v>
      </c>
      <c r="E9" s="315">
        <v>0</v>
      </c>
      <c r="F9" s="315">
        <v>0</v>
      </c>
      <c r="G9" s="315">
        <v>0</v>
      </c>
      <c r="H9" s="315">
        <v>0</v>
      </c>
      <c r="I9" s="315">
        <v>0</v>
      </c>
      <c r="J9" s="381">
        <v>0</v>
      </c>
      <c r="K9" s="315">
        <v>0</v>
      </c>
      <c r="L9" s="372">
        <v>0</v>
      </c>
      <c r="M9" s="381">
        <v>0</v>
      </c>
      <c r="N9" s="121"/>
      <c r="O9" s="3"/>
    </row>
    <row r="10" spans="1:27" ht="16.5" thickBot="1" x14ac:dyDescent="0.3">
      <c r="A10" s="854" t="s">
        <v>125</v>
      </c>
      <c r="B10" s="380">
        <v>0</v>
      </c>
      <c r="C10" s="315">
        <v>0</v>
      </c>
      <c r="D10" s="315">
        <v>0</v>
      </c>
      <c r="E10" s="315">
        <v>0</v>
      </c>
      <c r="F10" s="315">
        <v>0</v>
      </c>
      <c r="G10" s="315">
        <v>0</v>
      </c>
      <c r="H10" s="315">
        <v>0</v>
      </c>
      <c r="I10" s="315">
        <v>0</v>
      </c>
      <c r="J10" s="381">
        <v>0</v>
      </c>
      <c r="K10" s="315">
        <v>0</v>
      </c>
      <c r="L10" s="372">
        <v>0</v>
      </c>
      <c r="M10" s="381">
        <v>0</v>
      </c>
      <c r="N10" s="121"/>
      <c r="O10" s="3"/>
    </row>
    <row r="11" spans="1:27" ht="16.5" hidden="1" thickBot="1" x14ac:dyDescent="0.3">
      <c r="A11" s="856" t="s">
        <v>114</v>
      </c>
      <c r="B11" s="382"/>
      <c r="C11" s="369"/>
      <c r="D11" s="369"/>
      <c r="E11" s="369"/>
      <c r="F11" s="369"/>
      <c r="G11" s="369"/>
      <c r="H11" s="369"/>
      <c r="I11" s="369">
        <f>-I10</f>
        <v>0</v>
      </c>
      <c r="J11" s="383">
        <f>-J10</f>
        <v>0</v>
      </c>
      <c r="K11" s="369"/>
      <c r="L11" s="373">
        <f>-L10</f>
        <v>0</v>
      </c>
      <c r="M11" s="383">
        <f>-M10</f>
        <v>0</v>
      </c>
      <c r="N11" s="121"/>
      <c r="O11" s="2"/>
    </row>
    <row r="12" spans="1:27" ht="17.25" thickTop="1" thickBot="1" x14ac:dyDescent="0.3">
      <c r="A12" s="896" t="s">
        <v>100</v>
      </c>
      <c r="B12" s="604">
        <f>SUM(B7:B11)</f>
        <v>1040246</v>
      </c>
      <c r="C12" s="605">
        <f t="shared" ref="C12:M12" si="0">SUM(C7:C11)</f>
        <v>1518712</v>
      </c>
      <c r="D12" s="605">
        <f t="shared" si="0"/>
        <v>1419063</v>
      </c>
      <c r="E12" s="605">
        <f t="shared" si="0"/>
        <v>1724274</v>
      </c>
      <c r="F12" s="605">
        <f t="shared" si="0"/>
        <v>1648641</v>
      </c>
      <c r="G12" s="605">
        <f t="shared" si="0"/>
        <v>2414590</v>
      </c>
      <c r="H12" s="605">
        <f t="shared" si="0"/>
        <v>2645146</v>
      </c>
      <c r="I12" s="605">
        <f t="shared" si="0"/>
        <v>2955429</v>
      </c>
      <c r="J12" s="606">
        <f t="shared" si="0"/>
        <v>2567529</v>
      </c>
      <c r="K12" s="605">
        <f>SUM(K7:K11)</f>
        <v>3018400</v>
      </c>
      <c r="L12" s="607">
        <f>SUM(L7:L11)</f>
        <v>3151070</v>
      </c>
      <c r="M12" s="433">
        <f t="shared" si="0"/>
        <v>3614900</v>
      </c>
      <c r="N12" s="126"/>
      <c r="O12" s="2"/>
    </row>
    <row r="13" spans="1:27" x14ac:dyDescent="0.25">
      <c r="A13" s="858"/>
      <c r="B13" s="407"/>
      <c r="C13" s="312"/>
      <c r="D13" s="312"/>
      <c r="E13" s="312"/>
      <c r="F13" s="312"/>
      <c r="G13" s="312"/>
      <c r="H13" s="312"/>
      <c r="I13" s="312"/>
      <c r="J13" s="400"/>
      <c r="K13" s="312"/>
      <c r="L13" s="444"/>
      <c r="M13" s="312"/>
      <c r="N13" s="126"/>
      <c r="O13" s="2"/>
    </row>
    <row r="14" spans="1:27" ht="16.5" thickBot="1" x14ac:dyDescent="0.3">
      <c r="A14" s="874"/>
      <c r="B14" s="380"/>
      <c r="C14" s="313"/>
      <c r="D14" s="313"/>
      <c r="E14" s="313"/>
      <c r="F14" s="313"/>
      <c r="G14" s="313"/>
      <c r="H14" s="313"/>
      <c r="I14" s="313"/>
      <c r="J14" s="381"/>
      <c r="K14" s="313"/>
      <c r="L14" s="372"/>
      <c r="M14" s="313"/>
      <c r="N14" s="126"/>
      <c r="O14" s="2"/>
    </row>
    <row r="15" spans="1:27" ht="18.75" x14ac:dyDescent="0.3">
      <c r="A15" s="860" t="s">
        <v>332</v>
      </c>
      <c r="B15" s="521">
        <v>2009</v>
      </c>
      <c r="C15" s="522">
        <v>2010</v>
      </c>
      <c r="D15" s="522">
        <v>2011</v>
      </c>
      <c r="E15" s="522">
        <v>2012</v>
      </c>
      <c r="F15" s="522">
        <v>2013</v>
      </c>
      <c r="G15" s="522">
        <v>2014</v>
      </c>
      <c r="H15" s="522">
        <v>2015</v>
      </c>
      <c r="I15" s="522">
        <v>2016</v>
      </c>
      <c r="J15" s="523">
        <v>2017</v>
      </c>
      <c r="K15" s="522">
        <v>2018</v>
      </c>
      <c r="L15" s="524">
        <v>2019</v>
      </c>
      <c r="M15" s="520">
        <v>2018</v>
      </c>
      <c r="N15" s="535"/>
    </row>
    <row r="16" spans="1:27" x14ac:dyDescent="0.25">
      <c r="A16" s="851" t="s">
        <v>92</v>
      </c>
      <c r="B16" s="380">
        <f>3057459-638106</f>
        <v>2419353</v>
      </c>
      <c r="C16" s="315">
        <f>388755+887006+605974+667163</f>
        <v>2548898</v>
      </c>
      <c r="D16" s="315">
        <f>3112191-586136</f>
        <v>2526055</v>
      </c>
      <c r="E16" s="315">
        <f>334756+743712+277620+669911</f>
        <v>2025999</v>
      </c>
      <c r="F16" s="315">
        <f>385631+898488+316154+802919</f>
        <v>2403192</v>
      </c>
      <c r="G16" s="315">
        <f>520440+1045443+627764+881257</f>
        <v>3074904</v>
      </c>
      <c r="H16" s="315">
        <v>4228418</v>
      </c>
      <c r="I16" s="315">
        <v>3414725</v>
      </c>
      <c r="J16" s="381">
        <v>3625112</v>
      </c>
      <c r="K16" s="315">
        <v>4040885</v>
      </c>
      <c r="L16" s="372">
        <v>3135765</v>
      </c>
      <c r="M16" s="381">
        <v>3878480</v>
      </c>
      <c r="N16" s="126"/>
    </row>
    <row r="17" spans="1:27" x14ac:dyDescent="0.25">
      <c r="A17" s="852" t="s">
        <v>88</v>
      </c>
      <c r="B17" s="380">
        <v>0</v>
      </c>
      <c r="C17" s="315">
        <v>0</v>
      </c>
      <c r="D17" s="315">
        <v>0</v>
      </c>
      <c r="E17" s="315">
        <v>0</v>
      </c>
      <c r="F17" s="315">
        <v>0</v>
      </c>
      <c r="G17" s="315">
        <v>0</v>
      </c>
      <c r="H17" s="315">
        <v>0</v>
      </c>
      <c r="I17" s="315">
        <v>0</v>
      </c>
      <c r="J17" s="381">
        <v>0</v>
      </c>
      <c r="K17" s="315">
        <v>0</v>
      </c>
      <c r="L17" s="372">
        <v>0</v>
      </c>
      <c r="M17" s="381">
        <v>0</v>
      </c>
      <c r="N17" s="127"/>
    </row>
    <row r="18" spans="1:27" x14ac:dyDescent="0.25">
      <c r="A18" s="853" t="s">
        <v>93</v>
      </c>
      <c r="B18" s="380">
        <v>0</v>
      </c>
      <c r="C18" s="315">
        <v>0</v>
      </c>
      <c r="D18" s="315">
        <v>0</v>
      </c>
      <c r="E18" s="315">
        <v>0</v>
      </c>
      <c r="F18" s="315">
        <v>0</v>
      </c>
      <c r="G18" s="315">
        <v>0</v>
      </c>
      <c r="H18" s="315">
        <v>0</v>
      </c>
      <c r="I18" s="315">
        <v>0</v>
      </c>
      <c r="J18" s="381">
        <v>0</v>
      </c>
      <c r="K18" s="315">
        <v>0</v>
      </c>
      <c r="L18" s="372">
        <v>0</v>
      </c>
      <c r="M18" s="381">
        <v>0</v>
      </c>
    </row>
    <row r="19" spans="1:27" x14ac:dyDescent="0.25">
      <c r="A19" s="854" t="s">
        <v>78</v>
      </c>
      <c r="B19" s="380">
        <v>0</v>
      </c>
      <c r="C19" s="315">
        <v>0</v>
      </c>
      <c r="D19" s="315">
        <v>0</v>
      </c>
      <c r="E19" s="315">
        <v>0</v>
      </c>
      <c r="F19" s="315">
        <v>0</v>
      </c>
      <c r="G19" s="315">
        <v>0</v>
      </c>
      <c r="H19" s="315">
        <v>0</v>
      </c>
      <c r="I19" s="315">
        <v>0</v>
      </c>
      <c r="J19" s="381">
        <v>0</v>
      </c>
      <c r="K19" s="315">
        <v>0</v>
      </c>
      <c r="L19" s="372">
        <v>0</v>
      </c>
      <c r="M19" s="381">
        <v>0</v>
      </c>
    </row>
    <row r="20" spans="1:27" ht="16.5" thickBot="1" x14ac:dyDescent="0.3">
      <c r="A20" s="907"/>
      <c r="B20" s="382"/>
      <c r="C20" s="369"/>
      <c r="D20" s="369"/>
      <c r="E20" s="369"/>
      <c r="F20" s="369"/>
      <c r="G20" s="369"/>
      <c r="H20" s="369"/>
      <c r="I20" s="369"/>
      <c r="J20" s="383"/>
      <c r="K20" s="369"/>
      <c r="L20" s="373"/>
      <c r="M20" s="383">
        <v>0</v>
      </c>
      <c r="N20" s="488"/>
    </row>
    <row r="21" spans="1:27" ht="17.25" thickTop="1" thickBot="1" x14ac:dyDescent="0.3">
      <c r="A21" s="896" t="s">
        <v>102</v>
      </c>
      <c r="B21" s="475">
        <f>SUM(B16:B19)</f>
        <v>2419353</v>
      </c>
      <c r="C21" s="476">
        <f t="shared" ref="C21:M21" si="1">SUM(C16:C19)</f>
        <v>2548898</v>
      </c>
      <c r="D21" s="476">
        <f t="shared" si="1"/>
        <v>2526055</v>
      </c>
      <c r="E21" s="476">
        <f t="shared" si="1"/>
        <v>2025999</v>
      </c>
      <c r="F21" s="476">
        <f t="shared" si="1"/>
        <v>2403192</v>
      </c>
      <c r="G21" s="476">
        <f t="shared" si="1"/>
        <v>3074904</v>
      </c>
      <c r="H21" s="476">
        <f t="shared" si="1"/>
        <v>4228418</v>
      </c>
      <c r="I21" s="476">
        <f t="shared" si="1"/>
        <v>3414725</v>
      </c>
      <c r="J21" s="477">
        <f t="shared" si="1"/>
        <v>3625112</v>
      </c>
      <c r="K21" s="476">
        <f>SUM(K16:K19)</f>
        <v>4040885</v>
      </c>
      <c r="L21" s="478">
        <f>SUM(L16:L19)</f>
        <v>3135765</v>
      </c>
      <c r="M21" s="433">
        <f t="shared" si="1"/>
        <v>3878480</v>
      </c>
      <c r="N21" s="488"/>
    </row>
    <row r="22" spans="1:27" x14ac:dyDescent="0.25">
      <c r="A22" s="979"/>
      <c r="B22" s="588"/>
      <c r="C22" s="121"/>
      <c r="D22" s="121"/>
      <c r="E22" s="121"/>
      <c r="F22" s="121"/>
      <c r="G22" s="121"/>
      <c r="H22" s="121"/>
      <c r="I22" s="121"/>
      <c r="J22" s="592"/>
      <c r="K22" s="121"/>
      <c r="L22" s="598"/>
      <c r="M22" s="121"/>
    </row>
    <row r="23" spans="1:27" x14ac:dyDescent="0.25">
      <c r="A23" s="875"/>
      <c r="B23" s="392"/>
      <c r="J23" s="393"/>
      <c r="L23" s="163"/>
      <c r="N23" s="120"/>
    </row>
    <row r="24" spans="1:27" x14ac:dyDescent="0.25">
      <c r="A24" s="875"/>
      <c r="B24" s="525">
        <v>2009</v>
      </c>
      <c r="C24" s="46">
        <v>2010</v>
      </c>
      <c r="D24" s="46">
        <v>2011</v>
      </c>
      <c r="E24" s="46">
        <v>2012</v>
      </c>
      <c r="F24" s="46">
        <v>2013</v>
      </c>
      <c r="G24" s="46">
        <v>2014</v>
      </c>
      <c r="H24" s="46">
        <v>2015</v>
      </c>
      <c r="I24" s="46">
        <v>2016</v>
      </c>
      <c r="J24" s="46">
        <v>2017</v>
      </c>
      <c r="K24" s="525">
        <v>2018</v>
      </c>
      <c r="L24" s="443">
        <v>2019</v>
      </c>
      <c r="M24" s="146">
        <v>2018</v>
      </c>
    </row>
    <row r="25" spans="1:27" x14ac:dyDescent="0.25">
      <c r="A25" s="851" t="s">
        <v>152</v>
      </c>
      <c r="B25" s="511">
        <f t="shared" ref="B25:M25" si="2">+B16/B26</f>
        <v>38.303932744371615</v>
      </c>
      <c r="C25" s="512">
        <f t="shared" si="2"/>
        <v>37.626553688996488</v>
      </c>
      <c r="D25" s="512">
        <f t="shared" si="2"/>
        <v>36.736740303369643</v>
      </c>
      <c r="E25" s="512">
        <f t="shared" si="2"/>
        <v>29.217908596645565</v>
      </c>
      <c r="F25" s="512">
        <f t="shared" si="2"/>
        <v>34.150802898962624</v>
      </c>
      <c r="G25" s="512">
        <f t="shared" si="2"/>
        <v>43.29204387064074</v>
      </c>
      <c r="H25" s="512">
        <f t="shared" si="2"/>
        <v>57.592181966766546</v>
      </c>
      <c r="I25" s="512">
        <f t="shared" si="2"/>
        <v>45.906096659272706</v>
      </c>
      <c r="J25" s="512">
        <f t="shared" si="2"/>
        <v>47.799472573839665</v>
      </c>
      <c r="K25" s="511">
        <f t="shared" si="2"/>
        <v>52.301066500996612</v>
      </c>
      <c r="L25" s="514">
        <f t="shared" si="2"/>
        <v>39.703279311218033</v>
      </c>
      <c r="M25" s="8">
        <f t="shared" si="2"/>
        <v>50.199062928735991</v>
      </c>
      <c r="N25" s="120"/>
    </row>
    <row r="26" spans="1:27" x14ac:dyDescent="0.25">
      <c r="A26" s="980" t="s">
        <v>340</v>
      </c>
      <c r="B26" s="390">
        <f>Stats!D4</f>
        <v>63162</v>
      </c>
      <c r="C26" s="12">
        <f>Stats!E4</f>
        <v>67742</v>
      </c>
      <c r="D26" s="12">
        <f>Stats!F4</f>
        <v>68761</v>
      </c>
      <c r="E26" s="12">
        <f>Stats!G4</f>
        <v>69341</v>
      </c>
      <c r="F26" s="12">
        <f>Stats!H4</f>
        <v>70370</v>
      </c>
      <c r="G26" s="12">
        <f>Stats!I4</f>
        <v>71027</v>
      </c>
      <c r="H26" s="12">
        <f>Stats!J4</f>
        <v>73420</v>
      </c>
      <c r="I26" s="12">
        <f>Stats!K4</f>
        <v>74385</v>
      </c>
      <c r="J26" s="12">
        <f>Stats!L4</f>
        <v>75840</v>
      </c>
      <c r="K26" s="390">
        <f>Stats!M4</f>
        <v>77262</v>
      </c>
      <c r="L26" s="160">
        <f>Stats!N4</f>
        <v>78980</v>
      </c>
      <c r="M26" s="12">
        <f>Stats!M4</f>
        <v>77262</v>
      </c>
      <c r="N26" s="120"/>
    </row>
    <row r="27" spans="1:27" x14ac:dyDescent="0.25">
      <c r="A27" s="875"/>
      <c r="B27" s="480"/>
      <c r="C27" s="146"/>
      <c r="D27" s="146"/>
      <c r="E27" s="146"/>
      <c r="F27" s="146"/>
      <c r="G27" s="146"/>
      <c r="H27" s="146"/>
      <c r="I27" s="146"/>
      <c r="J27" s="146"/>
      <c r="K27" s="480"/>
      <c r="L27" s="485"/>
      <c r="M27" s="146"/>
      <c r="N27" s="120"/>
    </row>
    <row r="28" spans="1:27" x14ac:dyDescent="0.25">
      <c r="A28" s="851" t="s">
        <v>130</v>
      </c>
      <c r="B28" s="516">
        <f t="shared" ref="B28:M28" si="3">+B21/B29</f>
        <v>82712.923076923078</v>
      </c>
      <c r="C28" s="79">
        <f t="shared" si="3"/>
        <v>107322.02105263158</v>
      </c>
      <c r="D28" s="79">
        <f t="shared" si="3"/>
        <v>106360.21052631579</v>
      </c>
      <c r="E28" s="79">
        <f t="shared" si="3"/>
        <v>85305.221052631576</v>
      </c>
      <c r="F28" s="79">
        <f t="shared" si="3"/>
        <v>102569.01408450704</v>
      </c>
      <c r="G28" s="79">
        <f t="shared" si="3"/>
        <v>128227.8565471226</v>
      </c>
      <c r="H28" s="79">
        <f t="shared" si="3"/>
        <v>159985.54672720394</v>
      </c>
      <c r="I28" s="79">
        <f t="shared" si="3"/>
        <v>117022.78958190541</v>
      </c>
      <c r="J28" s="79">
        <f t="shared" si="3"/>
        <v>127757.25110132158</v>
      </c>
      <c r="K28" s="516">
        <f t="shared" si="3"/>
        <v>137562.04255319148</v>
      </c>
      <c r="L28" s="518">
        <f t="shared" si="3"/>
        <v>106749.44680851063</v>
      </c>
      <c r="M28" s="1">
        <f t="shared" si="3"/>
        <v>132033.36170212767</v>
      </c>
      <c r="N28" s="120"/>
    </row>
    <row r="29" spans="1:27" x14ac:dyDescent="0.25">
      <c r="A29" s="980" t="s">
        <v>342</v>
      </c>
      <c r="B29" s="394">
        <f>+B39</f>
        <v>29.25</v>
      </c>
      <c r="C29" s="33">
        <f t="shared" ref="C29:M29" si="4">+C39</f>
        <v>23.75</v>
      </c>
      <c r="D29" s="33">
        <f t="shared" si="4"/>
        <v>23.75</v>
      </c>
      <c r="E29" s="33">
        <f t="shared" si="4"/>
        <v>23.75</v>
      </c>
      <c r="F29" s="33">
        <f t="shared" si="4"/>
        <v>23.43</v>
      </c>
      <c r="G29" s="33">
        <f t="shared" si="4"/>
        <v>23.98</v>
      </c>
      <c r="H29" s="33">
        <f t="shared" si="4"/>
        <v>26.43</v>
      </c>
      <c r="I29" s="33">
        <f t="shared" si="4"/>
        <v>29.18</v>
      </c>
      <c r="J29" s="33">
        <f t="shared" si="4"/>
        <v>28.375</v>
      </c>
      <c r="K29" s="394">
        <f t="shared" ref="K29" si="5">+K39</f>
        <v>29.375</v>
      </c>
      <c r="L29" s="454">
        <f>+L39</f>
        <v>29.375</v>
      </c>
      <c r="M29" s="33">
        <f t="shared" si="4"/>
        <v>29.375</v>
      </c>
      <c r="N29" s="120"/>
    </row>
    <row r="30" spans="1:27" s="278" customFormat="1" x14ac:dyDescent="0.25">
      <c r="A30" s="980"/>
      <c r="B30" s="394"/>
      <c r="C30" s="33"/>
      <c r="D30" s="33"/>
      <c r="E30" s="33"/>
      <c r="F30" s="33"/>
      <c r="G30" s="33"/>
      <c r="H30" s="33"/>
      <c r="I30" s="33"/>
      <c r="J30" s="33"/>
      <c r="K30" s="395"/>
      <c r="L30" s="454"/>
      <c r="M30" s="33"/>
      <c r="N30" s="120"/>
      <c r="W30" s="19"/>
      <c r="X30" s="19"/>
      <c r="Y30" s="19"/>
      <c r="Z30" s="19"/>
      <c r="AA30" s="19"/>
    </row>
    <row r="31" spans="1:27" x14ac:dyDescent="0.25">
      <c r="A31" s="877"/>
      <c r="B31" s="408"/>
      <c r="C31" s="124"/>
      <c r="D31" s="124"/>
      <c r="E31" s="124"/>
      <c r="F31" s="124"/>
      <c r="G31" s="124"/>
      <c r="H31" s="124"/>
      <c r="I31" s="124"/>
      <c r="J31" s="410"/>
      <c r="K31" s="124"/>
      <c r="L31" s="449"/>
      <c r="M31" s="124"/>
      <c r="N31" s="120"/>
    </row>
    <row r="32" spans="1:27" x14ac:dyDescent="0.25">
      <c r="A32" s="877"/>
      <c r="B32" s="408"/>
      <c r="C32" s="124"/>
      <c r="D32" s="124"/>
      <c r="E32" s="124"/>
      <c r="F32" s="124"/>
      <c r="G32" s="124"/>
      <c r="H32" s="124"/>
      <c r="I32" s="124"/>
      <c r="J32" s="410"/>
      <c r="K32" s="124"/>
      <c r="L32" s="449"/>
      <c r="M32" s="124"/>
      <c r="N32" s="120"/>
      <c r="W32" s="19" t="s">
        <v>370</v>
      </c>
    </row>
    <row r="33" spans="1:23" x14ac:dyDescent="0.25">
      <c r="A33" s="862"/>
      <c r="B33" s="407"/>
      <c r="C33" s="116"/>
      <c r="D33" s="116"/>
      <c r="E33" s="116"/>
      <c r="F33" s="116"/>
      <c r="G33" s="116"/>
      <c r="H33" s="116"/>
      <c r="I33" s="133"/>
      <c r="J33" s="591"/>
      <c r="K33" s="133"/>
      <c r="L33" s="134"/>
      <c r="M33" s="133"/>
      <c r="N33" s="120"/>
    </row>
    <row r="34" spans="1:23" x14ac:dyDescent="0.25">
      <c r="A34" s="981" t="s">
        <v>60</v>
      </c>
      <c r="B34" s="525">
        <v>2009</v>
      </c>
      <c r="C34" s="46">
        <v>2010</v>
      </c>
      <c r="D34" s="46">
        <v>2011</v>
      </c>
      <c r="E34" s="46">
        <v>2012</v>
      </c>
      <c r="F34" s="46">
        <v>2013</v>
      </c>
      <c r="G34" s="46">
        <v>2014</v>
      </c>
      <c r="H34" s="46">
        <v>2015</v>
      </c>
      <c r="I34" s="46">
        <v>2016</v>
      </c>
      <c r="J34" s="526">
        <v>2017</v>
      </c>
      <c r="K34" s="46">
        <v>2018</v>
      </c>
      <c r="L34" s="443">
        <v>2019</v>
      </c>
      <c r="M34" s="195">
        <v>2018</v>
      </c>
      <c r="W34" s="19" t="s">
        <v>371</v>
      </c>
    </row>
    <row r="35" spans="1:23" x14ac:dyDescent="0.25">
      <c r="A35" s="982" t="s">
        <v>202</v>
      </c>
      <c r="B35" s="936">
        <v>2</v>
      </c>
      <c r="C35" s="745">
        <v>2.5</v>
      </c>
      <c r="D35" s="745">
        <v>2.5</v>
      </c>
      <c r="E35" s="745">
        <v>3</v>
      </c>
      <c r="F35" s="745">
        <v>3</v>
      </c>
      <c r="G35" s="745">
        <v>3</v>
      </c>
      <c r="H35" s="745">
        <v>3</v>
      </c>
      <c r="I35" s="745">
        <v>3.13</v>
      </c>
      <c r="J35" s="594">
        <v>4.625</v>
      </c>
      <c r="K35" s="300">
        <v>5.625</v>
      </c>
      <c r="L35" s="600">
        <v>5.625</v>
      </c>
      <c r="M35" s="300">
        <v>5.625</v>
      </c>
    </row>
    <row r="36" spans="1:23" x14ac:dyDescent="0.25">
      <c r="A36" s="982" t="s">
        <v>163</v>
      </c>
      <c r="B36" s="936">
        <v>13</v>
      </c>
      <c r="C36" s="745">
        <v>9</v>
      </c>
      <c r="D36" s="745">
        <v>9</v>
      </c>
      <c r="E36" s="745">
        <v>9</v>
      </c>
      <c r="F36" s="745">
        <v>9</v>
      </c>
      <c r="G36" s="745">
        <v>9.75</v>
      </c>
      <c r="H36" s="745">
        <v>10</v>
      </c>
      <c r="I36" s="745">
        <v>13</v>
      </c>
      <c r="J36" s="594">
        <v>12</v>
      </c>
      <c r="K36" s="300">
        <v>12</v>
      </c>
      <c r="L36" s="600">
        <v>12</v>
      </c>
      <c r="M36" s="300">
        <v>12</v>
      </c>
      <c r="W36" s="19" t="s">
        <v>372</v>
      </c>
    </row>
    <row r="37" spans="1:23" x14ac:dyDescent="0.25">
      <c r="A37" s="982" t="s">
        <v>164</v>
      </c>
      <c r="B37" s="936">
        <v>5</v>
      </c>
      <c r="C37" s="745">
        <v>3.5</v>
      </c>
      <c r="D37" s="745">
        <v>3.5</v>
      </c>
      <c r="E37" s="745">
        <v>3</v>
      </c>
      <c r="F37" s="745">
        <v>3</v>
      </c>
      <c r="G37" s="745">
        <v>2.8</v>
      </c>
      <c r="H37" s="745">
        <v>2.8</v>
      </c>
      <c r="I37" s="745">
        <v>2.8</v>
      </c>
      <c r="J37" s="594">
        <v>2</v>
      </c>
      <c r="K37" s="300">
        <v>2</v>
      </c>
      <c r="L37" s="600">
        <v>2</v>
      </c>
      <c r="M37" s="300">
        <v>2</v>
      </c>
    </row>
    <row r="38" spans="1:23" ht="16.5" thickBot="1" x14ac:dyDescent="0.3">
      <c r="A38" s="982" t="s">
        <v>165</v>
      </c>
      <c r="B38" s="968">
        <v>9.25</v>
      </c>
      <c r="C38" s="799">
        <v>8.75</v>
      </c>
      <c r="D38" s="799">
        <v>8.75</v>
      </c>
      <c r="E38" s="799">
        <v>8.75</v>
      </c>
      <c r="F38" s="799">
        <v>8.43</v>
      </c>
      <c r="G38" s="799">
        <v>8.43</v>
      </c>
      <c r="H38" s="799">
        <v>10.63</v>
      </c>
      <c r="I38" s="799">
        <v>10.25</v>
      </c>
      <c r="J38" s="969">
        <v>9.75</v>
      </c>
      <c r="K38" s="970">
        <v>9.75</v>
      </c>
      <c r="L38" s="971">
        <v>9.75</v>
      </c>
      <c r="M38" s="301">
        <v>9.75</v>
      </c>
    </row>
    <row r="39" spans="1:23" x14ac:dyDescent="0.25">
      <c r="A39" s="983" t="s">
        <v>368</v>
      </c>
      <c r="B39" s="618">
        <f t="shared" ref="B39:M39" si="6">SUM(B35:B38)</f>
        <v>29.25</v>
      </c>
      <c r="C39" s="619">
        <f t="shared" si="6"/>
        <v>23.75</v>
      </c>
      <c r="D39" s="619">
        <f t="shared" si="6"/>
        <v>23.75</v>
      </c>
      <c r="E39" s="619">
        <f t="shared" si="6"/>
        <v>23.75</v>
      </c>
      <c r="F39" s="619">
        <f t="shared" si="6"/>
        <v>23.43</v>
      </c>
      <c r="G39" s="619">
        <f t="shared" si="6"/>
        <v>23.98</v>
      </c>
      <c r="H39" s="619">
        <f t="shared" si="6"/>
        <v>26.43</v>
      </c>
      <c r="I39" s="619">
        <f t="shared" si="6"/>
        <v>29.18</v>
      </c>
      <c r="J39" s="972">
        <f t="shared" si="6"/>
        <v>28.375</v>
      </c>
      <c r="K39" s="642">
        <f t="shared" si="6"/>
        <v>29.375</v>
      </c>
      <c r="L39" s="973">
        <f t="shared" si="6"/>
        <v>29.375</v>
      </c>
      <c r="M39" s="642">
        <f t="shared" si="6"/>
        <v>29.375</v>
      </c>
      <c r="N39" s="129"/>
    </row>
    <row r="40" spans="1:23" x14ac:dyDescent="0.25">
      <c r="A40" s="978" t="s">
        <v>367</v>
      </c>
      <c r="B40" s="622" t="s">
        <v>348</v>
      </c>
      <c r="C40" s="947">
        <f>C39/B39</f>
        <v>0.81196581196581197</v>
      </c>
      <c r="D40" s="947">
        <f t="shared" ref="D40:J40" si="7">D39/C39</f>
        <v>1</v>
      </c>
      <c r="E40" s="947">
        <f t="shared" si="7"/>
        <v>1</v>
      </c>
      <c r="F40" s="947">
        <f t="shared" si="7"/>
        <v>0.9865263157894737</v>
      </c>
      <c r="G40" s="947">
        <f t="shared" si="7"/>
        <v>1.023474178403756</v>
      </c>
      <c r="H40" s="947">
        <f t="shared" si="7"/>
        <v>1.1021684737281068</v>
      </c>
      <c r="I40" s="947">
        <f t="shared" si="7"/>
        <v>1.1040484298146047</v>
      </c>
      <c r="J40" s="948">
        <f t="shared" si="7"/>
        <v>0.97241261137765589</v>
      </c>
      <c r="K40" s="947">
        <f>K39/L39</f>
        <v>1</v>
      </c>
      <c r="L40" s="949">
        <f>L39/M39</f>
        <v>1</v>
      </c>
      <c r="M40" s="947">
        <f>M39/J39</f>
        <v>1.0352422907488987</v>
      </c>
      <c r="N40" s="129"/>
    </row>
    <row r="41" spans="1:23" x14ac:dyDescent="0.25">
      <c r="A41" s="984"/>
      <c r="B41" s="416"/>
      <c r="C41" s="93"/>
      <c r="D41" s="93"/>
      <c r="E41" s="93"/>
      <c r="F41" s="93"/>
      <c r="G41" s="93"/>
      <c r="H41" s="93"/>
      <c r="I41" s="93"/>
      <c r="J41" s="417"/>
      <c r="K41" s="93"/>
      <c r="L41" s="109"/>
      <c r="M41" s="93"/>
      <c r="N41" s="120"/>
      <c r="O41" s="1"/>
    </row>
    <row r="42" spans="1:23" x14ac:dyDescent="0.25">
      <c r="A42" s="985"/>
      <c r="B42" s="416"/>
      <c r="C42" s="93"/>
      <c r="D42" s="93"/>
      <c r="E42" s="93"/>
      <c r="F42" s="93"/>
      <c r="G42" s="93"/>
      <c r="H42" s="93"/>
      <c r="I42" s="93"/>
      <c r="J42" s="417"/>
      <c r="K42" s="93"/>
      <c r="L42" s="109"/>
      <c r="M42" s="93"/>
      <c r="N42" s="120"/>
      <c r="O42" s="1"/>
    </row>
    <row r="43" spans="1:23" x14ac:dyDescent="0.25">
      <c r="A43" s="884"/>
      <c r="B43" s="416"/>
      <c r="C43" s="193"/>
      <c r="D43" s="193"/>
      <c r="E43" s="193"/>
      <c r="F43" s="193"/>
      <c r="G43" s="193"/>
      <c r="H43" s="193"/>
      <c r="I43" s="193"/>
      <c r="J43" s="501"/>
      <c r="K43" s="193"/>
      <c r="L43" s="465"/>
      <c r="M43" s="193"/>
      <c r="N43" s="120"/>
      <c r="O43" s="1"/>
    </row>
    <row r="44" spans="1:23" x14ac:dyDescent="0.25">
      <c r="A44" s="885"/>
      <c r="B44" s="418"/>
      <c r="C44" s="114"/>
      <c r="D44" s="114"/>
      <c r="E44" s="114"/>
      <c r="F44" s="114"/>
      <c r="G44" s="114"/>
      <c r="H44" s="114"/>
      <c r="I44" s="114"/>
      <c r="J44" s="419"/>
      <c r="K44" s="193"/>
      <c r="L44" s="465"/>
      <c r="M44" s="114"/>
      <c r="N44" s="120"/>
      <c r="O44" s="1"/>
    </row>
    <row r="45" spans="1:23" x14ac:dyDescent="0.25">
      <c r="A45" s="986"/>
      <c r="B45" s="418"/>
      <c r="C45" s="114"/>
      <c r="D45" s="114"/>
      <c r="E45" s="114"/>
      <c r="F45" s="114"/>
      <c r="G45" s="114"/>
      <c r="H45" s="114"/>
      <c r="I45" s="114"/>
      <c r="J45" s="419"/>
      <c r="K45" s="114"/>
      <c r="L45" s="455"/>
      <c r="M45" s="114"/>
      <c r="N45" s="120"/>
      <c r="O45" s="1"/>
    </row>
    <row r="46" spans="1:23" x14ac:dyDescent="0.25">
      <c r="A46" s="864"/>
      <c r="B46" s="380"/>
      <c r="C46" s="105"/>
      <c r="D46" s="105"/>
      <c r="E46" s="105"/>
      <c r="F46" s="105"/>
      <c r="G46" s="105"/>
      <c r="H46" s="105"/>
      <c r="I46" s="105"/>
      <c r="J46" s="381"/>
      <c r="K46" s="105"/>
      <c r="L46" s="372"/>
      <c r="M46" s="105"/>
      <c r="N46" s="120"/>
      <c r="O46" s="1"/>
    </row>
    <row r="47" spans="1:23" x14ac:dyDescent="0.25">
      <c r="A47" s="865"/>
      <c r="B47" s="380"/>
      <c r="C47" s="105"/>
      <c r="D47" s="105"/>
      <c r="E47" s="105"/>
      <c r="F47" s="105"/>
      <c r="G47" s="105"/>
      <c r="H47" s="105"/>
      <c r="I47" s="105"/>
      <c r="J47" s="381"/>
      <c r="K47" s="105"/>
      <c r="L47" s="372"/>
      <c r="M47" s="105"/>
      <c r="N47" s="120"/>
      <c r="O47" s="1"/>
    </row>
    <row r="48" spans="1:23" x14ac:dyDescent="0.25">
      <c r="A48" s="865"/>
      <c r="B48" s="380"/>
      <c r="C48" s="105"/>
      <c r="D48" s="105"/>
      <c r="E48" s="105"/>
      <c r="F48" s="105"/>
      <c r="G48" s="105"/>
      <c r="H48" s="105"/>
      <c r="I48" s="105"/>
      <c r="J48" s="381"/>
      <c r="K48" s="105"/>
      <c r="L48" s="372"/>
      <c r="M48" s="105"/>
      <c r="N48" s="120"/>
      <c r="O48" s="1"/>
    </row>
    <row r="49" spans="1:15" x14ac:dyDescent="0.25">
      <c r="A49" s="931"/>
      <c r="B49" s="380"/>
      <c r="C49" s="105"/>
      <c r="D49" s="105"/>
      <c r="E49" s="105"/>
      <c r="F49" s="105"/>
      <c r="G49" s="105"/>
      <c r="H49" s="105"/>
      <c r="I49" s="105"/>
      <c r="J49" s="381"/>
      <c r="K49" s="105"/>
      <c r="L49" s="372"/>
      <c r="M49" s="105"/>
      <c r="N49" s="120"/>
      <c r="O49" s="1"/>
    </row>
    <row r="50" spans="1:15" x14ac:dyDescent="0.25">
      <c r="A50" s="882"/>
      <c r="B50" s="418"/>
      <c r="C50" s="114"/>
      <c r="D50" s="114"/>
      <c r="E50" s="114"/>
      <c r="F50" s="114"/>
      <c r="G50" s="114"/>
      <c r="H50" s="114"/>
      <c r="I50" s="114"/>
      <c r="J50" s="419"/>
      <c r="K50" s="114"/>
      <c r="L50" s="455"/>
      <c r="M50" s="114"/>
      <c r="N50" s="120"/>
      <c r="O50" s="1"/>
    </row>
    <row r="51" spans="1:15" x14ac:dyDescent="0.25">
      <c r="A51" s="882"/>
      <c r="B51" s="418"/>
      <c r="C51" s="114"/>
      <c r="D51" s="114"/>
      <c r="E51" s="114"/>
      <c r="F51" s="114"/>
      <c r="G51" s="114"/>
      <c r="H51" s="114"/>
      <c r="I51" s="114"/>
      <c r="J51" s="419"/>
      <c r="K51" s="114"/>
      <c r="L51" s="455"/>
      <c r="M51" s="114"/>
      <c r="N51" s="120"/>
      <c r="O51" s="1"/>
    </row>
    <row r="52" spans="1:15" x14ac:dyDescent="0.25">
      <c r="A52" s="887"/>
      <c r="B52" s="380"/>
      <c r="C52" s="105"/>
      <c r="D52" s="105"/>
      <c r="E52" s="105"/>
      <c r="F52" s="105"/>
      <c r="G52" s="105"/>
      <c r="H52" s="105"/>
      <c r="I52" s="105"/>
      <c r="J52" s="381"/>
      <c r="K52" s="105"/>
      <c r="L52" s="372"/>
      <c r="M52" s="105"/>
      <c r="N52" s="120"/>
      <c r="O52" s="1"/>
    </row>
    <row r="53" spans="1:15" x14ac:dyDescent="0.25">
      <c r="A53" s="887"/>
      <c r="B53" s="407"/>
      <c r="C53" s="116"/>
      <c r="D53" s="116"/>
      <c r="E53" s="116"/>
      <c r="F53" s="116"/>
      <c r="G53" s="116"/>
      <c r="H53" s="116"/>
      <c r="I53" s="116"/>
      <c r="J53" s="400"/>
      <c r="K53" s="116"/>
      <c r="L53" s="444"/>
      <c r="M53" s="116"/>
    </row>
    <row r="54" spans="1:15" x14ac:dyDescent="0.25">
      <c r="A54" s="888"/>
      <c r="B54" s="589"/>
      <c r="C54" s="104"/>
      <c r="D54" s="104"/>
      <c r="E54" s="104"/>
      <c r="F54" s="104"/>
      <c r="G54" s="104"/>
      <c r="H54" s="104"/>
      <c r="I54" s="104"/>
      <c r="J54" s="595"/>
      <c r="K54" s="104"/>
      <c r="L54" s="601"/>
      <c r="M54" s="104"/>
    </row>
    <row r="55" spans="1:15" x14ac:dyDescent="0.25">
      <c r="A55" s="888"/>
      <c r="B55" s="589"/>
      <c r="C55" s="104"/>
      <c r="D55" s="104"/>
      <c r="E55" s="104"/>
      <c r="F55" s="104"/>
      <c r="G55" s="104"/>
      <c r="H55" s="104"/>
      <c r="I55" s="104"/>
      <c r="J55" s="595"/>
      <c r="K55" s="104"/>
      <c r="L55" s="601"/>
      <c r="M55" s="104"/>
    </row>
    <row r="56" spans="1:15" x14ac:dyDescent="0.25">
      <c r="A56" s="882"/>
      <c r="B56" s="407"/>
      <c r="C56" s="116"/>
      <c r="D56" s="116"/>
      <c r="E56" s="116"/>
      <c r="F56" s="116"/>
      <c r="G56" s="116"/>
      <c r="H56" s="116"/>
      <c r="I56" s="133"/>
      <c r="J56" s="591"/>
      <c r="K56" s="133"/>
      <c r="L56" s="134"/>
      <c r="M56" s="133"/>
    </row>
    <row r="57" spans="1:15" x14ac:dyDescent="0.25">
      <c r="A57" s="887"/>
      <c r="B57" s="418"/>
      <c r="C57" s="114"/>
      <c r="D57" s="114"/>
      <c r="E57" s="114"/>
      <c r="F57" s="114"/>
      <c r="G57" s="114"/>
      <c r="H57" s="114"/>
      <c r="I57" s="93"/>
      <c r="J57" s="417"/>
      <c r="K57" s="114"/>
      <c r="L57" s="455"/>
      <c r="M57" s="93"/>
      <c r="N57" s="120"/>
    </row>
    <row r="58" spans="1:15" x14ac:dyDescent="0.25">
      <c r="A58" s="887"/>
      <c r="B58" s="590"/>
      <c r="C58" s="135"/>
      <c r="D58" s="135"/>
      <c r="E58" s="135"/>
      <c r="F58" s="135"/>
      <c r="G58" s="135"/>
      <c r="H58" s="135"/>
      <c r="I58" s="135"/>
      <c r="J58" s="596"/>
      <c r="K58" s="135"/>
      <c r="L58" s="602"/>
      <c r="M58" s="135"/>
      <c r="N58" s="120"/>
    </row>
    <row r="59" spans="1:15" x14ac:dyDescent="0.25">
      <c r="A59" s="882"/>
      <c r="B59" s="418"/>
      <c r="C59" s="114"/>
      <c r="D59" s="114"/>
      <c r="E59" s="114"/>
      <c r="F59" s="114"/>
      <c r="G59" s="114"/>
      <c r="H59" s="114"/>
      <c r="I59" s="114"/>
      <c r="J59" s="419"/>
      <c r="K59" s="114"/>
      <c r="L59" s="455"/>
      <c r="M59" s="114"/>
      <c r="N59" s="120"/>
    </row>
    <row r="60" spans="1:15" x14ac:dyDescent="0.25">
      <c r="A60" s="882"/>
      <c r="B60" s="418"/>
      <c r="C60" s="114"/>
      <c r="D60" s="114"/>
      <c r="E60" s="114"/>
      <c r="F60" s="114"/>
      <c r="G60" s="114"/>
      <c r="H60" s="114"/>
      <c r="I60" s="114"/>
      <c r="J60" s="419"/>
      <c r="K60" s="114"/>
      <c r="L60" s="455"/>
      <c r="M60" s="114"/>
      <c r="N60" s="120"/>
    </row>
    <row r="61" spans="1:15" x14ac:dyDescent="0.25">
      <c r="A61" s="883"/>
      <c r="B61" s="416"/>
      <c r="C61" s="93"/>
      <c r="D61" s="93"/>
      <c r="E61" s="93"/>
      <c r="F61" s="93"/>
      <c r="G61" s="93"/>
      <c r="H61" s="93"/>
      <c r="I61" s="93"/>
      <c r="J61" s="597"/>
      <c r="K61" s="222"/>
      <c r="L61" s="603"/>
      <c r="M61" s="222"/>
    </row>
    <row r="62" spans="1:15" x14ac:dyDescent="0.25">
      <c r="A62" s="225"/>
      <c r="B62" s="180"/>
      <c r="C62" s="180"/>
      <c r="D62" s="180"/>
      <c r="E62" s="180"/>
      <c r="F62" s="180"/>
      <c r="G62" s="180"/>
      <c r="H62" s="180"/>
      <c r="I62" s="226"/>
      <c r="J62" s="226"/>
      <c r="K62" s="226"/>
      <c r="L62" s="226"/>
      <c r="M62" s="226"/>
      <c r="N62" s="19"/>
    </row>
    <row r="63" spans="1:15" x14ac:dyDescent="0.25">
      <c r="A63" s="199"/>
      <c r="B63" s="93"/>
      <c r="C63" s="93"/>
      <c r="D63" s="93"/>
      <c r="E63" s="93"/>
      <c r="F63" s="93"/>
      <c r="G63" s="93"/>
      <c r="H63" s="93"/>
      <c r="I63" s="93"/>
      <c r="J63" s="222"/>
      <c r="K63" s="222"/>
      <c r="L63" s="222"/>
      <c r="M63" s="222"/>
      <c r="N63" s="19"/>
    </row>
    <row r="64" spans="1:15" x14ac:dyDescent="0.25">
      <c r="A64" s="227"/>
      <c r="B64" s="116"/>
      <c r="C64" s="116"/>
      <c r="D64" s="116"/>
      <c r="E64" s="116"/>
      <c r="F64" s="116"/>
      <c r="G64" s="116"/>
      <c r="H64" s="116"/>
      <c r="I64" s="133"/>
      <c r="J64" s="133"/>
      <c r="K64" s="133"/>
      <c r="L64" s="133"/>
      <c r="M64" s="133"/>
      <c r="N64" s="19"/>
    </row>
    <row r="65" spans="1:15" x14ac:dyDescent="0.25">
      <c r="A65" s="221"/>
      <c r="B65" s="112"/>
      <c r="C65" s="202"/>
      <c r="D65" s="202"/>
      <c r="E65" s="202"/>
      <c r="F65" s="202"/>
      <c r="G65" s="202"/>
      <c r="H65" s="202"/>
      <c r="I65" s="202"/>
      <c r="J65" s="228"/>
      <c r="K65" s="228"/>
      <c r="L65" s="228"/>
      <c r="M65" s="228"/>
      <c r="N65" s="19"/>
    </row>
    <row r="66" spans="1:15" x14ac:dyDescent="0.25">
      <c r="A66" s="221"/>
      <c r="B66" s="112"/>
      <c r="C66" s="202"/>
      <c r="D66" s="202"/>
      <c r="E66" s="202"/>
      <c r="F66" s="202"/>
      <c r="G66" s="202"/>
      <c r="H66" s="202"/>
      <c r="I66" s="202"/>
      <c r="J66" s="228"/>
      <c r="K66" s="228"/>
      <c r="L66" s="228"/>
      <c r="M66" s="228"/>
      <c r="N66" s="19"/>
    </row>
    <row r="67" spans="1:15" x14ac:dyDescent="0.25">
      <c r="A67" s="221"/>
      <c r="B67" s="112"/>
      <c r="C67" s="202"/>
      <c r="D67" s="202"/>
      <c r="E67" s="202"/>
      <c r="F67" s="202"/>
      <c r="G67" s="202"/>
      <c r="H67" s="202"/>
      <c r="I67" s="202"/>
      <c r="J67" s="228"/>
      <c r="K67" s="228"/>
      <c r="L67" s="228"/>
      <c r="M67" s="228"/>
      <c r="N67" s="19"/>
    </row>
    <row r="68" spans="1:15" x14ac:dyDescent="0.25">
      <c r="A68" s="221"/>
      <c r="B68" s="112"/>
      <c r="C68" s="202"/>
      <c r="D68" s="202"/>
      <c r="E68" s="202"/>
      <c r="F68" s="202"/>
      <c r="G68" s="202"/>
      <c r="H68" s="202"/>
      <c r="I68" s="202"/>
      <c r="J68" s="202"/>
      <c r="K68" s="202"/>
      <c r="L68" s="202"/>
      <c r="M68" s="202"/>
      <c r="N68" s="26"/>
      <c r="O68" s="1"/>
    </row>
    <row r="69" spans="1:15" x14ac:dyDescent="0.25">
      <c r="A69" s="114"/>
      <c r="B69" s="114"/>
      <c r="C69" s="114"/>
      <c r="D69" s="114"/>
      <c r="E69" s="114"/>
      <c r="F69" s="114"/>
      <c r="G69" s="114"/>
      <c r="H69" s="114"/>
      <c r="I69" s="114"/>
      <c r="J69" s="114"/>
      <c r="K69" s="114"/>
      <c r="L69" s="114"/>
      <c r="M69" s="114"/>
      <c r="N69" s="26"/>
      <c r="O69" s="1"/>
    </row>
    <row r="70" spans="1:15" x14ac:dyDescent="0.25">
      <c r="A70" s="114"/>
      <c r="B70" s="114"/>
      <c r="C70" s="114"/>
      <c r="D70" s="114"/>
      <c r="E70" s="114"/>
      <c r="F70" s="114"/>
      <c r="G70" s="114"/>
      <c r="H70" s="114"/>
      <c r="I70" s="114"/>
      <c r="J70" s="229"/>
      <c r="K70" s="229"/>
      <c r="L70" s="229"/>
      <c r="M70" s="229"/>
      <c r="N70" s="26"/>
      <c r="O70" s="1"/>
    </row>
    <row r="71" spans="1:15" ht="18.75" x14ac:dyDescent="0.3">
      <c r="A71" s="206"/>
      <c r="B71" s="116"/>
      <c r="C71" s="116"/>
      <c r="D71" s="116"/>
      <c r="E71" s="116"/>
      <c r="F71" s="116"/>
      <c r="G71" s="116"/>
      <c r="H71" s="116"/>
      <c r="I71" s="133"/>
      <c r="J71" s="133"/>
      <c r="K71" s="133"/>
      <c r="L71" s="133"/>
      <c r="M71" s="133"/>
      <c r="N71" s="26"/>
      <c r="O71" s="1"/>
    </row>
    <row r="72" spans="1:15" x14ac:dyDescent="0.25">
      <c r="A72" s="116"/>
      <c r="B72" s="207"/>
      <c r="C72" s="207"/>
      <c r="D72" s="207"/>
      <c r="E72" s="207"/>
      <c r="F72" s="207"/>
      <c r="G72" s="207"/>
      <c r="H72" s="207"/>
      <c r="I72" s="207"/>
      <c r="J72" s="207"/>
      <c r="K72" s="207"/>
      <c r="L72" s="207"/>
      <c r="M72" s="207"/>
      <c r="N72" s="26"/>
      <c r="O72" s="1"/>
    </row>
    <row r="73" spans="1:15" x14ac:dyDescent="0.25">
      <c r="A73" s="114"/>
      <c r="B73" s="93"/>
      <c r="C73" s="93"/>
      <c r="D73" s="93"/>
      <c r="E73" s="93"/>
      <c r="F73" s="93"/>
      <c r="G73" s="93"/>
      <c r="H73" s="93"/>
      <c r="I73" s="93"/>
      <c r="J73" s="93"/>
      <c r="K73" s="93"/>
      <c r="L73" s="93"/>
      <c r="M73" s="93"/>
      <c r="N73" s="26"/>
      <c r="O73" s="1"/>
    </row>
    <row r="74" spans="1:15" x14ac:dyDescent="0.25">
      <c r="A74" s="114"/>
      <c r="B74" s="93"/>
      <c r="C74" s="93"/>
      <c r="D74" s="93"/>
      <c r="E74" s="93"/>
      <c r="F74" s="93"/>
      <c r="G74" s="93"/>
      <c r="H74" s="93"/>
      <c r="I74" s="93"/>
      <c r="J74" s="93"/>
      <c r="K74" s="93"/>
      <c r="L74" s="93"/>
      <c r="M74" s="93"/>
      <c r="N74" s="26"/>
      <c r="O74" s="1"/>
    </row>
    <row r="75" spans="1:15" x14ac:dyDescent="0.25">
      <c r="A75" s="114"/>
      <c r="B75" s="93"/>
      <c r="C75" s="93"/>
      <c r="D75" s="93"/>
      <c r="E75" s="93"/>
      <c r="F75" s="93"/>
      <c r="G75" s="93"/>
      <c r="H75" s="93"/>
      <c r="I75" s="93"/>
      <c r="J75" s="93"/>
      <c r="K75" s="93"/>
      <c r="L75" s="93"/>
      <c r="M75" s="93"/>
      <c r="N75" s="26"/>
      <c r="O75" s="1"/>
    </row>
    <row r="76" spans="1:15" x14ac:dyDescent="0.25">
      <c r="A76" s="114"/>
      <c r="B76" s="93"/>
      <c r="C76" s="93"/>
      <c r="D76" s="93"/>
      <c r="E76" s="93"/>
      <c r="F76" s="93"/>
      <c r="G76" s="93"/>
      <c r="H76" s="93"/>
      <c r="I76" s="93"/>
      <c r="J76" s="93"/>
      <c r="K76" s="93"/>
      <c r="L76" s="93"/>
      <c r="M76" s="93"/>
      <c r="N76" s="26"/>
      <c r="O76" s="1"/>
    </row>
    <row r="77" spans="1:15" x14ac:dyDescent="0.25">
      <c r="A77" s="221"/>
      <c r="B77" s="93"/>
      <c r="C77" s="93"/>
      <c r="D77" s="93"/>
      <c r="E77" s="93"/>
      <c r="F77" s="93"/>
      <c r="G77" s="93"/>
      <c r="H77" s="93"/>
      <c r="I77" s="93"/>
      <c r="J77" s="93"/>
      <c r="K77" s="93"/>
      <c r="L77" s="93"/>
      <c r="M77" s="93"/>
      <c r="N77" s="26"/>
      <c r="O77" s="1"/>
    </row>
    <row r="78" spans="1:15" x14ac:dyDescent="0.25">
      <c r="A78" s="221"/>
      <c r="B78" s="93"/>
      <c r="C78" s="93"/>
      <c r="D78" s="93"/>
      <c r="E78" s="93"/>
      <c r="F78" s="93"/>
      <c r="G78" s="93"/>
      <c r="H78" s="93"/>
      <c r="I78" s="93"/>
      <c r="J78" s="93"/>
      <c r="K78" s="93"/>
      <c r="L78" s="93"/>
      <c r="M78" s="93"/>
      <c r="N78" s="26"/>
      <c r="O78" s="1"/>
    </row>
    <row r="79" spans="1:15" x14ac:dyDescent="0.25">
      <c r="A79" s="221"/>
      <c r="B79" s="93"/>
      <c r="C79" s="93"/>
      <c r="D79" s="93"/>
      <c r="E79" s="93"/>
      <c r="F79" s="93"/>
      <c r="G79" s="93"/>
      <c r="H79" s="93"/>
      <c r="I79" s="93"/>
      <c r="J79" s="93"/>
      <c r="K79" s="93"/>
      <c r="L79" s="93"/>
      <c r="M79" s="93"/>
      <c r="N79" s="26"/>
      <c r="O79" s="1"/>
    </row>
    <row r="80" spans="1:15" x14ac:dyDescent="0.25">
      <c r="A80" s="221"/>
      <c r="B80" s="93"/>
      <c r="C80" s="93"/>
      <c r="D80" s="93"/>
      <c r="E80" s="93"/>
      <c r="F80" s="93"/>
      <c r="G80" s="93"/>
      <c r="H80" s="93"/>
      <c r="I80" s="93"/>
      <c r="J80" s="93"/>
      <c r="K80" s="93"/>
      <c r="L80" s="93"/>
      <c r="M80" s="93"/>
      <c r="N80" s="26"/>
      <c r="O80" s="1"/>
    </row>
    <row r="81" spans="1:15" x14ac:dyDescent="0.25">
      <c r="A81" s="199"/>
      <c r="B81" s="93"/>
      <c r="C81" s="93"/>
      <c r="D81" s="93"/>
      <c r="E81" s="93"/>
      <c r="F81" s="93"/>
      <c r="G81" s="93"/>
      <c r="H81" s="93"/>
      <c r="I81" s="93"/>
      <c r="J81" s="93"/>
      <c r="K81" s="93"/>
      <c r="L81" s="93"/>
      <c r="M81" s="93"/>
      <c r="N81" s="26"/>
      <c r="O81" s="1"/>
    </row>
    <row r="82" spans="1:15" x14ac:dyDescent="0.25">
      <c r="A82" s="114"/>
      <c r="B82" s="93"/>
      <c r="C82" s="93"/>
      <c r="D82" s="93"/>
      <c r="E82" s="93"/>
      <c r="F82" s="93"/>
      <c r="G82" s="93"/>
      <c r="H82" s="93"/>
      <c r="I82" s="93"/>
      <c r="J82" s="93"/>
      <c r="K82" s="93"/>
      <c r="L82" s="93"/>
      <c r="M82" s="93"/>
      <c r="N82" s="19"/>
    </row>
    <row r="83" spans="1:15" x14ac:dyDescent="0.25">
      <c r="A83" s="114"/>
      <c r="B83" s="116"/>
      <c r="C83" s="116"/>
      <c r="D83" s="116"/>
      <c r="E83" s="116"/>
      <c r="F83" s="116"/>
      <c r="G83" s="116"/>
      <c r="H83" s="116"/>
      <c r="I83" s="133"/>
      <c r="J83" s="133"/>
      <c r="K83" s="133"/>
      <c r="L83" s="133"/>
      <c r="M83" s="133"/>
      <c r="N83" s="19"/>
    </row>
    <row r="84" spans="1:15" x14ac:dyDescent="0.25">
      <c r="A84" s="114"/>
      <c r="B84" s="112"/>
      <c r="C84" s="112"/>
      <c r="D84" s="112"/>
      <c r="E84" s="112"/>
      <c r="F84" s="112"/>
      <c r="G84" s="112"/>
      <c r="H84" s="112"/>
      <c r="I84" s="112"/>
      <c r="J84" s="112"/>
      <c r="K84" s="112"/>
      <c r="L84" s="112"/>
      <c r="M84" s="112"/>
      <c r="N84" s="19"/>
    </row>
    <row r="85" spans="1:15" x14ac:dyDescent="0.25">
      <c r="A85" s="114"/>
      <c r="B85" s="114"/>
      <c r="C85" s="114"/>
      <c r="D85" s="114"/>
      <c r="E85" s="114"/>
      <c r="F85" s="114"/>
      <c r="G85" s="114"/>
      <c r="H85" s="114"/>
      <c r="I85" s="114"/>
      <c r="J85" s="114"/>
      <c r="K85" s="114"/>
      <c r="L85" s="114"/>
      <c r="M85" s="114"/>
      <c r="N85" s="19"/>
    </row>
    <row r="86" spans="1:15" x14ac:dyDescent="0.25">
      <c r="A86" s="114"/>
      <c r="B86" s="114"/>
      <c r="C86" s="114"/>
      <c r="D86" s="114"/>
      <c r="E86" s="114"/>
      <c r="F86" s="114"/>
      <c r="G86" s="114"/>
      <c r="H86" s="114"/>
      <c r="I86" s="114"/>
      <c r="J86" s="114"/>
      <c r="K86" s="114"/>
      <c r="L86" s="114"/>
      <c r="M86" s="114"/>
      <c r="N86" s="19"/>
    </row>
    <row r="87" spans="1:15" x14ac:dyDescent="0.25">
      <c r="A87" s="114"/>
      <c r="B87" s="114"/>
      <c r="C87" s="114"/>
      <c r="D87" s="114"/>
      <c r="E87" s="114"/>
      <c r="F87" s="114"/>
      <c r="G87" s="114"/>
      <c r="H87" s="114"/>
      <c r="I87" s="114"/>
      <c r="J87" s="114"/>
      <c r="K87" s="114"/>
      <c r="L87" s="114"/>
      <c r="M87" s="114"/>
      <c r="N87" s="19"/>
    </row>
    <row r="88" spans="1:15" x14ac:dyDescent="0.25">
      <c r="A88" s="114"/>
      <c r="B88" s="114"/>
      <c r="C88" s="114"/>
      <c r="D88" s="114"/>
      <c r="E88" s="114"/>
      <c r="F88" s="114"/>
      <c r="G88" s="114"/>
      <c r="H88" s="114"/>
      <c r="I88" s="114"/>
      <c r="J88" s="114"/>
      <c r="K88" s="114"/>
      <c r="L88" s="114"/>
      <c r="M88" s="114"/>
      <c r="N88" s="19"/>
    </row>
    <row r="89" spans="1:15" x14ac:dyDescent="0.25">
      <c r="A89" s="114"/>
      <c r="B89" s="114"/>
      <c r="C89" s="114"/>
      <c r="D89" s="114"/>
      <c r="E89" s="114"/>
      <c r="F89" s="114"/>
      <c r="G89" s="114"/>
      <c r="H89" s="114"/>
      <c r="I89" s="114"/>
      <c r="J89" s="114"/>
      <c r="K89" s="114"/>
      <c r="L89" s="114"/>
      <c r="M89" s="114"/>
      <c r="N89" s="19"/>
    </row>
    <row r="90" spans="1:15" x14ac:dyDescent="0.25">
      <c r="A90" s="114"/>
      <c r="B90" s="114"/>
      <c r="C90" s="114"/>
      <c r="D90" s="114"/>
      <c r="E90" s="114"/>
      <c r="F90" s="114"/>
      <c r="G90" s="114"/>
      <c r="H90" s="114"/>
      <c r="I90" s="114"/>
      <c r="J90" s="114"/>
      <c r="K90" s="114"/>
      <c r="L90" s="114"/>
      <c r="M90" s="114"/>
      <c r="N90" s="19"/>
    </row>
    <row r="91" spans="1:15" x14ac:dyDescent="0.25">
      <c r="A91" s="114"/>
      <c r="B91" s="114"/>
      <c r="C91" s="114"/>
      <c r="D91" s="114"/>
      <c r="E91" s="114"/>
      <c r="F91" s="114"/>
      <c r="G91" s="114"/>
      <c r="H91" s="114"/>
      <c r="I91" s="114"/>
      <c r="J91" s="114"/>
      <c r="K91" s="114"/>
      <c r="L91" s="114"/>
      <c r="M91" s="114"/>
      <c r="N91" s="19"/>
    </row>
    <row r="92" spans="1:15" x14ac:dyDescent="0.25">
      <c r="A92" s="114"/>
      <c r="B92" s="114"/>
      <c r="C92" s="114"/>
      <c r="D92" s="114"/>
      <c r="E92" s="114"/>
      <c r="F92" s="114"/>
      <c r="G92" s="114"/>
      <c r="H92" s="114"/>
      <c r="I92" s="114"/>
      <c r="J92" s="114"/>
      <c r="K92" s="114"/>
      <c r="L92" s="114"/>
      <c r="M92" s="114"/>
      <c r="N92" s="19"/>
    </row>
    <row r="93" spans="1:15" x14ac:dyDescent="0.25">
      <c r="A93" s="114"/>
      <c r="B93" s="114"/>
      <c r="C93" s="114"/>
      <c r="D93" s="114"/>
      <c r="E93" s="114"/>
      <c r="F93" s="114"/>
      <c r="G93" s="114"/>
      <c r="H93" s="114"/>
      <c r="I93" s="114"/>
      <c r="J93" s="114"/>
      <c r="K93" s="114"/>
      <c r="L93" s="114"/>
      <c r="M93" s="114"/>
      <c r="N93" s="19"/>
    </row>
    <row r="94" spans="1:15" x14ac:dyDescent="0.25">
      <c r="A94" s="114"/>
      <c r="B94" s="114"/>
      <c r="C94" s="114"/>
      <c r="D94" s="114"/>
      <c r="E94" s="114"/>
      <c r="F94" s="114"/>
      <c r="G94" s="114"/>
      <c r="H94" s="114"/>
      <c r="I94" s="114"/>
      <c r="J94" s="114"/>
      <c r="K94" s="114"/>
      <c r="L94" s="114"/>
      <c r="M94" s="114"/>
      <c r="N94" s="19"/>
    </row>
    <row r="95" spans="1:15" x14ac:dyDescent="0.25">
      <c r="A95" s="114"/>
      <c r="B95" s="114"/>
      <c r="C95" s="114"/>
      <c r="D95" s="114"/>
      <c r="E95" s="114"/>
      <c r="F95" s="114"/>
      <c r="G95" s="114"/>
      <c r="H95" s="114"/>
      <c r="I95" s="114"/>
      <c r="J95" s="114"/>
      <c r="K95" s="114"/>
      <c r="L95" s="114"/>
      <c r="M95" s="114"/>
      <c r="N95" s="19"/>
    </row>
    <row r="96" spans="1:15" x14ac:dyDescent="0.25">
      <c r="A96" s="114"/>
      <c r="B96" s="114"/>
      <c r="C96" s="114"/>
      <c r="D96" s="114"/>
      <c r="E96" s="114"/>
      <c r="F96" s="114"/>
      <c r="G96" s="114"/>
      <c r="H96" s="114"/>
      <c r="I96" s="114"/>
      <c r="J96" s="114"/>
      <c r="K96" s="114"/>
      <c r="L96" s="114"/>
      <c r="M96" s="114"/>
      <c r="N96" s="19"/>
    </row>
    <row r="97" spans="1:14" x14ac:dyDescent="0.25">
      <c r="A97" s="114"/>
      <c r="B97" s="114"/>
      <c r="C97" s="114"/>
      <c r="D97" s="114"/>
      <c r="E97" s="114"/>
      <c r="F97" s="114"/>
      <c r="G97" s="114"/>
      <c r="H97" s="114"/>
      <c r="I97" s="114"/>
      <c r="J97" s="114"/>
      <c r="K97" s="114"/>
      <c r="L97" s="114"/>
      <c r="M97" s="114"/>
      <c r="N97" s="19"/>
    </row>
    <row r="98" spans="1:14" x14ac:dyDescent="0.25">
      <c r="A98" s="114"/>
      <c r="B98" s="114"/>
      <c r="C98" s="114"/>
      <c r="D98" s="114"/>
      <c r="E98" s="114"/>
      <c r="F98" s="114"/>
      <c r="G98" s="114"/>
      <c r="H98" s="114"/>
      <c r="I98" s="114"/>
      <c r="J98" s="114"/>
      <c r="K98" s="114"/>
      <c r="L98" s="114"/>
      <c r="M98" s="114"/>
      <c r="N98" s="19"/>
    </row>
    <row r="99" spans="1:14" x14ac:dyDescent="0.25">
      <c r="A99" s="114"/>
      <c r="B99" s="114"/>
      <c r="C99" s="114"/>
      <c r="D99" s="114"/>
      <c r="E99" s="114"/>
      <c r="F99" s="114"/>
      <c r="G99" s="114"/>
      <c r="H99" s="114"/>
      <c r="I99" s="114"/>
      <c r="J99" s="114"/>
      <c r="K99" s="114"/>
      <c r="L99" s="114"/>
      <c r="M99" s="114"/>
      <c r="N99" s="19"/>
    </row>
    <row r="100" spans="1:14" x14ac:dyDescent="0.25">
      <c r="A100" s="114"/>
      <c r="B100" s="114"/>
      <c r="C100" s="114"/>
      <c r="D100" s="114"/>
      <c r="E100" s="114"/>
      <c r="F100" s="114"/>
      <c r="G100" s="114"/>
      <c r="H100" s="114"/>
      <c r="I100" s="114"/>
      <c r="J100" s="114"/>
      <c r="K100" s="114"/>
      <c r="L100" s="114"/>
      <c r="M100" s="114"/>
      <c r="N100" s="19"/>
    </row>
    <row r="101" spans="1:14" x14ac:dyDescent="0.25">
      <c r="A101" s="114"/>
      <c r="B101" s="114"/>
      <c r="C101" s="114"/>
      <c r="D101" s="114"/>
      <c r="E101" s="114"/>
      <c r="F101" s="114"/>
      <c r="G101" s="114"/>
      <c r="H101" s="114"/>
      <c r="I101" s="114"/>
      <c r="J101" s="114"/>
      <c r="K101" s="114"/>
      <c r="L101" s="114"/>
      <c r="M101" s="114"/>
      <c r="N101" s="19"/>
    </row>
    <row r="102" spans="1:14" x14ac:dyDescent="0.25">
      <c r="A102" s="114"/>
      <c r="B102" s="114"/>
      <c r="C102" s="114"/>
      <c r="D102" s="114"/>
      <c r="E102" s="114"/>
      <c r="F102" s="114"/>
      <c r="G102" s="114"/>
      <c r="H102" s="114"/>
      <c r="I102" s="114"/>
      <c r="J102" s="114"/>
      <c r="K102" s="114"/>
      <c r="L102" s="114"/>
      <c r="M102" s="114"/>
      <c r="N102" s="19"/>
    </row>
    <row r="103" spans="1:14" x14ac:dyDescent="0.25">
      <c r="A103" s="114"/>
      <c r="B103" s="114"/>
      <c r="C103" s="114"/>
      <c r="D103" s="114"/>
      <c r="E103" s="114"/>
      <c r="F103" s="114"/>
      <c r="G103" s="114"/>
      <c r="H103" s="114"/>
      <c r="I103" s="114"/>
      <c r="J103" s="114"/>
      <c r="K103" s="114"/>
      <c r="L103" s="114"/>
      <c r="M103" s="114"/>
      <c r="N103" s="19"/>
    </row>
    <row r="104" spans="1:14" x14ac:dyDescent="0.25">
      <c r="A104" s="114"/>
      <c r="B104" s="114"/>
      <c r="C104" s="114"/>
      <c r="D104" s="114"/>
      <c r="E104" s="114"/>
      <c r="F104" s="114"/>
      <c r="G104" s="114"/>
      <c r="H104" s="114"/>
      <c r="I104" s="114"/>
      <c r="J104" s="114"/>
      <c r="K104" s="114"/>
      <c r="L104" s="114"/>
      <c r="M104" s="114"/>
      <c r="N104" s="19"/>
    </row>
    <row r="105" spans="1:14" x14ac:dyDescent="0.25">
      <c r="A105" s="114"/>
      <c r="B105" s="114"/>
      <c r="C105" s="114"/>
      <c r="D105" s="114"/>
      <c r="E105" s="114"/>
      <c r="F105" s="114"/>
      <c r="G105" s="114"/>
      <c r="H105" s="114"/>
      <c r="I105" s="114"/>
      <c r="J105" s="114"/>
      <c r="K105" s="114"/>
      <c r="L105" s="114"/>
      <c r="M105" s="114"/>
      <c r="N105" s="19"/>
    </row>
    <row r="106" spans="1:14" x14ac:dyDescent="0.25">
      <c r="A106" s="114"/>
      <c r="B106" s="114"/>
      <c r="C106" s="114"/>
      <c r="D106" s="114"/>
      <c r="E106" s="114"/>
      <c r="F106" s="114"/>
      <c r="G106" s="114"/>
      <c r="H106" s="114"/>
      <c r="I106" s="114"/>
      <c r="J106" s="114"/>
      <c r="K106" s="114"/>
      <c r="L106" s="114"/>
      <c r="M106" s="114"/>
      <c r="N106" s="19"/>
    </row>
    <row r="107" spans="1:14" x14ac:dyDescent="0.25">
      <c r="A107" s="114"/>
      <c r="B107" s="114"/>
      <c r="C107" s="114"/>
      <c r="D107" s="114"/>
      <c r="E107" s="114"/>
      <c r="F107" s="114"/>
      <c r="G107" s="114"/>
      <c r="H107" s="114"/>
      <c r="I107" s="114"/>
      <c r="J107" s="114"/>
      <c r="K107" s="114"/>
      <c r="L107" s="114"/>
      <c r="M107" s="114"/>
      <c r="N107" s="19"/>
    </row>
    <row r="108" spans="1:14" x14ac:dyDescent="0.25">
      <c r="A108" s="114"/>
      <c r="B108" s="114"/>
      <c r="C108" s="114"/>
      <c r="D108" s="114"/>
      <c r="E108" s="114"/>
      <c r="F108" s="114"/>
      <c r="G108" s="114"/>
      <c r="H108" s="114"/>
      <c r="I108" s="114"/>
      <c r="J108" s="114"/>
      <c r="K108" s="114"/>
      <c r="L108" s="114"/>
      <c r="M108" s="114"/>
      <c r="N108" s="19"/>
    </row>
    <row r="109" spans="1:14" x14ac:dyDescent="0.25">
      <c r="A109" s="114"/>
      <c r="B109" s="114"/>
      <c r="C109" s="114"/>
      <c r="D109" s="114"/>
      <c r="E109" s="114"/>
      <c r="F109" s="114"/>
      <c r="G109" s="114"/>
      <c r="H109" s="114"/>
      <c r="I109" s="114"/>
      <c r="J109" s="114"/>
      <c r="K109" s="114"/>
      <c r="L109" s="114"/>
      <c r="M109" s="114"/>
      <c r="N109" s="19"/>
    </row>
    <row r="110" spans="1:14" x14ac:dyDescent="0.25">
      <c r="A110" s="114"/>
      <c r="B110" s="114"/>
      <c r="C110" s="114"/>
      <c r="D110" s="114"/>
      <c r="E110" s="114"/>
      <c r="F110" s="114"/>
      <c r="G110" s="114"/>
      <c r="H110" s="114"/>
      <c r="I110" s="114"/>
      <c r="J110" s="114"/>
      <c r="K110" s="114"/>
      <c r="L110" s="114"/>
      <c r="M110" s="114"/>
      <c r="N110" s="19"/>
    </row>
    <row r="111" spans="1:14" x14ac:dyDescent="0.25">
      <c r="A111" s="114"/>
      <c r="B111" s="114"/>
      <c r="C111" s="114"/>
      <c r="D111" s="114"/>
      <c r="E111" s="114"/>
      <c r="F111" s="114"/>
      <c r="G111" s="114"/>
      <c r="H111" s="114"/>
      <c r="I111" s="114"/>
      <c r="J111" s="114"/>
      <c r="K111" s="114"/>
      <c r="L111" s="114"/>
      <c r="M111" s="114"/>
      <c r="N111" s="19"/>
    </row>
    <row r="112" spans="1:14" x14ac:dyDescent="0.25">
      <c r="A112" s="114"/>
      <c r="B112" s="114"/>
      <c r="C112" s="114"/>
      <c r="D112" s="114"/>
      <c r="E112" s="114"/>
      <c r="F112" s="114"/>
      <c r="G112" s="114"/>
      <c r="H112" s="114"/>
      <c r="I112" s="114"/>
      <c r="J112" s="114"/>
      <c r="K112" s="114"/>
      <c r="L112" s="114"/>
      <c r="M112" s="114"/>
      <c r="N112" s="19"/>
    </row>
    <row r="113" spans="1:14" x14ac:dyDescent="0.25">
      <c r="A113" s="114"/>
      <c r="B113" s="114"/>
      <c r="C113" s="114"/>
      <c r="D113" s="114"/>
      <c r="E113" s="114"/>
      <c r="F113" s="114"/>
      <c r="G113" s="114"/>
      <c r="H113" s="114"/>
      <c r="I113" s="114"/>
      <c r="J113" s="114"/>
      <c r="K113" s="114"/>
      <c r="L113" s="114"/>
      <c r="M113" s="114"/>
      <c r="N113" s="19"/>
    </row>
    <row r="114" spans="1:14" x14ac:dyDescent="0.25">
      <c r="A114" s="114"/>
      <c r="B114" s="114"/>
      <c r="C114" s="114"/>
      <c r="D114" s="114"/>
      <c r="E114" s="114"/>
      <c r="F114" s="114"/>
      <c r="G114" s="114"/>
      <c r="H114" s="114"/>
      <c r="I114" s="114"/>
      <c r="J114" s="114"/>
      <c r="K114" s="114"/>
      <c r="L114" s="114"/>
      <c r="M114" s="114"/>
      <c r="N114" s="19"/>
    </row>
    <row r="115" spans="1:14" x14ac:dyDescent="0.25">
      <c r="A115" s="114"/>
      <c r="B115" s="114"/>
      <c r="C115" s="114"/>
      <c r="D115" s="114"/>
      <c r="E115" s="114"/>
      <c r="F115" s="114"/>
      <c r="G115" s="114"/>
      <c r="H115" s="114"/>
      <c r="I115" s="114"/>
      <c r="J115" s="114"/>
      <c r="K115" s="114"/>
      <c r="L115" s="114"/>
      <c r="M115" s="114"/>
      <c r="N115" s="19"/>
    </row>
    <row r="116" spans="1:14" x14ac:dyDescent="0.25">
      <c r="A116" s="114"/>
      <c r="B116" s="114"/>
      <c r="C116" s="114"/>
      <c r="D116" s="114"/>
      <c r="E116" s="114"/>
      <c r="F116" s="114"/>
      <c r="G116" s="114"/>
      <c r="H116" s="114"/>
      <c r="I116" s="114"/>
      <c r="J116" s="114"/>
      <c r="K116" s="114"/>
      <c r="L116" s="114"/>
      <c r="M116" s="114"/>
      <c r="N116" s="19"/>
    </row>
    <row r="117" spans="1:14" x14ac:dyDescent="0.25">
      <c r="A117" s="114"/>
      <c r="B117" s="114"/>
      <c r="C117" s="114"/>
      <c r="D117" s="114"/>
      <c r="E117" s="114"/>
      <c r="F117" s="114"/>
      <c r="G117" s="114"/>
      <c r="H117" s="114"/>
      <c r="I117" s="114"/>
      <c r="J117" s="114"/>
      <c r="K117" s="114"/>
      <c r="L117" s="114"/>
      <c r="M117" s="114"/>
      <c r="N117" s="19"/>
    </row>
    <row r="118" spans="1:14" x14ac:dyDescent="0.25">
      <c r="A118" s="114"/>
      <c r="B118" s="114"/>
      <c r="C118" s="114"/>
      <c r="D118" s="114"/>
      <c r="E118" s="114"/>
      <c r="F118" s="114"/>
      <c r="G118" s="114"/>
      <c r="H118" s="114"/>
      <c r="I118" s="114"/>
      <c r="J118" s="114"/>
      <c r="K118" s="114"/>
      <c r="L118" s="114"/>
      <c r="M118" s="114"/>
      <c r="N118" s="19"/>
    </row>
    <row r="119" spans="1:14" x14ac:dyDescent="0.25">
      <c r="A119" s="114"/>
      <c r="B119" s="114"/>
      <c r="C119" s="114"/>
      <c r="D119" s="114"/>
      <c r="E119" s="114"/>
      <c r="F119" s="114"/>
      <c r="G119" s="114"/>
      <c r="H119" s="114"/>
      <c r="I119" s="114"/>
      <c r="J119" s="114"/>
      <c r="K119" s="114"/>
      <c r="L119" s="114"/>
      <c r="M119" s="114"/>
      <c r="N119" s="19"/>
    </row>
    <row r="120" spans="1:14" x14ac:dyDescent="0.25">
      <c r="A120" s="114"/>
      <c r="B120" s="114"/>
      <c r="C120" s="114"/>
      <c r="D120" s="114"/>
      <c r="E120" s="114"/>
      <c r="F120" s="114"/>
      <c r="G120" s="114"/>
      <c r="H120" s="114"/>
      <c r="I120" s="114"/>
      <c r="J120" s="114"/>
      <c r="K120" s="114"/>
      <c r="L120" s="114"/>
      <c r="M120" s="114"/>
      <c r="N120" s="19"/>
    </row>
    <row r="121" spans="1:14" x14ac:dyDescent="0.25">
      <c r="A121" s="114"/>
      <c r="B121" s="114"/>
      <c r="C121" s="114"/>
      <c r="D121" s="114"/>
      <c r="E121" s="114"/>
      <c r="F121" s="114"/>
      <c r="G121" s="114"/>
      <c r="H121" s="114"/>
      <c r="I121" s="114"/>
      <c r="J121" s="114"/>
      <c r="K121" s="114"/>
      <c r="L121" s="114"/>
      <c r="M121" s="114"/>
      <c r="N121" s="19"/>
    </row>
    <row r="122" spans="1:14" x14ac:dyDescent="0.25">
      <c r="A122" s="114"/>
      <c r="B122" s="114"/>
      <c r="C122" s="114"/>
      <c r="D122" s="114"/>
      <c r="E122" s="114"/>
      <c r="F122" s="114"/>
      <c r="G122" s="114"/>
      <c r="H122" s="114"/>
      <c r="I122" s="114"/>
      <c r="J122" s="114"/>
      <c r="K122" s="114"/>
      <c r="L122" s="114"/>
      <c r="M122" s="114"/>
      <c r="N122" s="19"/>
    </row>
    <row r="123" spans="1:14" x14ac:dyDescent="0.25">
      <c r="A123" s="114"/>
      <c r="B123" s="114"/>
      <c r="C123" s="114"/>
      <c r="D123" s="114"/>
      <c r="E123" s="114"/>
      <c r="F123" s="114"/>
      <c r="G123" s="114"/>
      <c r="H123" s="114"/>
      <c r="I123" s="114"/>
      <c r="J123" s="114"/>
      <c r="K123" s="114"/>
      <c r="L123" s="114"/>
      <c r="M123" s="114"/>
      <c r="N123" s="19"/>
    </row>
    <row r="124" spans="1:14" x14ac:dyDescent="0.25">
      <c r="N124" s="19"/>
    </row>
    <row r="125" spans="1:14" x14ac:dyDescent="0.25">
      <c r="N125" s="19"/>
    </row>
    <row r="126" spans="1:14" x14ac:dyDescent="0.25">
      <c r="N126" s="19"/>
    </row>
    <row r="127" spans="1:14" x14ac:dyDescent="0.25">
      <c r="N127" s="19"/>
    </row>
    <row r="128" spans="1:14" x14ac:dyDescent="0.25">
      <c r="N128" s="19"/>
    </row>
    <row r="129" spans="14:14" x14ac:dyDescent="0.25">
      <c r="N129" s="19"/>
    </row>
    <row r="130" spans="14:14" x14ac:dyDescent="0.25">
      <c r="N130" s="19"/>
    </row>
    <row r="131" spans="14:14" x14ac:dyDescent="0.25">
      <c r="N131" s="19"/>
    </row>
    <row r="132" spans="14:14" x14ac:dyDescent="0.25">
      <c r="N132" s="19"/>
    </row>
    <row r="133" spans="14:14" x14ac:dyDescent="0.25">
      <c r="N133" s="19"/>
    </row>
    <row r="134" spans="14:14" x14ac:dyDescent="0.25">
      <c r="N134" s="19"/>
    </row>
    <row r="135" spans="14:14" x14ac:dyDescent="0.25">
      <c r="N135" s="19"/>
    </row>
    <row r="136" spans="14:14" x14ac:dyDescent="0.25">
      <c r="N136" s="19"/>
    </row>
    <row r="137" spans="14:14" x14ac:dyDescent="0.25">
      <c r="N137" s="19"/>
    </row>
    <row r="138" spans="14:14" x14ac:dyDescent="0.25">
      <c r="N138" s="19"/>
    </row>
    <row r="139" spans="14:14" x14ac:dyDescent="0.25">
      <c r="N139" s="19"/>
    </row>
    <row r="140" spans="14:14" x14ac:dyDescent="0.25">
      <c r="N140" s="19"/>
    </row>
    <row r="141" spans="14:14" x14ac:dyDescent="0.25">
      <c r="N141" s="19"/>
    </row>
    <row r="142" spans="14:14" x14ac:dyDescent="0.25">
      <c r="N142" s="19"/>
    </row>
    <row r="143" spans="14:14" x14ac:dyDescent="0.25">
      <c r="N143" s="19"/>
    </row>
    <row r="144" spans="14:14" x14ac:dyDescent="0.25">
      <c r="N144" s="19"/>
    </row>
    <row r="145" spans="14:14" x14ac:dyDescent="0.25">
      <c r="N145" s="19"/>
    </row>
    <row r="146" spans="14:14" x14ac:dyDescent="0.25">
      <c r="N146" s="19"/>
    </row>
    <row r="147" spans="14:14" x14ac:dyDescent="0.25">
      <c r="N147" s="19"/>
    </row>
    <row r="148" spans="14:14" x14ac:dyDescent="0.25">
      <c r="N148" s="19"/>
    </row>
    <row r="149" spans="14:14" x14ac:dyDescent="0.25">
      <c r="N149" s="19"/>
    </row>
    <row r="150" spans="14:14" x14ac:dyDescent="0.25">
      <c r="N150" s="19"/>
    </row>
    <row r="151" spans="14:14" x14ac:dyDescent="0.25">
      <c r="N151" s="19"/>
    </row>
    <row r="152" spans="14:14" x14ac:dyDescent="0.25">
      <c r="N152" s="19"/>
    </row>
    <row r="153" spans="14:14" x14ac:dyDescent="0.25">
      <c r="N153" s="19"/>
    </row>
    <row r="154" spans="14:14" x14ac:dyDescent="0.25">
      <c r="N154" s="19"/>
    </row>
    <row r="155" spans="14:14" x14ac:dyDescent="0.25">
      <c r="N155" s="19"/>
    </row>
    <row r="156" spans="14:14" x14ac:dyDescent="0.25">
      <c r="N156" s="19"/>
    </row>
    <row r="157" spans="14:14" x14ac:dyDescent="0.25">
      <c r="N157" s="19"/>
    </row>
    <row r="158" spans="14:14" x14ac:dyDescent="0.25">
      <c r="N158" s="19"/>
    </row>
    <row r="159" spans="14:14" x14ac:dyDescent="0.25">
      <c r="N159" s="19"/>
    </row>
    <row r="160" spans="14:14" x14ac:dyDescent="0.25">
      <c r="N160" s="19"/>
    </row>
    <row r="161" spans="14:14" x14ac:dyDescent="0.25">
      <c r="N161" s="19"/>
    </row>
    <row r="162" spans="14:14" x14ac:dyDescent="0.25">
      <c r="N162" s="19"/>
    </row>
    <row r="163" spans="14:14" x14ac:dyDescent="0.25">
      <c r="N163" s="19"/>
    </row>
    <row r="164" spans="14:14" x14ac:dyDescent="0.25">
      <c r="N164" s="19"/>
    </row>
    <row r="165" spans="14:14" x14ac:dyDescent="0.25">
      <c r="N165" s="19"/>
    </row>
    <row r="166" spans="14:14" x14ac:dyDescent="0.25">
      <c r="N166" s="19"/>
    </row>
    <row r="167" spans="14:14" x14ac:dyDescent="0.25">
      <c r="N167" s="19"/>
    </row>
    <row r="168" spans="14:14" x14ac:dyDescent="0.25">
      <c r="N168" s="19"/>
    </row>
    <row r="169" spans="14:14" x14ac:dyDescent="0.25">
      <c r="N169" s="19"/>
    </row>
    <row r="170" spans="14:14" x14ac:dyDescent="0.25">
      <c r="N170" s="19"/>
    </row>
    <row r="171" spans="14:14" x14ac:dyDescent="0.25">
      <c r="N171" s="19"/>
    </row>
    <row r="172" spans="14:14" x14ac:dyDescent="0.25">
      <c r="N172" s="19"/>
    </row>
    <row r="173" spans="14:14" x14ac:dyDescent="0.25">
      <c r="N173" s="19"/>
    </row>
    <row r="174" spans="14:14" x14ac:dyDescent="0.25">
      <c r="N174" s="19"/>
    </row>
    <row r="175" spans="14:14" x14ac:dyDescent="0.25">
      <c r="N175" s="19"/>
    </row>
    <row r="176" spans="14:14" x14ac:dyDescent="0.25">
      <c r="N176" s="19"/>
    </row>
    <row r="177" spans="14:14" x14ac:dyDescent="0.25">
      <c r="N177" s="19"/>
    </row>
    <row r="178" spans="14:14" x14ac:dyDescent="0.25">
      <c r="N178" s="19"/>
    </row>
    <row r="179" spans="14:14" x14ac:dyDescent="0.25">
      <c r="N179" s="19"/>
    </row>
    <row r="180" spans="14:14" x14ac:dyDescent="0.25">
      <c r="N180" s="19"/>
    </row>
    <row r="181" spans="14:14" x14ac:dyDescent="0.25">
      <c r="N181" s="19"/>
    </row>
    <row r="182" spans="14:14" x14ac:dyDescent="0.25">
      <c r="N182" s="19"/>
    </row>
    <row r="183" spans="14:14" x14ac:dyDescent="0.25">
      <c r="N183" s="19"/>
    </row>
    <row r="184" spans="14:14" x14ac:dyDescent="0.25">
      <c r="N184" s="19"/>
    </row>
    <row r="185" spans="14:14" x14ac:dyDescent="0.25">
      <c r="N185" s="19"/>
    </row>
    <row r="186" spans="14:14" x14ac:dyDescent="0.25">
      <c r="N186" s="19"/>
    </row>
    <row r="187" spans="14:14" x14ac:dyDescent="0.25">
      <c r="N187" s="19"/>
    </row>
    <row r="188" spans="14:14" x14ac:dyDescent="0.25">
      <c r="N188" s="19"/>
    </row>
    <row r="189" spans="14:14" x14ac:dyDescent="0.25">
      <c r="N189" s="19"/>
    </row>
    <row r="190" spans="14:14" x14ac:dyDescent="0.25">
      <c r="N190" s="19"/>
    </row>
    <row r="191" spans="14:14" x14ac:dyDescent="0.25">
      <c r="N191" s="19"/>
    </row>
    <row r="192" spans="14:14" x14ac:dyDescent="0.25">
      <c r="N192" s="19"/>
    </row>
    <row r="193" spans="14:14" x14ac:dyDescent="0.25">
      <c r="N193" s="19"/>
    </row>
    <row r="194" spans="14:14" x14ac:dyDescent="0.25">
      <c r="N194" s="19"/>
    </row>
    <row r="195" spans="14:14" x14ac:dyDescent="0.25">
      <c r="N195" s="19"/>
    </row>
    <row r="196" spans="14:14" x14ac:dyDescent="0.25">
      <c r="N196" s="19"/>
    </row>
    <row r="197" spans="14:14" x14ac:dyDescent="0.25">
      <c r="N197" s="19"/>
    </row>
    <row r="198" spans="14:14" x14ac:dyDescent="0.25">
      <c r="N198" s="19"/>
    </row>
    <row r="199" spans="14:14" x14ac:dyDescent="0.25">
      <c r="N199" s="19"/>
    </row>
    <row r="200" spans="14:14" x14ac:dyDescent="0.25">
      <c r="N200" s="19"/>
    </row>
    <row r="201" spans="14:14" x14ac:dyDescent="0.25">
      <c r="N201" s="19"/>
    </row>
    <row r="202" spans="14:14" x14ac:dyDescent="0.25">
      <c r="N202" s="19"/>
    </row>
    <row r="203" spans="14:14" x14ac:dyDescent="0.25">
      <c r="N203" s="19"/>
    </row>
    <row r="204" spans="14:14" x14ac:dyDescent="0.25">
      <c r="N204" s="19"/>
    </row>
    <row r="205" spans="14:14" x14ac:dyDescent="0.25">
      <c r="N205" s="19"/>
    </row>
    <row r="206" spans="14:14" x14ac:dyDescent="0.25">
      <c r="N206" s="19"/>
    </row>
    <row r="207" spans="14:14" x14ac:dyDescent="0.25">
      <c r="N207" s="19"/>
    </row>
    <row r="208" spans="14:14" x14ac:dyDescent="0.25">
      <c r="N208" s="19"/>
    </row>
    <row r="209" spans="14:14" x14ac:dyDescent="0.25">
      <c r="N209" s="19"/>
    </row>
    <row r="210" spans="14:14" x14ac:dyDescent="0.25">
      <c r="N210" s="19"/>
    </row>
    <row r="211" spans="14:14" x14ac:dyDescent="0.25">
      <c r="N211" s="19"/>
    </row>
    <row r="212" spans="14:14" x14ac:dyDescent="0.25">
      <c r="N212" s="19"/>
    </row>
    <row r="213" spans="14:14" x14ac:dyDescent="0.25">
      <c r="N213" s="19"/>
    </row>
    <row r="214" spans="14:14" x14ac:dyDescent="0.25">
      <c r="N214" s="19"/>
    </row>
    <row r="215" spans="14:14" x14ac:dyDescent="0.25">
      <c r="N215" s="19"/>
    </row>
    <row r="216" spans="14:14" x14ac:dyDescent="0.25">
      <c r="N216" s="19"/>
    </row>
    <row r="217" spans="14:14" x14ac:dyDescent="0.25">
      <c r="N217" s="19"/>
    </row>
    <row r="218" spans="14:14" x14ac:dyDescent="0.25">
      <c r="N218" s="19"/>
    </row>
    <row r="219" spans="14:14" x14ac:dyDescent="0.25">
      <c r="N219" s="19"/>
    </row>
    <row r="220" spans="14:14" x14ac:dyDescent="0.25">
      <c r="N220" s="19"/>
    </row>
    <row r="221" spans="14:14" x14ac:dyDescent="0.25">
      <c r="N221" s="19"/>
    </row>
    <row r="222" spans="14:14" x14ac:dyDescent="0.25">
      <c r="N222" s="19"/>
    </row>
    <row r="223" spans="14:14" x14ac:dyDescent="0.25">
      <c r="N223" s="19"/>
    </row>
    <row r="224" spans="14:14" x14ac:dyDescent="0.25">
      <c r="N224" s="19"/>
    </row>
    <row r="225" spans="14:14" x14ac:dyDescent="0.25">
      <c r="N225" s="19"/>
    </row>
    <row r="226" spans="14:14" x14ac:dyDescent="0.25">
      <c r="N226" s="19"/>
    </row>
    <row r="227" spans="14:14" x14ac:dyDescent="0.25">
      <c r="N227" s="19"/>
    </row>
    <row r="228" spans="14:14" x14ac:dyDescent="0.25">
      <c r="N228" s="19"/>
    </row>
    <row r="229" spans="14:14" x14ac:dyDescent="0.25">
      <c r="N229" s="19"/>
    </row>
    <row r="230" spans="14:14" x14ac:dyDescent="0.25">
      <c r="N230" s="19"/>
    </row>
    <row r="231" spans="14:14" x14ac:dyDescent="0.25">
      <c r="N231" s="19"/>
    </row>
    <row r="232" spans="14:14" x14ac:dyDescent="0.25">
      <c r="N232" s="19"/>
    </row>
    <row r="233" spans="14:14" x14ac:dyDescent="0.25">
      <c r="N233" s="19"/>
    </row>
    <row r="234" spans="14:14" x14ac:dyDescent="0.25">
      <c r="N234" s="19"/>
    </row>
    <row r="235" spans="14:14" x14ac:dyDescent="0.25">
      <c r="N235" s="19"/>
    </row>
    <row r="236" spans="14:14" x14ac:dyDescent="0.25">
      <c r="N236" s="19"/>
    </row>
    <row r="237" spans="14:14" x14ac:dyDescent="0.25">
      <c r="N237" s="19"/>
    </row>
    <row r="238" spans="14:14" x14ac:dyDescent="0.25">
      <c r="N238" s="19"/>
    </row>
    <row r="239" spans="14:14" x14ac:dyDescent="0.25">
      <c r="N239" s="19"/>
    </row>
    <row r="240" spans="14:14" x14ac:dyDescent="0.25">
      <c r="N240" s="19"/>
    </row>
    <row r="241" spans="14:14" x14ac:dyDescent="0.25">
      <c r="N241" s="19"/>
    </row>
    <row r="242" spans="14:14" x14ac:dyDescent="0.25">
      <c r="N242" s="19"/>
    </row>
    <row r="243" spans="14:14" x14ac:dyDescent="0.25">
      <c r="N243" s="19"/>
    </row>
    <row r="244" spans="14:14" x14ac:dyDescent="0.25">
      <c r="N244" s="19"/>
    </row>
    <row r="245" spans="14:14" x14ac:dyDescent="0.25">
      <c r="N245" s="19"/>
    </row>
    <row r="246" spans="14:14" x14ac:dyDescent="0.25">
      <c r="N246" s="19"/>
    </row>
    <row r="247" spans="14:14" x14ac:dyDescent="0.25">
      <c r="N247" s="19"/>
    </row>
    <row r="248" spans="14:14" x14ac:dyDescent="0.25">
      <c r="N248" s="19"/>
    </row>
    <row r="249" spans="14:14" x14ac:dyDescent="0.25">
      <c r="N249" s="19"/>
    </row>
    <row r="250" spans="14:14" x14ac:dyDescent="0.25">
      <c r="N250" s="19"/>
    </row>
    <row r="251" spans="14:14" x14ac:dyDescent="0.25">
      <c r="N251" s="19"/>
    </row>
    <row r="252" spans="14:14" x14ac:dyDescent="0.25">
      <c r="N252" s="19"/>
    </row>
    <row r="253" spans="14:14" x14ac:dyDescent="0.25">
      <c r="N253" s="19"/>
    </row>
    <row r="254" spans="14:14" x14ac:dyDescent="0.25">
      <c r="N254" s="19"/>
    </row>
    <row r="255" spans="14:14" x14ac:dyDescent="0.25">
      <c r="N255" s="19"/>
    </row>
    <row r="256" spans="14:14" x14ac:dyDescent="0.25">
      <c r="N256" s="19"/>
    </row>
    <row r="257" spans="14:14" x14ac:dyDescent="0.25">
      <c r="N257" s="19"/>
    </row>
    <row r="258" spans="14:14" x14ac:dyDescent="0.25">
      <c r="N258" s="19"/>
    </row>
    <row r="259" spans="14:14" x14ac:dyDescent="0.25">
      <c r="N259" s="19"/>
    </row>
    <row r="260" spans="14:14" x14ac:dyDescent="0.25">
      <c r="N260" s="19"/>
    </row>
    <row r="261" spans="14:14" x14ac:dyDescent="0.25">
      <c r="N261" s="19"/>
    </row>
    <row r="262" spans="14:14" x14ac:dyDescent="0.25">
      <c r="N262" s="19"/>
    </row>
    <row r="263" spans="14:14" x14ac:dyDescent="0.25">
      <c r="N263" s="19"/>
    </row>
    <row r="264" spans="14:14" x14ac:dyDescent="0.25">
      <c r="N264" s="19"/>
    </row>
    <row r="265" spans="14:14" x14ac:dyDescent="0.25">
      <c r="N265" s="19"/>
    </row>
    <row r="266" spans="14:14" x14ac:dyDescent="0.25">
      <c r="N266" s="19"/>
    </row>
    <row r="267" spans="14:14" x14ac:dyDescent="0.25">
      <c r="N267" s="19"/>
    </row>
    <row r="268" spans="14:14" x14ac:dyDescent="0.25">
      <c r="N268" s="19"/>
    </row>
    <row r="269" spans="14:14" x14ac:dyDescent="0.25">
      <c r="N269" s="19"/>
    </row>
    <row r="270" spans="14:14" x14ac:dyDescent="0.25">
      <c r="N270" s="19"/>
    </row>
    <row r="271" spans="14:14" x14ac:dyDescent="0.25">
      <c r="N271" s="19"/>
    </row>
    <row r="272" spans="14:14" x14ac:dyDescent="0.25">
      <c r="N272" s="19"/>
    </row>
    <row r="273" spans="14:14" x14ac:dyDescent="0.25">
      <c r="N273" s="19"/>
    </row>
    <row r="274" spans="14:14" x14ac:dyDescent="0.25">
      <c r="N274" s="19"/>
    </row>
    <row r="275" spans="14:14" x14ac:dyDescent="0.25">
      <c r="N275" s="19"/>
    </row>
    <row r="276" spans="14:14" x14ac:dyDescent="0.25">
      <c r="N276" s="19"/>
    </row>
    <row r="277" spans="14:14" x14ac:dyDescent="0.25">
      <c r="N277" s="19"/>
    </row>
    <row r="278" spans="14:14" x14ac:dyDescent="0.25">
      <c r="N278" s="19"/>
    </row>
    <row r="279" spans="14:14" x14ac:dyDescent="0.25">
      <c r="N279" s="19"/>
    </row>
    <row r="280" spans="14:14" x14ac:dyDescent="0.25">
      <c r="N280" s="19"/>
    </row>
    <row r="281" spans="14:14" x14ac:dyDescent="0.25">
      <c r="N281" s="19"/>
    </row>
    <row r="282" spans="14:14" x14ac:dyDescent="0.25">
      <c r="N282" s="19"/>
    </row>
    <row r="283" spans="14:14" x14ac:dyDescent="0.25">
      <c r="N283" s="19"/>
    </row>
    <row r="284" spans="14:14" x14ac:dyDescent="0.25">
      <c r="N284" s="19"/>
    </row>
    <row r="285" spans="14:14" x14ac:dyDescent="0.25">
      <c r="N285" s="19"/>
    </row>
    <row r="286" spans="14:14" x14ac:dyDescent="0.25">
      <c r="N286" s="19"/>
    </row>
    <row r="287" spans="14:14" x14ac:dyDescent="0.25">
      <c r="N287" s="19"/>
    </row>
    <row r="288" spans="14:14" x14ac:dyDescent="0.25">
      <c r="N288" s="19"/>
    </row>
    <row r="289" spans="14:14" x14ac:dyDescent="0.25">
      <c r="N289" s="19"/>
    </row>
    <row r="290" spans="14:14" x14ac:dyDescent="0.25">
      <c r="N290" s="19"/>
    </row>
    <row r="291" spans="14:14" x14ac:dyDescent="0.25">
      <c r="N291" s="19"/>
    </row>
    <row r="292" spans="14:14" x14ac:dyDescent="0.25">
      <c r="N292" s="19"/>
    </row>
    <row r="293" spans="14:14" x14ac:dyDescent="0.25">
      <c r="N293" s="19"/>
    </row>
    <row r="294" spans="14:14" x14ac:dyDescent="0.25">
      <c r="N294" s="19"/>
    </row>
    <row r="295" spans="14:14" x14ac:dyDescent="0.25">
      <c r="N295" s="19"/>
    </row>
    <row r="296" spans="14:14" x14ac:dyDescent="0.25">
      <c r="N296" s="19"/>
    </row>
    <row r="297" spans="14:14" x14ac:dyDescent="0.25">
      <c r="N297" s="19"/>
    </row>
    <row r="298" spans="14:14" x14ac:dyDescent="0.25">
      <c r="N298" s="19"/>
    </row>
    <row r="299" spans="14:14" x14ac:dyDescent="0.25">
      <c r="N299" s="19"/>
    </row>
    <row r="300" spans="14:14" x14ac:dyDescent="0.25">
      <c r="N300" s="19"/>
    </row>
    <row r="301" spans="14:14" x14ac:dyDescent="0.25">
      <c r="N301" s="19"/>
    </row>
    <row r="302" spans="14:14" x14ac:dyDescent="0.25">
      <c r="N302" s="19"/>
    </row>
    <row r="303" spans="14:14" x14ac:dyDescent="0.25">
      <c r="N303" s="19"/>
    </row>
    <row r="304" spans="14:14" x14ac:dyDescent="0.25">
      <c r="N304" s="19"/>
    </row>
    <row r="305" spans="1:14" x14ac:dyDescent="0.25">
      <c r="N305" s="19"/>
    </row>
    <row r="306" spans="1:14" x14ac:dyDescent="0.25">
      <c r="N306" s="19"/>
    </row>
    <row r="307" spans="1:14" x14ac:dyDescent="0.25">
      <c r="N307" s="19"/>
    </row>
    <row r="308" spans="1:14" x14ac:dyDescent="0.25">
      <c r="N308" s="19"/>
    </row>
    <row r="309" spans="1:14" x14ac:dyDescent="0.25">
      <c r="N309" s="19"/>
    </row>
    <row r="310" spans="1:14" x14ac:dyDescent="0.25">
      <c r="N310" s="19"/>
    </row>
    <row r="311" spans="1:14" x14ac:dyDescent="0.25">
      <c r="N311" s="19"/>
    </row>
    <row r="312" spans="1:14" x14ac:dyDescent="0.25">
      <c r="N312" s="19"/>
    </row>
    <row r="313" spans="1:14" x14ac:dyDescent="0.25">
      <c r="N313" s="19"/>
    </row>
    <row r="314" spans="1:14" x14ac:dyDescent="0.25">
      <c r="N314" s="19"/>
    </row>
    <row r="315" spans="1:14" x14ac:dyDescent="0.25">
      <c r="N315" s="19"/>
    </row>
    <row r="316" spans="1:14" x14ac:dyDescent="0.25">
      <c r="N316" s="19"/>
    </row>
    <row r="317" spans="1:14" x14ac:dyDescent="0.25">
      <c r="N317" s="19"/>
    </row>
    <row r="318" spans="1:14" x14ac:dyDescent="0.25">
      <c r="B318" s="8"/>
      <c r="C318" s="8"/>
      <c r="D318" s="8"/>
      <c r="E318" s="8"/>
      <c r="F318" s="8"/>
      <c r="G318" s="8"/>
      <c r="H318" s="8"/>
      <c r="I318" s="8"/>
      <c r="N318" s="19"/>
    </row>
    <row r="319" spans="1:14" x14ac:dyDescent="0.25"/>
    <row r="320" spans="1:14" x14ac:dyDescent="0.25">
      <c r="B320" s="24"/>
      <c r="C320" s="24"/>
      <c r="D320" s="24"/>
      <c r="E320" s="24"/>
      <c r="F320" s="24"/>
      <c r="G320" s="24"/>
      <c r="H320" s="24"/>
      <c r="I320" s="24"/>
      <c r="J320" s="24"/>
      <c r="K320" s="24"/>
      <c r="L320" s="24"/>
      <c r="M320" s="24"/>
    </row>
  </sheetData>
  <mergeCells count="1">
    <mergeCell ref="F1:H1"/>
  </mergeCells>
  <phoneticPr fontId="14" type="noConversion"/>
  <pageMargins left="0.5" right="0.5" top="1" bottom="0.5" header="0.5" footer="0.25"/>
  <pageSetup scale="67" fitToHeight="0" orientation="landscape" horizontalDpi="4294967292" verticalDpi="4294967292" r:id="rId1"/>
  <headerFooter>
    <oddHeader>&amp;C&amp;"Arial,Bold"&amp;14&amp;K000000Development Services_x000D_Financial Dashboard&amp;R&amp;"Calibri,Regular"&amp;K000000Printed:  &amp;D</oddHeader>
    <oddFooter>&amp;C&amp;"Calibri,Regular"&amp;K000000Page &amp;P of &amp;N</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W743"/>
  <sheetViews>
    <sheetView workbookViewId="0">
      <pane ySplit="4" topLeftCell="A5" activePane="bottomLeft" state="frozen"/>
      <selection pane="bottomLeft" activeCell="W1" sqref="W1:W1048576"/>
    </sheetView>
  </sheetViews>
  <sheetFormatPr defaultColWidth="11" defaultRowHeight="15.75" x14ac:dyDescent="0.25"/>
  <cols>
    <col min="1" max="1" width="34.625" customWidth="1"/>
    <col min="2" max="10" width="14" customWidth="1"/>
    <col min="11" max="11" width="14.125" style="278" customWidth="1"/>
    <col min="12" max="12" width="12.75" customWidth="1"/>
    <col min="13" max="13" width="15.125" hidden="1" customWidth="1"/>
    <col min="14" max="14" width="14.125" style="124" bestFit="1" customWidth="1"/>
    <col min="23" max="23" width="83.125" hidden="1" customWidth="1"/>
    <col min="26" max="26" width="35.375" customWidth="1"/>
  </cols>
  <sheetData>
    <row r="1" spans="1:23" ht="18.75" x14ac:dyDescent="0.3">
      <c r="A1" s="36" t="s">
        <v>35</v>
      </c>
      <c r="F1" s="1020" t="s">
        <v>154</v>
      </c>
      <c r="G1" s="1020"/>
      <c r="H1" s="1020"/>
      <c r="J1" s="357"/>
      <c r="K1" s="295"/>
      <c r="L1" s="357"/>
      <c r="M1" s="357"/>
    </row>
    <row r="2" spans="1:23" x14ac:dyDescent="0.25">
      <c r="A2" s="2"/>
    </row>
    <row r="3" spans="1:23" x14ac:dyDescent="0.25">
      <c r="A3" s="2"/>
      <c r="B3" s="435" t="s">
        <v>58</v>
      </c>
      <c r="C3" s="360" t="s">
        <v>58</v>
      </c>
      <c r="D3" s="360" t="s">
        <v>58</v>
      </c>
      <c r="E3" s="360" t="s">
        <v>58</v>
      </c>
      <c r="F3" s="360" t="s">
        <v>58</v>
      </c>
      <c r="G3" s="360" t="s">
        <v>58</v>
      </c>
      <c r="H3" s="360" t="s">
        <v>58</v>
      </c>
      <c r="I3" s="360" t="s">
        <v>58</v>
      </c>
      <c r="J3" s="436" t="s">
        <v>58</v>
      </c>
      <c r="K3" s="360" t="s">
        <v>58</v>
      </c>
      <c r="L3" s="441" t="s">
        <v>58</v>
      </c>
      <c r="M3" s="360" t="s">
        <v>58</v>
      </c>
    </row>
    <row r="4" spans="1:23" x14ac:dyDescent="0.25">
      <c r="A4" s="2"/>
      <c r="B4" s="437" t="s">
        <v>55</v>
      </c>
      <c r="C4" s="205" t="s">
        <v>55</v>
      </c>
      <c r="D4" s="205" t="s">
        <v>55</v>
      </c>
      <c r="E4" s="205" t="s">
        <v>55</v>
      </c>
      <c r="F4" s="205" t="s">
        <v>55</v>
      </c>
      <c r="G4" s="205" t="s">
        <v>55</v>
      </c>
      <c r="H4" s="205" t="s">
        <v>55</v>
      </c>
      <c r="I4" s="205" t="s">
        <v>55</v>
      </c>
      <c r="J4" s="438" t="s">
        <v>55</v>
      </c>
      <c r="K4" s="205" t="s">
        <v>151</v>
      </c>
      <c r="L4" s="442" t="s">
        <v>56</v>
      </c>
      <c r="M4" s="205" t="s">
        <v>253</v>
      </c>
    </row>
    <row r="5" spans="1:23" ht="16.5" thickBot="1" x14ac:dyDescent="0.3">
      <c r="B5" s="439">
        <v>2009</v>
      </c>
      <c r="C5" s="367">
        <v>2010</v>
      </c>
      <c r="D5" s="367">
        <v>2011</v>
      </c>
      <c r="E5" s="367">
        <v>2012</v>
      </c>
      <c r="F5" s="367">
        <v>2013</v>
      </c>
      <c r="G5" s="367">
        <v>2014</v>
      </c>
      <c r="H5" s="367">
        <v>2015</v>
      </c>
      <c r="I5" s="367">
        <v>2016</v>
      </c>
      <c r="J5" s="440">
        <v>2017</v>
      </c>
      <c r="K5" s="367">
        <v>2018</v>
      </c>
      <c r="L5" s="456">
        <v>2019</v>
      </c>
      <c r="M5" s="367">
        <v>2018</v>
      </c>
      <c r="O5" s="2"/>
    </row>
    <row r="6" spans="1:23" s="278" customFormat="1" ht="18.75" x14ac:dyDescent="0.3">
      <c r="A6" s="850" t="s">
        <v>333</v>
      </c>
      <c r="B6" s="378"/>
      <c r="C6" s="371"/>
      <c r="D6" s="371"/>
      <c r="E6" s="371"/>
      <c r="F6" s="371"/>
      <c r="G6" s="371"/>
      <c r="H6" s="371"/>
      <c r="I6" s="371"/>
      <c r="J6" s="379"/>
      <c r="K6" s="463"/>
      <c r="L6" s="464"/>
      <c r="M6" s="379"/>
      <c r="N6" s="126"/>
      <c r="O6" s="2"/>
    </row>
    <row r="7" spans="1:23" x14ac:dyDescent="0.25">
      <c r="A7" s="851" t="s">
        <v>92</v>
      </c>
      <c r="B7" s="380">
        <v>14401</v>
      </c>
      <c r="C7" s="315">
        <v>14148</v>
      </c>
      <c r="D7" s="315">
        <f>24274+912</f>
        <v>25186</v>
      </c>
      <c r="E7" s="315">
        <v>39952</v>
      </c>
      <c r="F7" s="315">
        <v>630242</v>
      </c>
      <c r="G7" s="315">
        <f>27864+4401</f>
        <v>32265</v>
      </c>
      <c r="H7" s="315">
        <f>21178-39-3483</f>
        <v>17656</v>
      </c>
      <c r="I7" s="315">
        <f>-88+21090-100</f>
        <v>20902</v>
      </c>
      <c r="J7" s="381">
        <v>14324</v>
      </c>
      <c r="K7" s="315">
        <v>14400</v>
      </c>
      <c r="L7" s="372">
        <v>14300</v>
      </c>
      <c r="M7" s="381">
        <v>14400</v>
      </c>
      <c r="N7" s="121"/>
      <c r="O7" s="3"/>
    </row>
    <row r="8" spans="1:23" x14ac:dyDescent="0.25">
      <c r="A8" s="852" t="s">
        <v>88</v>
      </c>
      <c r="B8" s="380">
        <v>0</v>
      </c>
      <c r="C8" s="315">
        <v>0</v>
      </c>
      <c r="D8" s="315">
        <v>0</v>
      </c>
      <c r="E8" s="315">
        <v>0</v>
      </c>
      <c r="F8" s="315">
        <v>0</v>
      </c>
      <c r="G8" s="315">
        <v>0</v>
      </c>
      <c r="H8" s="315">
        <v>0</v>
      </c>
      <c r="I8" s="315">
        <v>0</v>
      </c>
      <c r="J8" s="381">
        <v>0</v>
      </c>
      <c r="K8" s="315">
        <v>0</v>
      </c>
      <c r="L8" s="372">
        <v>0</v>
      </c>
      <c r="M8" s="381">
        <v>0</v>
      </c>
      <c r="N8" s="121"/>
      <c r="O8" s="3"/>
    </row>
    <row r="9" spans="1:23" x14ac:dyDescent="0.25">
      <c r="A9" s="853" t="s">
        <v>93</v>
      </c>
      <c r="B9" s="380">
        <v>0</v>
      </c>
      <c r="C9" s="315">
        <v>0</v>
      </c>
      <c r="D9" s="315">
        <v>0</v>
      </c>
      <c r="E9" s="315">
        <v>0</v>
      </c>
      <c r="F9" s="315">
        <v>0</v>
      </c>
      <c r="G9" s="315">
        <v>0</v>
      </c>
      <c r="H9" s="315">
        <v>0</v>
      </c>
      <c r="I9" s="315">
        <v>0</v>
      </c>
      <c r="J9" s="381">
        <v>0</v>
      </c>
      <c r="K9" s="315">
        <v>0</v>
      </c>
      <c r="L9" s="372">
        <v>0</v>
      </c>
      <c r="M9" s="381">
        <v>0</v>
      </c>
      <c r="N9" s="121"/>
      <c r="O9" s="3"/>
    </row>
    <row r="10" spans="1:23" x14ac:dyDescent="0.25">
      <c r="A10" s="854" t="s">
        <v>78</v>
      </c>
      <c r="B10" s="380">
        <v>0</v>
      </c>
      <c r="C10" s="315">
        <v>516389</v>
      </c>
      <c r="D10" s="315">
        <v>596480</v>
      </c>
      <c r="E10" s="315">
        <v>718637</v>
      </c>
      <c r="F10" s="315">
        <v>799090</v>
      </c>
      <c r="G10" s="315">
        <f>1765513+932036</f>
        <v>2697549</v>
      </c>
      <c r="H10" s="315">
        <f>456160+946383</f>
        <v>1402543</v>
      </c>
      <c r="I10" s="315">
        <f>1208298+957891</f>
        <v>2166189</v>
      </c>
      <c r="J10" s="381">
        <f>959148+1100139</f>
        <v>2059287</v>
      </c>
      <c r="K10" s="315">
        <f>971221+940123</f>
        <v>1911344</v>
      </c>
      <c r="L10" s="372">
        <f>269631+1058069</f>
        <v>1327700</v>
      </c>
      <c r="M10" s="381">
        <f>918721+940123</f>
        <v>1858844</v>
      </c>
      <c r="N10" s="121"/>
      <c r="O10" s="3"/>
    </row>
    <row r="11" spans="1:23" ht="16.5" thickBot="1" x14ac:dyDescent="0.3">
      <c r="A11" s="856"/>
      <c r="B11" s="382"/>
      <c r="C11" s="369"/>
      <c r="D11" s="369"/>
      <c r="E11" s="369"/>
      <c r="F11" s="369"/>
      <c r="G11" s="369"/>
      <c r="H11" s="369"/>
      <c r="I11" s="369"/>
      <c r="J11" s="383"/>
      <c r="K11" s="369"/>
      <c r="L11" s="373"/>
      <c r="M11" s="383">
        <v>0</v>
      </c>
      <c r="N11" s="121"/>
      <c r="O11" s="2"/>
    </row>
    <row r="12" spans="1:23" ht="17.25" thickTop="1" thickBot="1" x14ac:dyDescent="0.3">
      <c r="A12" s="896" t="s">
        <v>100</v>
      </c>
      <c r="B12" s="475">
        <f t="shared" ref="B12:J12" si="0">SUM(B7:B11)</f>
        <v>14401</v>
      </c>
      <c r="C12" s="476">
        <f t="shared" si="0"/>
        <v>530537</v>
      </c>
      <c r="D12" s="476">
        <f t="shared" si="0"/>
        <v>621666</v>
      </c>
      <c r="E12" s="476">
        <f t="shared" si="0"/>
        <v>758589</v>
      </c>
      <c r="F12" s="476">
        <f t="shared" si="0"/>
        <v>1429332</v>
      </c>
      <c r="G12" s="476">
        <f t="shared" si="0"/>
        <v>2729814</v>
      </c>
      <c r="H12" s="476">
        <f t="shared" si="0"/>
        <v>1420199</v>
      </c>
      <c r="I12" s="476">
        <f t="shared" si="0"/>
        <v>2187091</v>
      </c>
      <c r="J12" s="477">
        <f t="shared" si="0"/>
        <v>2073611</v>
      </c>
      <c r="K12" s="476">
        <f>SUM(K7:K11)</f>
        <v>1925744</v>
      </c>
      <c r="L12" s="478">
        <f>SUM(L7:L11)</f>
        <v>1342000</v>
      </c>
      <c r="M12" s="433">
        <f>SUM(M7:M11)</f>
        <v>1873244</v>
      </c>
      <c r="N12" s="126"/>
      <c r="O12" s="2"/>
    </row>
    <row r="13" spans="1:23" x14ac:dyDescent="0.25">
      <c r="A13" s="858"/>
      <c r="B13" s="407"/>
      <c r="C13" s="312"/>
      <c r="D13" s="312"/>
      <c r="E13" s="312"/>
      <c r="F13" s="312"/>
      <c r="G13" s="312"/>
      <c r="H13" s="312"/>
      <c r="I13" s="312"/>
      <c r="J13" s="400"/>
      <c r="K13" s="312"/>
      <c r="L13" s="444"/>
      <c r="M13" s="312"/>
      <c r="N13" s="126"/>
      <c r="O13" s="2"/>
    </row>
    <row r="14" spans="1:23" ht="16.5" thickBot="1" x14ac:dyDescent="0.3">
      <c r="A14" s="874"/>
      <c r="B14" s="380"/>
      <c r="C14" s="313"/>
      <c r="D14" s="313"/>
      <c r="E14" s="313"/>
      <c r="F14" s="313"/>
      <c r="G14" s="313"/>
      <c r="H14" s="313"/>
      <c r="I14" s="313"/>
      <c r="J14" s="381"/>
      <c r="K14" s="313"/>
      <c r="L14" s="372"/>
      <c r="M14" s="313"/>
      <c r="N14" s="126"/>
      <c r="O14" s="2"/>
      <c r="W14" t="s">
        <v>373</v>
      </c>
    </row>
    <row r="15" spans="1:23" ht="18.75" x14ac:dyDescent="0.3">
      <c r="A15" s="860" t="s">
        <v>332</v>
      </c>
      <c r="B15" s="521">
        <v>2009</v>
      </c>
      <c r="C15" s="522">
        <v>2010</v>
      </c>
      <c r="D15" s="522">
        <v>2011</v>
      </c>
      <c r="E15" s="522">
        <v>2012</v>
      </c>
      <c r="F15" s="522">
        <v>2013</v>
      </c>
      <c r="G15" s="522">
        <v>2014</v>
      </c>
      <c r="H15" s="522">
        <v>2015</v>
      </c>
      <c r="I15" s="522">
        <v>2016</v>
      </c>
      <c r="J15" s="523">
        <v>2017</v>
      </c>
      <c r="K15" s="522">
        <v>2018</v>
      </c>
      <c r="L15" s="524">
        <v>2019</v>
      </c>
      <c r="M15" s="520">
        <v>2018</v>
      </c>
      <c r="N15" s="535"/>
      <c r="O15" s="2"/>
    </row>
    <row r="16" spans="1:23" x14ac:dyDescent="0.25">
      <c r="A16" s="851" t="s">
        <v>92</v>
      </c>
      <c r="B16" s="380">
        <f>276820-138645</f>
        <v>138175</v>
      </c>
      <c r="C16" s="315">
        <v>492384</v>
      </c>
      <c r="D16" s="315">
        <v>968122</v>
      </c>
      <c r="E16" s="315">
        <v>1275952</v>
      </c>
      <c r="F16" s="315">
        <v>1824776</v>
      </c>
      <c r="G16" s="315">
        <v>5071156</v>
      </c>
      <c r="H16" s="315">
        <v>1288691</v>
      </c>
      <c r="I16" s="315">
        <v>2627052</v>
      </c>
      <c r="J16" s="381">
        <v>1186619</v>
      </c>
      <c r="K16" s="315">
        <v>1325468</v>
      </c>
      <c r="L16" s="372">
        <v>1007419</v>
      </c>
      <c r="M16" s="381">
        <v>1301029</v>
      </c>
      <c r="N16" s="126"/>
      <c r="O16" s="10"/>
      <c r="W16" t="s">
        <v>374</v>
      </c>
    </row>
    <row r="17" spans="1:23" x14ac:dyDescent="0.25">
      <c r="A17" s="852" t="s">
        <v>88</v>
      </c>
      <c r="B17" s="380">
        <v>0</v>
      </c>
      <c r="C17" s="315">
        <v>0</v>
      </c>
      <c r="D17" s="315">
        <v>0</v>
      </c>
      <c r="E17" s="315">
        <v>0</v>
      </c>
      <c r="F17" s="315">
        <v>0</v>
      </c>
      <c r="G17" s="315">
        <v>0</v>
      </c>
      <c r="H17" s="315">
        <v>0</v>
      </c>
      <c r="I17" s="315">
        <v>0</v>
      </c>
      <c r="J17" s="381">
        <v>0</v>
      </c>
      <c r="K17" s="315">
        <v>0</v>
      </c>
      <c r="L17" s="372">
        <v>0</v>
      </c>
      <c r="M17" s="381">
        <v>0</v>
      </c>
      <c r="N17" s="127"/>
    </row>
    <row r="18" spans="1:23" x14ac:dyDescent="0.25">
      <c r="A18" s="853" t="s">
        <v>93</v>
      </c>
      <c r="B18" s="380">
        <v>0</v>
      </c>
      <c r="C18" s="315">
        <v>0</v>
      </c>
      <c r="D18" s="315">
        <v>0</v>
      </c>
      <c r="E18" s="315">
        <v>0</v>
      </c>
      <c r="F18" s="315">
        <v>0</v>
      </c>
      <c r="G18" s="315">
        <v>0</v>
      </c>
      <c r="H18" s="315">
        <v>0</v>
      </c>
      <c r="I18" s="315">
        <v>0</v>
      </c>
      <c r="J18" s="381">
        <v>0</v>
      </c>
      <c r="K18" s="315">
        <v>0</v>
      </c>
      <c r="L18" s="372">
        <v>0</v>
      </c>
      <c r="M18" s="381">
        <v>0</v>
      </c>
    </row>
    <row r="19" spans="1:23" x14ac:dyDescent="0.25">
      <c r="A19" s="854" t="s">
        <v>78</v>
      </c>
      <c r="B19" s="380">
        <v>0</v>
      </c>
      <c r="C19" s="315">
        <v>117129</v>
      </c>
      <c r="D19" s="315">
        <v>277274</v>
      </c>
      <c r="E19" s="315">
        <v>494701</v>
      </c>
      <c r="F19" s="315">
        <v>759006</v>
      </c>
      <c r="G19" s="315">
        <f>921045+903302</f>
        <v>1824347</v>
      </c>
      <c r="H19" s="315">
        <f>3048263+1101491</f>
        <v>4149754</v>
      </c>
      <c r="I19" s="315">
        <f>1066000+996438</f>
        <v>2062438</v>
      </c>
      <c r="J19" s="381">
        <f>580332+1337481</f>
        <v>1917813</v>
      </c>
      <c r="K19" s="315">
        <f>783747+1117488</f>
        <v>1901235</v>
      </c>
      <c r="L19" s="372">
        <f>504920+997524</f>
        <v>1502444</v>
      </c>
      <c r="M19" s="381">
        <f>454920+997488</f>
        <v>1452408</v>
      </c>
    </row>
    <row r="20" spans="1:23" ht="16.5" thickBot="1" x14ac:dyDescent="0.3">
      <c r="A20" s="907"/>
      <c r="B20" s="382"/>
      <c r="C20" s="369"/>
      <c r="D20" s="369"/>
      <c r="E20" s="369"/>
      <c r="F20" s="369"/>
      <c r="G20" s="369"/>
      <c r="H20" s="369"/>
      <c r="I20" s="369"/>
      <c r="J20" s="383"/>
      <c r="K20" s="369"/>
      <c r="L20" s="373"/>
      <c r="M20" s="383">
        <v>0</v>
      </c>
      <c r="N20" s="488"/>
    </row>
    <row r="21" spans="1:23" ht="17.25" thickTop="1" thickBot="1" x14ac:dyDescent="0.3">
      <c r="A21" s="896" t="s">
        <v>102</v>
      </c>
      <c r="B21" s="475">
        <f t="shared" ref="B21:L21" si="1">SUM(B16:B19)</f>
        <v>138175</v>
      </c>
      <c r="C21" s="476">
        <f t="shared" si="1"/>
        <v>609513</v>
      </c>
      <c r="D21" s="476">
        <f t="shared" si="1"/>
        <v>1245396</v>
      </c>
      <c r="E21" s="476">
        <f t="shared" si="1"/>
        <v>1770653</v>
      </c>
      <c r="F21" s="476">
        <f t="shared" si="1"/>
        <v>2583782</v>
      </c>
      <c r="G21" s="476">
        <f t="shared" si="1"/>
        <v>6895503</v>
      </c>
      <c r="H21" s="476">
        <f t="shared" si="1"/>
        <v>5438445</v>
      </c>
      <c r="I21" s="476">
        <f t="shared" si="1"/>
        <v>4689490</v>
      </c>
      <c r="J21" s="477">
        <f t="shared" si="1"/>
        <v>3104432</v>
      </c>
      <c r="K21" s="476">
        <f>SUM(K16:K19)</f>
        <v>3226703</v>
      </c>
      <c r="L21" s="478">
        <f t="shared" si="1"/>
        <v>2509863</v>
      </c>
      <c r="M21" s="433">
        <f>SUM(M16:M19)</f>
        <v>2753437</v>
      </c>
      <c r="N21" s="488"/>
    </row>
    <row r="22" spans="1:23" x14ac:dyDescent="0.25">
      <c r="A22" s="877"/>
      <c r="B22" s="408"/>
      <c r="C22" s="124"/>
      <c r="D22" s="124"/>
      <c r="E22" s="124"/>
      <c r="F22" s="124"/>
      <c r="G22" s="124"/>
      <c r="H22" s="124"/>
      <c r="I22" s="124"/>
      <c r="J22" s="410"/>
      <c r="K22" s="124"/>
      <c r="L22" s="449"/>
      <c r="M22" s="124"/>
    </row>
    <row r="23" spans="1:23" x14ac:dyDescent="0.25">
      <c r="A23" s="875"/>
      <c r="B23" s="392"/>
      <c r="J23" s="393"/>
      <c r="L23" s="163"/>
      <c r="W23" s="145"/>
    </row>
    <row r="24" spans="1:23" ht="18.75" x14ac:dyDescent="0.3">
      <c r="A24" s="876"/>
      <c r="B24" s="386">
        <v>2009</v>
      </c>
      <c r="C24" s="210">
        <v>2010</v>
      </c>
      <c r="D24" s="210">
        <v>2011</v>
      </c>
      <c r="E24" s="210">
        <v>2012</v>
      </c>
      <c r="F24" s="210">
        <v>2013</v>
      </c>
      <c r="G24" s="210">
        <v>2014</v>
      </c>
      <c r="H24" s="210">
        <v>2015</v>
      </c>
      <c r="I24" s="210">
        <v>2016</v>
      </c>
      <c r="J24" s="387">
        <v>2017</v>
      </c>
      <c r="K24" s="210">
        <v>2018</v>
      </c>
      <c r="L24" s="447">
        <v>2019</v>
      </c>
      <c r="M24" s="387">
        <v>2018</v>
      </c>
      <c r="N24" s="488"/>
    </row>
    <row r="25" spans="1:23" x14ac:dyDescent="0.25">
      <c r="A25" s="851" t="s">
        <v>152</v>
      </c>
      <c r="B25" s="610">
        <f t="shared" ref="B25:L25" si="2">+B16/B26</f>
        <v>2.1876286374718976</v>
      </c>
      <c r="C25" s="611">
        <f t="shared" si="2"/>
        <v>7.2685187918868648</v>
      </c>
      <c r="D25" s="611">
        <f t="shared" si="2"/>
        <v>14.079521821963031</v>
      </c>
      <c r="E25" s="611">
        <f t="shared" si="2"/>
        <v>18.40111910702182</v>
      </c>
      <c r="F25" s="611">
        <f t="shared" si="2"/>
        <v>25.931163848230781</v>
      </c>
      <c r="G25" s="611">
        <f t="shared" si="2"/>
        <v>71.39758120151491</v>
      </c>
      <c r="H25" s="611">
        <f t="shared" si="2"/>
        <v>17.552315445382728</v>
      </c>
      <c r="I25" s="611">
        <f t="shared" si="2"/>
        <v>35.316959064327484</v>
      </c>
      <c r="J25" s="612">
        <f t="shared" si="2"/>
        <v>15.646347573839662</v>
      </c>
      <c r="K25" s="611">
        <f t="shared" ref="K25" si="3">+K16/K26</f>
        <v>17.155496880743446</v>
      </c>
      <c r="L25" s="613">
        <f t="shared" si="2"/>
        <v>12.75536844770828</v>
      </c>
      <c r="M25" s="608">
        <f>+M16/M26</f>
        <v>16.83918355724677</v>
      </c>
      <c r="N25" s="488"/>
    </row>
    <row r="26" spans="1:23" x14ac:dyDescent="0.25">
      <c r="A26" s="875" t="s">
        <v>340</v>
      </c>
      <c r="B26" s="515">
        <f>Stats!D4</f>
        <v>63162</v>
      </c>
      <c r="C26" s="125">
        <f>Stats!E4</f>
        <v>67742</v>
      </c>
      <c r="D26" s="125">
        <f>Stats!F4</f>
        <v>68761</v>
      </c>
      <c r="E26" s="125">
        <f>Stats!G4</f>
        <v>69341</v>
      </c>
      <c r="F26" s="125">
        <f>Stats!H4</f>
        <v>70370</v>
      </c>
      <c r="G26" s="125">
        <f>Stats!I4</f>
        <v>71027</v>
      </c>
      <c r="H26" s="125">
        <f>Stats!J4</f>
        <v>73420</v>
      </c>
      <c r="I26" s="125">
        <f>Stats!K4</f>
        <v>74385</v>
      </c>
      <c r="J26" s="483">
        <f>Stats!L4</f>
        <v>75840</v>
      </c>
      <c r="K26" s="125">
        <f>Stats!M4</f>
        <v>77262</v>
      </c>
      <c r="L26" s="486">
        <f>Stats!N4</f>
        <v>78980</v>
      </c>
      <c r="M26" s="404">
        <f>Stats!M4</f>
        <v>77262</v>
      </c>
      <c r="N26" s="488"/>
    </row>
    <row r="27" spans="1:23" x14ac:dyDescent="0.25">
      <c r="A27" s="875"/>
      <c r="B27" s="392"/>
      <c r="C27" s="50"/>
      <c r="D27" s="50"/>
      <c r="E27" s="50"/>
      <c r="F27" s="50"/>
      <c r="G27" s="50"/>
      <c r="H27" s="50"/>
      <c r="I27" s="50"/>
      <c r="J27" s="393"/>
      <c r="K27" s="50"/>
      <c r="L27" s="163"/>
      <c r="M27" s="393"/>
      <c r="N27" s="488"/>
      <c r="O27" s="1"/>
    </row>
    <row r="28" spans="1:23" x14ac:dyDescent="0.25">
      <c r="A28" s="851" t="s">
        <v>130</v>
      </c>
      <c r="B28" s="614">
        <f t="shared" ref="B28:L28" si="4">+B16/B29</f>
        <v>92116.666666666672</v>
      </c>
      <c r="C28" s="615">
        <f t="shared" si="4"/>
        <v>492384</v>
      </c>
      <c r="D28" s="615">
        <f t="shared" si="4"/>
        <v>266700.27548209368</v>
      </c>
      <c r="E28" s="615">
        <f t="shared" si="4"/>
        <v>351501.92837465566</v>
      </c>
      <c r="F28" s="615">
        <f t="shared" si="4"/>
        <v>441834.38256658596</v>
      </c>
      <c r="G28" s="615">
        <f t="shared" si="4"/>
        <v>1126923.5555555555</v>
      </c>
      <c r="H28" s="615">
        <f t="shared" si="4"/>
        <v>286375.77777777775</v>
      </c>
      <c r="I28" s="615">
        <f t="shared" si="4"/>
        <v>656763</v>
      </c>
      <c r="J28" s="616">
        <f t="shared" si="4"/>
        <v>296654.75</v>
      </c>
      <c r="K28" s="615">
        <f t="shared" ref="K28" si="5">+K16/K29</f>
        <v>331367</v>
      </c>
      <c r="L28" s="617">
        <f t="shared" si="4"/>
        <v>251854.75</v>
      </c>
      <c r="M28" s="609">
        <f>+M16/M29</f>
        <v>325257.25</v>
      </c>
      <c r="N28" s="488"/>
      <c r="O28" s="1"/>
    </row>
    <row r="29" spans="1:23" x14ac:dyDescent="0.25">
      <c r="A29" s="875" t="s">
        <v>341</v>
      </c>
      <c r="B29" s="515">
        <f>+B35</f>
        <v>1.5</v>
      </c>
      <c r="C29" s="125">
        <f t="shared" ref="C29:L29" si="6">+C35</f>
        <v>1</v>
      </c>
      <c r="D29" s="125">
        <f t="shared" si="6"/>
        <v>3.63</v>
      </c>
      <c r="E29" s="125">
        <f t="shared" si="6"/>
        <v>3.63</v>
      </c>
      <c r="F29" s="125">
        <f t="shared" si="6"/>
        <v>4.13</v>
      </c>
      <c r="G29" s="125">
        <f t="shared" si="6"/>
        <v>4.5</v>
      </c>
      <c r="H29" s="125">
        <f t="shared" si="6"/>
        <v>4.5</v>
      </c>
      <c r="I29" s="125">
        <f t="shared" si="6"/>
        <v>4</v>
      </c>
      <c r="J29" s="483">
        <f t="shared" si="6"/>
        <v>4</v>
      </c>
      <c r="K29" s="125">
        <f t="shared" ref="K29" si="7">+K35</f>
        <v>4</v>
      </c>
      <c r="L29" s="486">
        <f t="shared" si="6"/>
        <v>4</v>
      </c>
      <c r="M29" s="406">
        <f>+M35</f>
        <v>4</v>
      </c>
      <c r="N29" s="488"/>
      <c r="O29" s="1"/>
    </row>
    <row r="30" spans="1:23" s="278" customFormat="1" x14ac:dyDescent="0.25">
      <c r="A30" s="875"/>
      <c r="B30" s="416"/>
      <c r="C30" s="93"/>
      <c r="D30" s="93"/>
      <c r="E30" s="93"/>
      <c r="F30" s="93"/>
      <c r="G30" s="93"/>
      <c r="H30" s="93"/>
      <c r="I30" s="93"/>
      <c r="J30" s="417"/>
      <c r="K30" s="93"/>
      <c r="L30" s="109"/>
      <c r="M30" s="405"/>
      <c r="N30" s="488"/>
      <c r="O30" s="1"/>
    </row>
    <row r="31" spans="1:23" x14ac:dyDescent="0.25">
      <c r="A31" s="877"/>
      <c r="B31" s="408"/>
      <c r="C31" s="124"/>
      <c r="D31" s="124"/>
      <c r="E31" s="124"/>
      <c r="F31" s="124"/>
      <c r="G31" s="124"/>
      <c r="H31" s="124"/>
      <c r="I31" s="124"/>
      <c r="J31" s="410"/>
      <c r="K31" s="124"/>
      <c r="L31" s="449"/>
      <c r="M31" s="124"/>
      <c r="N31" s="120"/>
      <c r="O31" s="1"/>
      <c r="W31" s="19"/>
    </row>
    <row r="32" spans="1:23" x14ac:dyDescent="0.25">
      <c r="A32" s="877"/>
      <c r="B32" s="408"/>
      <c r="C32" s="124"/>
      <c r="D32" s="124"/>
      <c r="E32" s="124"/>
      <c r="F32" s="124"/>
      <c r="G32" s="124"/>
      <c r="H32" s="124"/>
      <c r="I32" s="124"/>
      <c r="J32" s="410"/>
      <c r="K32" s="124"/>
      <c r="L32" s="449"/>
      <c r="M32" s="124"/>
      <c r="N32" s="120"/>
      <c r="O32" s="1"/>
    </row>
    <row r="33" spans="1:15" ht="18.75" x14ac:dyDescent="0.3">
      <c r="A33" s="977"/>
      <c r="B33" s="416"/>
      <c r="C33" s="93"/>
      <c r="D33" s="93"/>
      <c r="E33" s="93"/>
      <c r="F33" s="93"/>
      <c r="G33" s="93"/>
      <c r="H33" s="93"/>
      <c r="I33" s="93"/>
      <c r="J33" s="417"/>
      <c r="K33" s="93"/>
      <c r="L33" s="109"/>
      <c r="M33" s="93"/>
      <c r="N33" s="120"/>
      <c r="O33" s="1"/>
    </row>
    <row r="34" spans="1:15" x14ac:dyDescent="0.25">
      <c r="A34" s="878" t="s">
        <v>60</v>
      </c>
      <c r="B34" s="413"/>
      <c r="C34" s="15"/>
      <c r="D34" s="15"/>
      <c r="E34" s="15"/>
      <c r="F34" s="15"/>
      <c r="G34" s="15"/>
      <c r="H34" s="15"/>
      <c r="I34" s="15"/>
      <c r="J34" s="415"/>
      <c r="K34" s="15"/>
      <c r="L34" s="451"/>
      <c r="M34" s="15"/>
      <c r="N34" s="120"/>
      <c r="O34" s="1"/>
    </row>
    <row r="35" spans="1:15" x14ac:dyDescent="0.25">
      <c r="A35" s="879" t="s">
        <v>167</v>
      </c>
      <c r="B35" s="791">
        <v>1.5</v>
      </c>
      <c r="C35" s="745">
        <v>1</v>
      </c>
      <c r="D35" s="745">
        <v>3.63</v>
      </c>
      <c r="E35" s="745">
        <v>3.63</v>
      </c>
      <c r="F35" s="745">
        <v>4.13</v>
      </c>
      <c r="G35" s="745">
        <v>4.5</v>
      </c>
      <c r="H35" s="745">
        <v>4.5</v>
      </c>
      <c r="I35" s="745">
        <v>4</v>
      </c>
      <c r="J35" s="746">
        <v>4</v>
      </c>
      <c r="K35" s="745">
        <v>4</v>
      </c>
      <c r="L35" s="794">
        <v>4</v>
      </c>
      <c r="M35" s="22">
        <v>4</v>
      </c>
      <c r="N35" s="120"/>
      <c r="O35" s="1"/>
    </row>
    <row r="36" spans="1:15" x14ac:dyDescent="0.25">
      <c r="A36" s="879" t="s">
        <v>166</v>
      </c>
      <c r="B36" s="791">
        <v>0</v>
      </c>
      <c r="C36" s="745">
        <v>0</v>
      </c>
      <c r="D36" s="745">
        <v>0</v>
      </c>
      <c r="E36" s="745">
        <v>0</v>
      </c>
      <c r="F36" s="745">
        <v>2.5</v>
      </c>
      <c r="G36" s="745">
        <v>3</v>
      </c>
      <c r="H36" s="745">
        <v>3</v>
      </c>
      <c r="I36" s="745">
        <v>4</v>
      </c>
      <c r="J36" s="746">
        <v>4</v>
      </c>
      <c r="K36" s="745">
        <v>4</v>
      </c>
      <c r="L36" s="794">
        <v>4</v>
      </c>
      <c r="M36" s="22">
        <v>4</v>
      </c>
      <c r="N36" s="120"/>
      <c r="O36" s="1"/>
    </row>
    <row r="37" spans="1:15" x14ac:dyDescent="0.25">
      <c r="A37" s="879" t="s">
        <v>248</v>
      </c>
      <c r="B37" s="818">
        <v>0</v>
      </c>
      <c r="C37" s="60">
        <v>0</v>
      </c>
      <c r="D37" s="60">
        <v>0</v>
      </c>
      <c r="E37" s="745">
        <v>1</v>
      </c>
      <c r="F37" s="745"/>
      <c r="G37" s="745"/>
      <c r="H37" s="745"/>
      <c r="I37" s="745"/>
      <c r="J37" s="746"/>
      <c r="K37" s="745"/>
      <c r="L37" s="794"/>
      <c r="M37" s="22"/>
      <c r="N37" s="120"/>
      <c r="O37" s="1"/>
    </row>
    <row r="38" spans="1:15" ht="16.5" thickBot="1" x14ac:dyDescent="0.3">
      <c r="A38" s="879" t="s">
        <v>240</v>
      </c>
      <c r="B38" s="938">
        <v>0</v>
      </c>
      <c r="C38" s="799">
        <v>0</v>
      </c>
      <c r="D38" s="799">
        <v>1</v>
      </c>
      <c r="E38" s="799">
        <v>0</v>
      </c>
      <c r="F38" s="799">
        <v>0</v>
      </c>
      <c r="G38" s="799">
        <v>0</v>
      </c>
      <c r="H38" s="799">
        <v>0</v>
      </c>
      <c r="I38" s="799">
        <v>0</v>
      </c>
      <c r="J38" s="939">
        <v>0</v>
      </c>
      <c r="K38" s="799">
        <v>0</v>
      </c>
      <c r="L38" s="940">
        <v>0</v>
      </c>
      <c r="M38" s="34">
        <v>0</v>
      </c>
      <c r="N38" s="120"/>
      <c r="O38" s="1"/>
    </row>
    <row r="39" spans="1:15" x14ac:dyDescent="0.25">
      <c r="A39" s="880" t="s">
        <v>335</v>
      </c>
      <c r="B39" s="793">
        <f t="shared" ref="B39:L39" si="8">SUM(B35:B38)</f>
        <v>1.5</v>
      </c>
      <c r="C39" s="305">
        <f t="shared" si="8"/>
        <v>1</v>
      </c>
      <c r="D39" s="305">
        <f t="shared" si="8"/>
        <v>4.63</v>
      </c>
      <c r="E39" s="305">
        <f t="shared" si="8"/>
        <v>4.63</v>
      </c>
      <c r="F39" s="305">
        <f t="shared" si="8"/>
        <v>6.63</v>
      </c>
      <c r="G39" s="305">
        <f t="shared" si="8"/>
        <v>7.5</v>
      </c>
      <c r="H39" s="305">
        <f t="shared" si="8"/>
        <v>7.5</v>
      </c>
      <c r="I39" s="305">
        <f t="shared" si="8"/>
        <v>8</v>
      </c>
      <c r="J39" s="839">
        <f t="shared" si="8"/>
        <v>8</v>
      </c>
      <c r="K39" s="305">
        <f>SUM(K35:K38)</f>
        <v>8</v>
      </c>
      <c r="L39" s="840">
        <f t="shared" si="8"/>
        <v>8</v>
      </c>
      <c r="M39" s="303">
        <f>SUM(M35:M38)</f>
        <v>8</v>
      </c>
      <c r="N39" s="120"/>
      <c r="O39" s="1"/>
    </row>
    <row r="40" spans="1:15" x14ac:dyDescent="0.25">
      <c r="A40" s="978" t="s">
        <v>365</v>
      </c>
      <c r="B40" s="622" t="s">
        <v>348</v>
      </c>
      <c r="C40" s="947">
        <f>C39/B39</f>
        <v>0.66666666666666663</v>
      </c>
      <c r="D40" s="947">
        <f t="shared" ref="D40:J40" si="9">D39/C39</f>
        <v>4.63</v>
      </c>
      <c r="E40" s="947">
        <f t="shared" si="9"/>
        <v>1</v>
      </c>
      <c r="F40" s="947">
        <f t="shared" si="9"/>
        <v>1.4319654427645789</v>
      </c>
      <c r="G40" s="947">
        <f t="shared" si="9"/>
        <v>1.1312217194570136</v>
      </c>
      <c r="H40" s="947">
        <f t="shared" si="9"/>
        <v>1</v>
      </c>
      <c r="I40" s="947">
        <f t="shared" si="9"/>
        <v>1.0666666666666667</v>
      </c>
      <c r="J40" s="948">
        <f t="shared" si="9"/>
        <v>1</v>
      </c>
      <c r="K40" s="947">
        <f>K39/L39</f>
        <v>1</v>
      </c>
      <c r="L40" s="949">
        <f>L39/M39</f>
        <v>1</v>
      </c>
      <c r="M40" s="35">
        <f>M39/J39</f>
        <v>1</v>
      </c>
      <c r="N40" s="120"/>
      <c r="O40" s="1"/>
    </row>
    <row r="41" spans="1:15" x14ac:dyDescent="0.25">
      <c r="A41" s="885"/>
      <c r="B41" s="416"/>
      <c r="C41" s="93"/>
      <c r="D41" s="93"/>
      <c r="E41" s="93"/>
      <c r="F41" s="93"/>
      <c r="G41" s="93"/>
      <c r="H41" s="93"/>
      <c r="I41" s="93"/>
      <c r="J41" s="417"/>
      <c r="K41" s="193"/>
      <c r="L41" s="465"/>
      <c r="M41" s="93"/>
      <c r="N41" s="120"/>
      <c r="O41" s="1"/>
    </row>
    <row r="42" spans="1:15" x14ac:dyDescent="0.25">
      <c r="A42" s="882"/>
      <c r="B42" s="416"/>
      <c r="C42" s="93"/>
      <c r="D42" s="93"/>
      <c r="E42" s="93"/>
      <c r="F42" s="93"/>
      <c r="G42" s="93"/>
      <c r="H42" s="93"/>
      <c r="I42" s="93"/>
      <c r="J42" s="417"/>
      <c r="K42" s="93"/>
      <c r="L42" s="109"/>
      <c r="M42" s="93"/>
      <c r="N42" s="120"/>
      <c r="O42" s="1"/>
    </row>
    <row r="43" spans="1:15" x14ac:dyDescent="0.25">
      <c r="A43" s="864"/>
      <c r="B43" s="416"/>
      <c r="C43" s="93"/>
      <c r="D43" s="93"/>
      <c r="E43" s="93"/>
      <c r="F43" s="93"/>
      <c r="G43" s="93"/>
      <c r="H43" s="93"/>
      <c r="I43" s="93"/>
      <c r="J43" s="417"/>
      <c r="K43" s="93"/>
      <c r="L43" s="109"/>
      <c r="M43" s="93"/>
      <c r="N43" s="120"/>
      <c r="O43" s="1"/>
    </row>
    <row r="44" spans="1:15" x14ac:dyDescent="0.25">
      <c r="A44" s="863"/>
      <c r="B44" s="416"/>
      <c r="C44" s="93"/>
      <c r="D44" s="93"/>
      <c r="E44" s="93"/>
      <c r="F44" s="93"/>
      <c r="G44" s="93"/>
      <c r="H44" s="93"/>
      <c r="I44" s="93"/>
      <c r="J44" s="417"/>
      <c r="K44" s="93"/>
      <c r="L44" s="109"/>
      <c r="M44" s="93"/>
      <c r="N44" s="120"/>
      <c r="O44" s="1"/>
    </row>
    <row r="45" spans="1:15" x14ac:dyDescent="0.25">
      <c r="A45" s="863"/>
      <c r="B45" s="416"/>
      <c r="C45" s="93"/>
      <c r="D45" s="93"/>
      <c r="E45" s="93"/>
      <c r="F45" s="93"/>
      <c r="G45" s="93"/>
      <c r="H45" s="93"/>
      <c r="I45" s="93"/>
      <c r="J45" s="417"/>
      <c r="K45" s="93"/>
      <c r="L45" s="109"/>
      <c r="M45" s="93"/>
      <c r="N45" s="120"/>
      <c r="O45" s="1"/>
    </row>
    <row r="46" spans="1:15" x14ac:dyDescent="0.25">
      <c r="A46" s="882"/>
      <c r="B46" s="416"/>
      <c r="C46" s="93"/>
      <c r="D46" s="93"/>
      <c r="E46" s="93"/>
      <c r="F46" s="93"/>
      <c r="G46" s="93"/>
      <c r="H46" s="93"/>
      <c r="I46" s="93"/>
      <c r="J46" s="417"/>
      <c r="K46" s="93"/>
      <c r="L46" s="109"/>
      <c r="M46" s="93"/>
      <c r="N46" s="120"/>
      <c r="O46" s="1"/>
    </row>
    <row r="47" spans="1:15" x14ac:dyDescent="0.25">
      <c r="A47" s="864"/>
      <c r="B47" s="416"/>
      <c r="C47" s="93"/>
      <c r="D47" s="93"/>
      <c r="E47" s="93"/>
      <c r="F47" s="93"/>
      <c r="G47" s="93"/>
      <c r="H47" s="93"/>
      <c r="I47" s="93"/>
      <c r="J47" s="417"/>
      <c r="K47" s="93"/>
      <c r="L47" s="109"/>
      <c r="M47" s="93"/>
      <c r="N47" s="120"/>
      <c r="O47" s="1"/>
    </row>
    <row r="48" spans="1:15" x14ac:dyDescent="0.25">
      <c r="A48" s="884"/>
      <c r="B48" s="416"/>
      <c r="C48" s="193"/>
      <c r="D48" s="193"/>
      <c r="E48" s="193"/>
      <c r="F48" s="193"/>
      <c r="G48" s="193"/>
      <c r="H48" s="193"/>
      <c r="I48" s="193"/>
      <c r="J48" s="501"/>
      <c r="K48" s="193"/>
      <c r="L48" s="465"/>
      <c r="M48" s="193"/>
      <c r="N48" s="120"/>
      <c r="O48" s="1"/>
    </row>
    <row r="49" spans="1:15" x14ac:dyDescent="0.25">
      <c r="A49" s="885"/>
      <c r="B49" s="416"/>
      <c r="C49" s="93"/>
      <c r="D49" s="93"/>
      <c r="E49" s="93"/>
      <c r="F49" s="93"/>
      <c r="G49" s="93"/>
      <c r="H49" s="93"/>
      <c r="I49" s="93"/>
      <c r="J49" s="417"/>
      <c r="K49" s="193"/>
      <c r="L49" s="465"/>
      <c r="M49" s="93"/>
      <c r="N49" s="120"/>
      <c r="O49" s="1"/>
    </row>
    <row r="50" spans="1:15" x14ac:dyDescent="0.25">
      <c r="A50" s="882"/>
      <c r="B50" s="416"/>
      <c r="C50" s="93"/>
      <c r="D50" s="93"/>
      <c r="E50" s="93"/>
      <c r="F50" s="93"/>
      <c r="G50" s="93"/>
      <c r="H50" s="93"/>
      <c r="I50" s="93"/>
      <c r="J50" s="417"/>
      <c r="K50" s="93"/>
      <c r="L50" s="109"/>
      <c r="M50" s="93"/>
      <c r="N50" s="120"/>
      <c r="O50" s="1"/>
    </row>
    <row r="51" spans="1:15" x14ac:dyDescent="0.25">
      <c r="A51" s="887"/>
      <c r="B51" s="380"/>
      <c r="C51" s="105"/>
      <c r="D51" s="105"/>
      <c r="E51" s="105"/>
      <c r="F51" s="105"/>
      <c r="G51" s="105"/>
      <c r="H51" s="105"/>
      <c r="I51" s="105"/>
      <c r="J51" s="381"/>
      <c r="K51" s="105"/>
      <c r="L51" s="372"/>
      <c r="M51" s="105"/>
      <c r="N51" s="120"/>
      <c r="O51" s="1"/>
    </row>
    <row r="52" spans="1:15" x14ac:dyDescent="0.25">
      <c r="A52" s="887"/>
      <c r="B52" s="407"/>
      <c r="C52" s="116"/>
      <c r="D52" s="116"/>
      <c r="E52" s="116"/>
      <c r="F52" s="116"/>
      <c r="G52" s="116"/>
      <c r="H52" s="116"/>
      <c r="I52" s="116"/>
      <c r="J52" s="400"/>
      <c r="K52" s="116"/>
      <c r="L52" s="444"/>
      <c r="M52" s="116"/>
      <c r="N52" s="120"/>
      <c r="O52" s="1"/>
    </row>
    <row r="53" spans="1:15" x14ac:dyDescent="0.25">
      <c r="A53" s="888"/>
      <c r="B53" s="589"/>
      <c r="C53" s="104"/>
      <c r="D53" s="104"/>
      <c r="E53" s="104"/>
      <c r="F53" s="104"/>
      <c r="G53" s="104"/>
      <c r="H53" s="104"/>
      <c r="I53" s="104"/>
      <c r="J53" s="595"/>
      <c r="K53" s="104"/>
      <c r="L53" s="601"/>
      <c r="M53" s="104"/>
      <c r="N53" s="120"/>
      <c r="O53" s="1"/>
    </row>
    <row r="54" spans="1:15" x14ac:dyDescent="0.25">
      <c r="A54" s="888"/>
      <c r="B54" s="589"/>
      <c r="C54" s="104"/>
      <c r="D54" s="104"/>
      <c r="E54" s="104"/>
      <c r="F54" s="104"/>
      <c r="G54" s="104"/>
      <c r="H54" s="104"/>
      <c r="I54" s="104"/>
      <c r="J54" s="595"/>
      <c r="K54" s="104"/>
      <c r="L54" s="601"/>
      <c r="M54" s="104"/>
      <c r="N54" s="120"/>
      <c r="O54" s="1"/>
    </row>
    <row r="55" spans="1:15" x14ac:dyDescent="0.25">
      <c r="A55" s="882"/>
      <c r="B55" s="411"/>
      <c r="C55" s="215"/>
      <c r="D55" s="215"/>
      <c r="E55" s="215"/>
      <c r="F55" s="215"/>
      <c r="G55" s="215"/>
      <c r="H55" s="215"/>
      <c r="I55" s="215"/>
      <c r="J55" s="412"/>
      <c r="K55" s="215"/>
      <c r="L55" s="450"/>
      <c r="M55" s="215"/>
      <c r="N55" s="120"/>
      <c r="O55" s="1"/>
    </row>
    <row r="56" spans="1:15" x14ac:dyDescent="0.25">
      <c r="A56" s="887"/>
      <c r="B56" s="416"/>
      <c r="C56" s="93"/>
      <c r="D56" s="93"/>
      <c r="E56" s="93"/>
      <c r="F56" s="93"/>
      <c r="G56" s="93"/>
      <c r="H56" s="93"/>
      <c r="I56" s="93"/>
      <c r="J56" s="417"/>
      <c r="K56" s="93"/>
      <c r="L56" s="109"/>
      <c r="M56" s="93"/>
      <c r="N56" s="120"/>
      <c r="O56" s="1"/>
    </row>
    <row r="57" spans="1:15" x14ac:dyDescent="0.25">
      <c r="A57" s="887"/>
      <c r="B57" s="416"/>
      <c r="C57" s="93"/>
      <c r="D57" s="93"/>
      <c r="E57" s="93"/>
      <c r="F57" s="93"/>
      <c r="G57" s="93"/>
      <c r="H57" s="93"/>
      <c r="I57" s="93"/>
      <c r="J57" s="417"/>
      <c r="K57" s="93"/>
      <c r="L57" s="109"/>
      <c r="M57" s="93"/>
      <c r="N57" s="120"/>
      <c r="O57" s="1"/>
    </row>
    <row r="58" spans="1:15" x14ac:dyDescent="0.25">
      <c r="A58" s="882"/>
      <c r="B58" s="416"/>
      <c r="C58" s="93"/>
      <c r="D58" s="93"/>
      <c r="E58" s="93"/>
      <c r="F58" s="93"/>
      <c r="G58" s="93"/>
      <c r="H58" s="93"/>
      <c r="I58" s="93"/>
      <c r="J58" s="417"/>
      <c r="K58" s="93"/>
      <c r="L58" s="109"/>
      <c r="M58" s="93"/>
      <c r="N58" s="120"/>
      <c r="O58" s="1"/>
    </row>
    <row r="59" spans="1:15" x14ac:dyDescent="0.25">
      <c r="A59" s="882"/>
      <c r="B59" s="418"/>
      <c r="C59" s="114"/>
      <c r="D59" s="114"/>
      <c r="E59" s="114"/>
      <c r="F59" s="114"/>
      <c r="G59" s="114"/>
      <c r="H59" s="114"/>
      <c r="I59" s="114"/>
      <c r="J59" s="419"/>
      <c r="K59" s="114"/>
      <c r="L59" s="455"/>
      <c r="M59" s="114"/>
      <c r="N59" s="120"/>
      <c r="O59" s="1"/>
    </row>
    <row r="60" spans="1:15" x14ac:dyDescent="0.25">
      <c r="A60" s="883"/>
      <c r="B60" s="418"/>
      <c r="C60" s="114"/>
      <c r="D60" s="114"/>
      <c r="E60" s="114"/>
      <c r="F60" s="114"/>
      <c r="G60" s="114"/>
      <c r="H60" s="114"/>
      <c r="I60" s="114"/>
      <c r="J60" s="419"/>
      <c r="K60" s="114"/>
      <c r="L60" s="455"/>
      <c r="M60" s="114"/>
      <c r="N60" s="120"/>
      <c r="O60" s="1"/>
    </row>
    <row r="61" spans="1:15" x14ac:dyDescent="0.25">
      <c r="A61" s="883"/>
      <c r="B61" s="416"/>
      <c r="C61" s="93"/>
      <c r="D61" s="93"/>
      <c r="E61" s="93"/>
      <c r="F61" s="93"/>
      <c r="G61" s="93"/>
      <c r="H61" s="93"/>
      <c r="I61" s="93"/>
      <c r="J61" s="417"/>
      <c r="K61" s="93"/>
      <c r="L61" s="109"/>
      <c r="M61" s="93"/>
      <c r="N61" s="120"/>
      <c r="O61" s="1"/>
    </row>
    <row r="62" spans="1:15" x14ac:dyDescent="0.25">
      <c r="A62" s="883"/>
      <c r="B62" s="576"/>
      <c r="C62" s="200"/>
      <c r="D62" s="200"/>
      <c r="E62" s="200"/>
      <c r="F62" s="200"/>
      <c r="G62" s="200"/>
      <c r="H62" s="200"/>
      <c r="I62" s="200"/>
      <c r="J62" s="459"/>
      <c r="K62" s="200"/>
      <c r="L62" s="468"/>
      <c r="M62" s="200"/>
    </row>
    <row r="63" spans="1:15" x14ac:dyDescent="0.25">
      <c r="A63" s="863"/>
      <c r="B63" s="577"/>
      <c r="C63" s="202"/>
      <c r="D63" s="202"/>
      <c r="E63" s="202"/>
      <c r="F63" s="202"/>
      <c r="G63" s="202"/>
      <c r="H63" s="202"/>
      <c r="I63" s="202"/>
      <c r="J63" s="460"/>
      <c r="K63" s="202"/>
      <c r="L63" s="469"/>
      <c r="M63" s="202"/>
      <c r="N63" s="120"/>
      <c r="O63" s="1"/>
    </row>
    <row r="64" spans="1:15" x14ac:dyDescent="0.25">
      <c r="A64" s="863"/>
      <c r="B64" s="577"/>
      <c r="C64" s="202"/>
      <c r="D64" s="202"/>
      <c r="E64" s="202"/>
      <c r="F64" s="202"/>
      <c r="G64" s="202"/>
      <c r="H64" s="202"/>
      <c r="I64" s="202"/>
      <c r="J64" s="460"/>
      <c r="K64" s="202"/>
      <c r="L64" s="469"/>
      <c r="M64" s="202"/>
      <c r="N64" s="120"/>
      <c r="O64" s="1"/>
    </row>
    <row r="65" spans="1:15" x14ac:dyDescent="0.25">
      <c r="A65" s="863"/>
      <c r="B65" s="577"/>
      <c r="C65" s="202"/>
      <c r="D65" s="202"/>
      <c r="E65" s="202"/>
      <c r="F65" s="202"/>
      <c r="G65" s="202"/>
      <c r="H65" s="202"/>
      <c r="I65" s="202"/>
      <c r="J65" s="460"/>
      <c r="K65" s="202"/>
      <c r="L65" s="469"/>
      <c r="M65" s="202"/>
      <c r="N65" s="120"/>
      <c r="O65" s="1"/>
    </row>
    <row r="66" spans="1:15" x14ac:dyDescent="0.25">
      <c r="A66" s="882"/>
      <c r="B66" s="418"/>
      <c r="C66" s="114"/>
      <c r="D66" s="114"/>
      <c r="E66" s="114"/>
      <c r="F66" s="114"/>
      <c r="G66" s="114"/>
      <c r="H66" s="114"/>
      <c r="I66" s="114"/>
      <c r="J66" s="419"/>
      <c r="K66" s="114"/>
      <c r="L66" s="455"/>
      <c r="M66" s="114"/>
      <c r="N66" s="120"/>
      <c r="O66" s="1"/>
    </row>
    <row r="67" spans="1:15" x14ac:dyDescent="0.25">
      <c r="A67" s="884"/>
      <c r="B67" s="576"/>
      <c r="C67" s="140"/>
      <c r="D67" s="140"/>
      <c r="E67" s="140"/>
      <c r="F67" s="140"/>
      <c r="G67" s="140"/>
      <c r="H67" s="140"/>
      <c r="I67" s="140"/>
      <c r="J67" s="461"/>
      <c r="K67" s="140"/>
      <c r="L67" s="470"/>
      <c r="M67" s="140"/>
      <c r="N67" s="120"/>
      <c r="O67" s="1"/>
    </row>
    <row r="68" spans="1:15" s="17" customFormat="1" x14ac:dyDescent="0.25">
      <c r="A68" s="889"/>
      <c r="B68" s="576"/>
      <c r="C68" s="140"/>
      <c r="D68" s="140"/>
      <c r="E68" s="140"/>
      <c r="F68" s="140"/>
      <c r="G68" s="140"/>
      <c r="H68" s="140"/>
      <c r="I68" s="140"/>
      <c r="J68" s="461"/>
      <c r="K68" s="140"/>
      <c r="L68" s="470"/>
      <c r="M68" s="140"/>
      <c r="N68" s="128"/>
      <c r="O68" s="32"/>
    </row>
    <row r="69" spans="1:15" x14ac:dyDescent="0.25">
      <c r="A69" s="114"/>
      <c r="B69" s="93"/>
      <c r="C69" s="93"/>
      <c r="D69" s="93"/>
      <c r="E69" s="93"/>
      <c r="F69" s="93"/>
      <c r="G69" s="93"/>
      <c r="H69" s="93"/>
      <c r="I69" s="93"/>
      <c r="J69" s="93"/>
      <c r="K69" s="93"/>
      <c r="L69" s="93"/>
      <c r="M69" s="93"/>
      <c r="N69" s="26"/>
      <c r="O69" s="1"/>
    </row>
    <row r="70" spans="1:15" ht="18.75" x14ac:dyDescent="0.3">
      <c r="A70" s="206"/>
      <c r="B70" s="215"/>
      <c r="C70" s="215"/>
      <c r="D70" s="215"/>
      <c r="E70" s="215"/>
      <c r="F70" s="215"/>
      <c r="G70" s="215"/>
      <c r="H70" s="215"/>
      <c r="I70" s="215"/>
      <c r="J70" s="215"/>
      <c r="K70" s="215"/>
      <c r="L70" s="215"/>
      <c r="M70" s="215"/>
      <c r="N70" s="26"/>
      <c r="O70" s="1"/>
    </row>
    <row r="71" spans="1:15" x14ac:dyDescent="0.25">
      <c r="A71" s="116"/>
      <c r="B71" s="207"/>
      <c r="C71" s="207"/>
      <c r="D71" s="207"/>
      <c r="E71" s="207"/>
      <c r="F71" s="207"/>
      <c r="G71" s="207"/>
      <c r="H71" s="207"/>
      <c r="I71" s="207"/>
      <c r="J71" s="207"/>
      <c r="K71" s="207"/>
      <c r="L71" s="207"/>
      <c r="M71" s="207"/>
      <c r="N71" s="26"/>
      <c r="O71" s="1"/>
    </row>
    <row r="72" spans="1:15" x14ac:dyDescent="0.25">
      <c r="A72" s="114"/>
      <c r="B72" s="93"/>
      <c r="C72" s="93"/>
      <c r="D72" s="93"/>
      <c r="E72" s="93"/>
      <c r="F72" s="93"/>
      <c r="G72" s="93"/>
      <c r="H72" s="93"/>
      <c r="I72" s="93"/>
      <c r="J72" s="93"/>
      <c r="K72" s="93"/>
      <c r="L72" s="93"/>
      <c r="M72" s="93"/>
      <c r="N72" s="26"/>
      <c r="O72" s="1"/>
    </row>
    <row r="73" spans="1:15" x14ac:dyDescent="0.25">
      <c r="A73" s="199"/>
      <c r="B73" s="93"/>
      <c r="C73" s="93"/>
      <c r="D73" s="93"/>
      <c r="E73" s="93"/>
      <c r="F73" s="93"/>
      <c r="G73" s="93"/>
      <c r="H73" s="93"/>
      <c r="I73" s="93"/>
      <c r="J73" s="93"/>
      <c r="K73" s="93"/>
      <c r="L73" s="93"/>
      <c r="M73" s="93"/>
      <c r="N73" s="26"/>
      <c r="O73" s="1"/>
    </row>
    <row r="74" spans="1:15" x14ac:dyDescent="0.25">
      <c r="A74" s="221"/>
      <c r="B74" s="93"/>
      <c r="C74" s="93"/>
      <c r="D74" s="93"/>
      <c r="E74" s="93"/>
      <c r="F74" s="93"/>
      <c r="G74" s="93"/>
      <c r="H74" s="93"/>
      <c r="I74" s="93"/>
      <c r="J74" s="93"/>
      <c r="K74" s="93"/>
      <c r="L74" s="93"/>
      <c r="M74" s="93"/>
      <c r="N74" s="26"/>
      <c r="O74" s="1"/>
    </row>
    <row r="75" spans="1:15" x14ac:dyDescent="0.25">
      <c r="A75" s="221"/>
      <c r="B75" s="93"/>
      <c r="C75" s="93"/>
      <c r="D75" s="93"/>
      <c r="E75" s="93"/>
      <c r="F75" s="93"/>
      <c r="G75" s="93"/>
      <c r="H75" s="93"/>
      <c r="I75" s="93"/>
      <c r="J75" s="93"/>
      <c r="K75" s="93"/>
      <c r="L75" s="93"/>
      <c r="M75" s="93"/>
      <c r="N75" s="26"/>
      <c r="O75" s="1"/>
    </row>
    <row r="76" spans="1:15" x14ac:dyDescent="0.25">
      <c r="A76" s="221"/>
      <c r="B76" s="93"/>
      <c r="C76" s="93"/>
      <c r="D76" s="93"/>
      <c r="E76" s="93"/>
      <c r="F76" s="93"/>
      <c r="G76" s="93"/>
      <c r="H76" s="93"/>
      <c r="I76" s="93"/>
      <c r="J76" s="93"/>
      <c r="K76" s="93"/>
      <c r="L76" s="93"/>
      <c r="M76" s="93"/>
      <c r="N76" s="26"/>
      <c r="O76" s="1"/>
    </row>
    <row r="77" spans="1:15" x14ac:dyDescent="0.25">
      <c r="A77" s="201"/>
      <c r="B77" s="93"/>
      <c r="C77" s="93"/>
      <c r="D77" s="93"/>
      <c r="E77" s="93"/>
      <c r="F77" s="93"/>
      <c r="G77" s="93"/>
      <c r="H77" s="93"/>
      <c r="I77" s="93"/>
      <c r="J77" s="93"/>
      <c r="K77" s="93"/>
      <c r="L77" s="93"/>
      <c r="M77" s="93"/>
      <c r="N77" s="26"/>
      <c r="O77" s="1"/>
    </row>
    <row r="78" spans="1:15" x14ac:dyDescent="0.25">
      <c r="A78" s="199"/>
      <c r="B78" s="93"/>
      <c r="C78" s="93"/>
      <c r="D78" s="93"/>
      <c r="E78" s="93"/>
      <c r="F78" s="93"/>
      <c r="G78" s="93"/>
      <c r="H78" s="93"/>
      <c r="I78" s="93"/>
      <c r="J78" s="93"/>
      <c r="K78" s="93"/>
      <c r="L78" s="93"/>
      <c r="M78" s="93"/>
      <c r="N78" s="26"/>
      <c r="O78" s="1"/>
    </row>
    <row r="79" spans="1:15" x14ac:dyDescent="0.25">
      <c r="A79" s="114"/>
      <c r="B79" s="93"/>
      <c r="C79" s="93"/>
      <c r="D79" s="93"/>
      <c r="E79" s="93"/>
      <c r="F79" s="93"/>
      <c r="G79" s="93"/>
      <c r="H79" s="93"/>
      <c r="I79" s="93"/>
      <c r="J79" s="93"/>
      <c r="K79" s="93"/>
      <c r="L79" s="93"/>
      <c r="M79" s="93"/>
      <c r="N79" s="26"/>
      <c r="O79" s="1"/>
    </row>
    <row r="80" spans="1:15" x14ac:dyDescent="0.25">
      <c r="A80" s="114"/>
      <c r="B80" s="93"/>
      <c r="C80" s="93"/>
      <c r="D80" s="93"/>
      <c r="E80" s="93"/>
      <c r="F80" s="93"/>
      <c r="G80" s="93"/>
      <c r="H80" s="93"/>
      <c r="I80" s="93"/>
      <c r="J80" s="93"/>
      <c r="K80" s="93"/>
      <c r="L80" s="93"/>
      <c r="M80" s="93"/>
      <c r="N80" s="26"/>
      <c r="O80" s="1"/>
    </row>
    <row r="81" spans="1:15" x14ac:dyDescent="0.25">
      <c r="A81" s="114"/>
      <c r="B81" s="215"/>
      <c r="C81" s="215"/>
      <c r="D81" s="215"/>
      <c r="E81" s="215"/>
      <c r="F81" s="215"/>
      <c r="G81" s="215"/>
      <c r="H81" s="215"/>
      <c r="I81" s="215"/>
      <c r="J81" s="215"/>
      <c r="K81" s="215"/>
      <c r="L81" s="215"/>
      <c r="M81" s="215"/>
      <c r="N81" s="26"/>
      <c r="O81" s="1"/>
    </row>
    <row r="82" spans="1:15" x14ac:dyDescent="0.25">
      <c r="A82" s="114"/>
      <c r="B82" s="112"/>
      <c r="C82" s="112"/>
      <c r="D82" s="112"/>
      <c r="E82" s="112"/>
      <c r="F82" s="112"/>
      <c r="G82" s="112"/>
      <c r="H82" s="112"/>
      <c r="I82" s="112"/>
      <c r="J82" s="112"/>
      <c r="K82" s="112"/>
      <c r="L82" s="112"/>
      <c r="M82" s="112"/>
      <c r="N82" s="26"/>
      <c r="O82" s="1"/>
    </row>
    <row r="83" spans="1:15" x14ac:dyDescent="0.25">
      <c r="A83" s="114"/>
      <c r="B83" s="114"/>
      <c r="C83" s="114"/>
      <c r="D83" s="114"/>
      <c r="E83" s="114"/>
      <c r="F83" s="114"/>
      <c r="G83" s="114"/>
      <c r="H83" s="114"/>
      <c r="I83" s="114"/>
      <c r="J83" s="114"/>
      <c r="K83" s="114"/>
      <c r="L83" s="114"/>
      <c r="M83" s="114"/>
      <c r="N83" s="26"/>
      <c r="O83" s="1"/>
    </row>
    <row r="84" spans="1:15" x14ac:dyDescent="0.25">
      <c r="A84" s="114"/>
      <c r="B84" s="114"/>
      <c r="C84" s="114"/>
      <c r="D84" s="114"/>
      <c r="E84" s="114"/>
      <c r="F84" s="114"/>
      <c r="G84" s="114"/>
      <c r="H84" s="114"/>
      <c r="I84" s="114"/>
      <c r="J84" s="114"/>
      <c r="K84" s="114"/>
      <c r="L84" s="114"/>
      <c r="M84" s="114"/>
      <c r="N84" s="26"/>
      <c r="O84" s="1"/>
    </row>
    <row r="85" spans="1:15" x14ac:dyDescent="0.25">
      <c r="A85" s="114"/>
      <c r="B85" s="114"/>
      <c r="C85" s="114"/>
      <c r="D85" s="114"/>
      <c r="E85" s="114"/>
      <c r="F85" s="114"/>
      <c r="G85" s="114"/>
      <c r="H85" s="114"/>
      <c r="I85" s="114"/>
      <c r="J85" s="114"/>
      <c r="K85" s="114"/>
      <c r="L85" s="114"/>
      <c r="M85" s="114"/>
      <c r="N85" s="19"/>
    </row>
    <row r="86" spans="1:15" x14ac:dyDescent="0.25">
      <c r="A86" s="114"/>
      <c r="B86" s="114"/>
      <c r="C86" s="114"/>
      <c r="D86" s="114"/>
      <c r="E86" s="114"/>
      <c r="F86" s="114"/>
      <c r="G86" s="114"/>
      <c r="H86" s="114"/>
      <c r="I86" s="114"/>
      <c r="J86" s="114"/>
      <c r="K86" s="114"/>
      <c r="L86" s="114"/>
      <c r="M86" s="114"/>
      <c r="N86" s="19"/>
    </row>
    <row r="87" spans="1:15" x14ac:dyDescent="0.25">
      <c r="A87" s="114"/>
      <c r="B87" s="114"/>
      <c r="C87" s="114"/>
      <c r="D87" s="114"/>
      <c r="E87" s="114"/>
      <c r="F87" s="114"/>
      <c r="G87" s="114"/>
      <c r="H87" s="114"/>
      <c r="I87" s="114"/>
      <c r="J87" s="114"/>
      <c r="K87" s="114"/>
      <c r="L87" s="114"/>
      <c r="M87" s="114"/>
      <c r="N87" s="19"/>
    </row>
    <row r="88" spans="1:15" x14ac:dyDescent="0.25">
      <c r="A88" s="114"/>
      <c r="B88" s="114"/>
      <c r="C88" s="114"/>
      <c r="D88" s="114"/>
      <c r="E88" s="114"/>
      <c r="F88" s="114"/>
      <c r="G88" s="114"/>
      <c r="H88" s="114"/>
      <c r="I88" s="114"/>
      <c r="J88" s="114"/>
      <c r="K88" s="114"/>
      <c r="L88" s="114"/>
      <c r="M88" s="114"/>
      <c r="N88" s="19"/>
    </row>
    <row r="89" spans="1:15" x14ac:dyDescent="0.25">
      <c r="A89" s="114"/>
      <c r="B89" s="114"/>
      <c r="C89" s="114"/>
      <c r="D89" s="114"/>
      <c r="E89" s="114"/>
      <c r="F89" s="114"/>
      <c r="G89" s="114"/>
      <c r="H89" s="114"/>
      <c r="I89" s="114"/>
      <c r="J89" s="114"/>
      <c r="K89" s="114"/>
      <c r="L89" s="114"/>
      <c r="M89" s="114"/>
      <c r="N89" s="19"/>
    </row>
    <row r="90" spans="1:15" x14ac:dyDescent="0.25">
      <c r="A90" s="114"/>
      <c r="B90" s="114"/>
      <c r="C90" s="114"/>
      <c r="D90" s="114"/>
      <c r="E90" s="114"/>
      <c r="F90" s="114"/>
      <c r="G90" s="114"/>
      <c r="H90" s="114"/>
      <c r="I90" s="114"/>
      <c r="J90" s="114"/>
      <c r="K90" s="114"/>
      <c r="L90" s="114"/>
      <c r="M90" s="114"/>
      <c r="N90" s="19"/>
    </row>
    <row r="91" spans="1:15" x14ac:dyDescent="0.25">
      <c r="A91" s="114"/>
      <c r="B91" s="114"/>
      <c r="C91" s="114"/>
      <c r="D91" s="114"/>
      <c r="E91" s="114"/>
      <c r="F91" s="114"/>
      <c r="G91" s="114"/>
      <c r="H91" s="114"/>
      <c r="I91" s="114"/>
      <c r="J91" s="114"/>
      <c r="K91" s="114"/>
      <c r="L91" s="114"/>
      <c r="M91" s="114"/>
      <c r="N91" s="19"/>
    </row>
    <row r="92" spans="1:15" x14ac:dyDescent="0.25">
      <c r="A92" s="114"/>
      <c r="B92" s="114"/>
      <c r="C92" s="114"/>
      <c r="D92" s="114"/>
      <c r="E92" s="114"/>
      <c r="F92" s="114"/>
      <c r="G92" s="114"/>
      <c r="H92" s="114"/>
      <c r="I92" s="114"/>
      <c r="J92" s="114"/>
      <c r="K92" s="114"/>
      <c r="L92" s="114"/>
      <c r="M92" s="114"/>
      <c r="N92" s="19"/>
    </row>
    <row r="93" spans="1:15" x14ac:dyDescent="0.25">
      <c r="A93" s="114"/>
      <c r="B93" s="114"/>
      <c r="C93" s="114"/>
      <c r="D93" s="114"/>
      <c r="E93" s="114"/>
      <c r="F93" s="114"/>
      <c r="G93" s="114"/>
      <c r="H93" s="114"/>
      <c r="I93" s="114"/>
      <c r="J93" s="114"/>
      <c r="K93" s="114"/>
      <c r="L93" s="114"/>
      <c r="M93" s="114"/>
      <c r="N93" s="19"/>
    </row>
    <row r="94" spans="1:15" x14ac:dyDescent="0.25">
      <c r="A94" s="114"/>
      <c r="B94" s="114"/>
      <c r="C94" s="114"/>
      <c r="D94" s="114"/>
      <c r="E94" s="114"/>
      <c r="F94" s="114"/>
      <c r="G94" s="114"/>
      <c r="H94" s="114"/>
      <c r="I94" s="114"/>
      <c r="J94" s="114"/>
      <c r="K94" s="114"/>
      <c r="L94" s="114"/>
      <c r="M94" s="114"/>
      <c r="N94" s="19"/>
    </row>
    <row r="95" spans="1:15" x14ac:dyDescent="0.25">
      <c r="N95" s="19"/>
    </row>
    <row r="96" spans="1:15" x14ac:dyDescent="0.25">
      <c r="N96" s="19"/>
    </row>
    <row r="97" spans="14:14" x14ac:dyDescent="0.25">
      <c r="N97" s="19"/>
    </row>
    <row r="98" spans="14:14" x14ac:dyDescent="0.25">
      <c r="N98" s="19"/>
    </row>
    <row r="99" spans="14:14" x14ac:dyDescent="0.25">
      <c r="N99" s="19"/>
    </row>
    <row r="100" spans="14:14" x14ac:dyDescent="0.25">
      <c r="N100" s="19"/>
    </row>
    <row r="101" spans="14:14" x14ac:dyDescent="0.25">
      <c r="N101" s="19"/>
    </row>
    <row r="102" spans="14:14" x14ac:dyDescent="0.25">
      <c r="N102" s="19"/>
    </row>
    <row r="103" spans="14:14" x14ac:dyDescent="0.25">
      <c r="N103" s="19"/>
    </row>
    <row r="104" spans="14:14" x14ac:dyDescent="0.25">
      <c r="N104" s="19"/>
    </row>
    <row r="105" spans="14:14" x14ac:dyDescent="0.25">
      <c r="N105" s="19"/>
    </row>
    <row r="106" spans="14:14" x14ac:dyDescent="0.25">
      <c r="N106" s="19"/>
    </row>
    <row r="107" spans="14:14" x14ac:dyDescent="0.25">
      <c r="N107" s="19"/>
    </row>
    <row r="108" spans="14:14" x14ac:dyDescent="0.25">
      <c r="N108" s="19"/>
    </row>
    <row r="109" spans="14:14" x14ac:dyDescent="0.25">
      <c r="N109" s="19"/>
    </row>
    <row r="110" spans="14:14" x14ac:dyDescent="0.25">
      <c r="N110" s="19"/>
    </row>
    <row r="111" spans="14:14" x14ac:dyDescent="0.25">
      <c r="N111" s="19"/>
    </row>
    <row r="112" spans="14:14" x14ac:dyDescent="0.25">
      <c r="N112" s="19"/>
    </row>
    <row r="113" spans="14:14" x14ac:dyDescent="0.25">
      <c r="N113" s="19"/>
    </row>
    <row r="114" spans="14:14" x14ac:dyDescent="0.25">
      <c r="N114" s="19"/>
    </row>
    <row r="115" spans="14:14" x14ac:dyDescent="0.25">
      <c r="N115" s="19"/>
    </row>
    <row r="116" spans="14:14" x14ac:dyDescent="0.25">
      <c r="N116" s="19"/>
    </row>
    <row r="117" spans="14:14" x14ac:dyDescent="0.25">
      <c r="N117" s="19"/>
    </row>
    <row r="118" spans="14:14" x14ac:dyDescent="0.25">
      <c r="N118" s="19"/>
    </row>
    <row r="119" spans="14:14" x14ac:dyDescent="0.25">
      <c r="N119" s="19"/>
    </row>
    <row r="120" spans="14:14" x14ac:dyDescent="0.25">
      <c r="N120" s="19"/>
    </row>
    <row r="121" spans="14:14" x14ac:dyDescent="0.25">
      <c r="N121" s="19"/>
    </row>
    <row r="122" spans="14:14" x14ac:dyDescent="0.25">
      <c r="N122" s="19"/>
    </row>
    <row r="123" spans="14:14" x14ac:dyDescent="0.25">
      <c r="N123" s="19"/>
    </row>
    <row r="124" spans="14:14" x14ac:dyDescent="0.25">
      <c r="N124" s="19"/>
    </row>
    <row r="125" spans="14:14" ht="33.75" customHeight="1" x14ac:dyDescent="0.25">
      <c r="N125" s="19"/>
    </row>
    <row r="126" spans="14:14" x14ac:dyDescent="0.25">
      <c r="N126" s="19"/>
    </row>
    <row r="127" spans="14:14" x14ac:dyDescent="0.25">
      <c r="N127" s="19"/>
    </row>
    <row r="128" spans="14:14" x14ac:dyDescent="0.25">
      <c r="N128" s="19"/>
    </row>
    <row r="129" spans="14:14" x14ac:dyDescent="0.25">
      <c r="N129" s="19"/>
    </row>
    <row r="130" spans="14:14" x14ac:dyDescent="0.25">
      <c r="N130" s="19"/>
    </row>
    <row r="131" spans="14:14" x14ac:dyDescent="0.25">
      <c r="N131" s="19"/>
    </row>
    <row r="132" spans="14:14" x14ac:dyDescent="0.25">
      <c r="N132" s="19"/>
    </row>
    <row r="133" spans="14:14" x14ac:dyDescent="0.25">
      <c r="N133" s="19"/>
    </row>
    <row r="134" spans="14:14" x14ac:dyDescent="0.25">
      <c r="N134" s="19"/>
    </row>
    <row r="135" spans="14:14" x14ac:dyDescent="0.25">
      <c r="N135" s="19"/>
    </row>
    <row r="136" spans="14:14" x14ac:dyDescent="0.25">
      <c r="N136" s="19"/>
    </row>
    <row r="137" spans="14:14" x14ac:dyDescent="0.25">
      <c r="N137" s="19"/>
    </row>
    <row r="138" spans="14:14" x14ac:dyDescent="0.25">
      <c r="N138" s="19"/>
    </row>
    <row r="139" spans="14:14" x14ac:dyDescent="0.25">
      <c r="N139" s="19"/>
    </row>
    <row r="140" spans="14:14" x14ac:dyDescent="0.25">
      <c r="N140" s="19"/>
    </row>
    <row r="141" spans="14:14" x14ac:dyDescent="0.25">
      <c r="N141" s="19"/>
    </row>
    <row r="142" spans="14:14" x14ac:dyDescent="0.25">
      <c r="N142" s="19"/>
    </row>
    <row r="143" spans="14:14" x14ac:dyDescent="0.25">
      <c r="N143" s="19"/>
    </row>
    <row r="144" spans="14:14" x14ac:dyDescent="0.25">
      <c r="N144" s="19"/>
    </row>
    <row r="145" spans="14:14" x14ac:dyDescent="0.25">
      <c r="N145" s="19"/>
    </row>
    <row r="146" spans="14:14" x14ac:dyDescent="0.25">
      <c r="N146" s="19"/>
    </row>
    <row r="147" spans="14:14" x14ac:dyDescent="0.25">
      <c r="N147" s="19"/>
    </row>
    <row r="148" spans="14:14" x14ac:dyDescent="0.25">
      <c r="N148" s="19"/>
    </row>
    <row r="149" spans="14:14" x14ac:dyDescent="0.25">
      <c r="N149" s="19"/>
    </row>
    <row r="150" spans="14:14" x14ac:dyDescent="0.25">
      <c r="N150" s="19"/>
    </row>
    <row r="151" spans="14:14" x14ac:dyDescent="0.25">
      <c r="N151" s="19"/>
    </row>
    <row r="152" spans="14:14" x14ac:dyDescent="0.25">
      <c r="N152" s="19"/>
    </row>
    <row r="153" spans="14:14" x14ac:dyDescent="0.25">
      <c r="N153" s="19"/>
    </row>
    <row r="154" spans="14:14" x14ac:dyDescent="0.25">
      <c r="N154" s="19"/>
    </row>
    <row r="155" spans="14:14" x14ac:dyDescent="0.25">
      <c r="N155" s="19"/>
    </row>
    <row r="156" spans="14:14" x14ac:dyDescent="0.25">
      <c r="N156" s="19"/>
    </row>
    <row r="157" spans="14:14" x14ac:dyDescent="0.25">
      <c r="N157" s="19"/>
    </row>
    <row r="158" spans="14:14" x14ac:dyDescent="0.25">
      <c r="N158" s="19"/>
    </row>
    <row r="159" spans="14:14" x14ac:dyDescent="0.25">
      <c r="N159" s="19"/>
    </row>
    <row r="160" spans="14:14" x14ac:dyDescent="0.25">
      <c r="N160" s="19"/>
    </row>
    <row r="161" spans="14:14" x14ac:dyDescent="0.25">
      <c r="N161" s="19"/>
    </row>
    <row r="162" spans="14:14" x14ac:dyDescent="0.25">
      <c r="N162" s="19"/>
    </row>
    <row r="163" spans="14:14" x14ac:dyDescent="0.25">
      <c r="N163" s="19"/>
    </row>
    <row r="164" spans="14:14" x14ac:dyDescent="0.25">
      <c r="N164" s="19"/>
    </row>
    <row r="165" spans="14:14" x14ac:dyDescent="0.25">
      <c r="N165" s="19"/>
    </row>
    <row r="166" spans="14:14" x14ac:dyDescent="0.25">
      <c r="N166" s="19"/>
    </row>
    <row r="167" spans="14:14" x14ac:dyDescent="0.25">
      <c r="N167" s="19"/>
    </row>
    <row r="168" spans="14:14" x14ac:dyDescent="0.25">
      <c r="N168" s="19"/>
    </row>
    <row r="169" spans="14:14" x14ac:dyDescent="0.25">
      <c r="N169" s="19"/>
    </row>
    <row r="170" spans="14:14" x14ac:dyDescent="0.25">
      <c r="N170" s="19"/>
    </row>
    <row r="171" spans="14:14" x14ac:dyDescent="0.25">
      <c r="N171" s="19"/>
    </row>
    <row r="172" spans="14:14" x14ac:dyDescent="0.25">
      <c r="N172" s="19"/>
    </row>
    <row r="173" spans="14:14" x14ac:dyDescent="0.25">
      <c r="N173" s="19"/>
    </row>
    <row r="174" spans="14:14" x14ac:dyDescent="0.25">
      <c r="N174" s="19"/>
    </row>
    <row r="175" spans="14:14" x14ac:dyDescent="0.25">
      <c r="N175" s="19"/>
    </row>
    <row r="176" spans="14:14" x14ac:dyDescent="0.25">
      <c r="N176" s="19"/>
    </row>
    <row r="177" spans="14:14" x14ac:dyDescent="0.25">
      <c r="N177" s="19"/>
    </row>
    <row r="178" spans="14:14" x14ac:dyDescent="0.25">
      <c r="N178" s="19"/>
    </row>
    <row r="179" spans="14:14" x14ac:dyDescent="0.25">
      <c r="N179" s="19"/>
    </row>
    <row r="180" spans="14:14" x14ac:dyDescent="0.25">
      <c r="N180" s="19"/>
    </row>
    <row r="181" spans="14:14" x14ac:dyDescent="0.25">
      <c r="N181" s="19"/>
    </row>
    <row r="182" spans="14:14" x14ac:dyDescent="0.25">
      <c r="N182" s="19"/>
    </row>
    <row r="183" spans="14:14" x14ac:dyDescent="0.25">
      <c r="N183" s="19"/>
    </row>
    <row r="184" spans="14:14" x14ac:dyDescent="0.25">
      <c r="N184" s="19"/>
    </row>
    <row r="185" spans="14:14" x14ac:dyDescent="0.25">
      <c r="N185" s="19"/>
    </row>
    <row r="186" spans="14:14" x14ac:dyDescent="0.25">
      <c r="N186" s="19"/>
    </row>
    <row r="187" spans="14:14" x14ac:dyDescent="0.25">
      <c r="N187" s="19"/>
    </row>
    <row r="188" spans="14:14" x14ac:dyDescent="0.25">
      <c r="N188" s="19"/>
    </row>
    <row r="189" spans="14:14" x14ac:dyDescent="0.25">
      <c r="N189" s="19"/>
    </row>
    <row r="190" spans="14:14" x14ac:dyDescent="0.25">
      <c r="N190" s="19"/>
    </row>
    <row r="191" spans="14:14" x14ac:dyDescent="0.25">
      <c r="N191" s="19"/>
    </row>
    <row r="192" spans="14:14" x14ac:dyDescent="0.25">
      <c r="N192" s="19"/>
    </row>
    <row r="193" spans="14:14" x14ac:dyDescent="0.25">
      <c r="N193" s="19"/>
    </row>
    <row r="194" spans="14:14" x14ac:dyDescent="0.25">
      <c r="N194" s="19"/>
    </row>
    <row r="195" spans="14:14" x14ac:dyDescent="0.25">
      <c r="N195" s="19"/>
    </row>
    <row r="196" spans="14:14" x14ac:dyDescent="0.25">
      <c r="N196" s="19"/>
    </row>
    <row r="197" spans="14:14" x14ac:dyDescent="0.25">
      <c r="N197" s="19"/>
    </row>
    <row r="198" spans="14:14" x14ac:dyDescent="0.25">
      <c r="N198" s="19"/>
    </row>
    <row r="199" spans="14:14" x14ac:dyDescent="0.25">
      <c r="N199" s="19"/>
    </row>
    <row r="200" spans="14:14" x14ac:dyDescent="0.25">
      <c r="N200" s="19"/>
    </row>
    <row r="201" spans="14:14" x14ac:dyDescent="0.25">
      <c r="N201" s="19"/>
    </row>
    <row r="202" spans="14:14" x14ac:dyDescent="0.25">
      <c r="N202" s="19"/>
    </row>
    <row r="203" spans="14:14" x14ac:dyDescent="0.25">
      <c r="N203" s="19"/>
    </row>
    <row r="204" spans="14:14" x14ac:dyDescent="0.25">
      <c r="N204" s="19"/>
    </row>
    <row r="205" spans="14:14" x14ac:dyDescent="0.25">
      <c r="N205" s="19"/>
    </row>
    <row r="206" spans="14:14" x14ac:dyDescent="0.25">
      <c r="N206" s="19"/>
    </row>
    <row r="207" spans="14:14" x14ac:dyDescent="0.25">
      <c r="N207" s="19"/>
    </row>
    <row r="208" spans="14:14" x14ac:dyDescent="0.25">
      <c r="N208" s="19"/>
    </row>
    <row r="209" spans="14:14" x14ac:dyDescent="0.25">
      <c r="N209" s="19"/>
    </row>
    <row r="210" spans="14:14" x14ac:dyDescent="0.25">
      <c r="N210" s="19"/>
    </row>
    <row r="211" spans="14:14" x14ac:dyDescent="0.25">
      <c r="N211" s="19"/>
    </row>
    <row r="212" spans="14:14" x14ac:dyDescent="0.25">
      <c r="N212" s="19"/>
    </row>
    <row r="213" spans="14:14" x14ac:dyDescent="0.25">
      <c r="N213" s="19"/>
    </row>
    <row r="214" spans="14:14" x14ac:dyDescent="0.25">
      <c r="N214" s="19"/>
    </row>
    <row r="215" spans="14:14" x14ac:dyDescent="0.25">
      <c r="N215" s="19"/>
    </row>
    <row r="216" spans="14:14" x14ac:dyDescent="0.25">
      <c r="N216" s="19"/>
    </row>
    <row r="217" spans="14:14" x14ac:dyDescent="0.25">
      <c r="N217" s="19"/>
    </row>
    <row r="218" spans="14:14" x14ac:dyDescent="0.25">
      <c r="N218" s="19"/>
    </row>
    <row r="219" spans="14:14" x14ac:dyDescent="0.25">
      <c r="N219" s="19"/>
    </row>
    <row r="220" spans="14:14" x14ac:dyDescent="0.25">
      <c r="N220" s="19"/>
    </row>
    <row r="221" spans="14:14" x14ac:dyDescent="0.25">
      <c r="N221" s="19"/>
    </row>
    <row r="222" spans="14:14" x14ac:dyDescent="0.25">
      <c r="N222" s="19"/>
    </row>
    <row r="223" spans="14:14" x14ac:dyDescent="0.25">
      <c r="N223" s="19"/>
    </row>
    <row r="224" spans="14:14" x14ac:dyDescent="0.25">
      <c r="N224" s="19"/>
    </row>
    <row r="225" spans="14:14" x14ac:dyDescent="0.25">
      <c r="N225" s="19"/>
    </row>
    <row r="226" spans="14:14" x14ac:dyDescent="0.25">
      <c r="N226" s="19"/>
    </row>
    <row r="227" spans="14:14" x14ac:dyDescent="0.25">
      <c r="N227" s="19"/>
    </row>
    <row r="228" spans="14:14" x14ac:dyDescent="0.25">
      <c r="N228" s="19"/>
    </row>
    <row r="229" spans="14:14" x14ac:dyDescent="0.25">
      <c r="N229" s="19"/>
    </row>
    <row r="230" spans="14:14" x14ac:dyDescent="0.25">
      <c r="N230" s="19"/>
    </row>
    <row r="231" spans="14:14" x14ac:dyDescent="0.25">
      <c r="N231" s="19"/>
    </row>
    <row r="232" spans="14:14" x14ac:dyDescent="0.25">
      <c r="N232" s="19"/>
    </row>
    <row r="233" spans="14:14" x14ac:dyDescent="0.25">
      <c r="N233" s="19"/>
    </row>
    <row r="234" spans="14:14" x14ac:dyDescent="0.25">
      <c r="N234" s="19"/>
    </row>
    <row r="235" spans="14:14" x14ac:dyDescent="0.25">
      <c r="N235" s="19"/>
    </row>
    <row r="236" spans="14:14" x14ac:dyDescent="0.25">
      <c r="N236" s="19"/>
    </row>
    <row r="237" spans="14:14" x14ac:dyDescent="0.25">
      <c r="N237" s="19"/>
    </row>
    <row r="238" spans="14:14" x14ac:dyDescent="0.25">
      <c r="N238" s="19"/>
    </row>
    <row r="239" spans="14:14" x14ac:dyDescent="0.25">
      <c r="N239" s="19"/>
    </row>
    <row r="240" spans="14:14" x14ac:dyDescent="0.25">
      <c r="N240" s="19"/>
    </row>
    <row r="241" spans="14:14" x14ac:dyDescent="0.25">
      <c r="N241" s="19"/>
    </row>
    <row r="242" spans="14:14" x14ac:dyDescent="0.25">
      <c r="N242" s="19"/>
    </row>
    <row r="243" spans="14:14" x14ac:dyDescent="0.25">
      <c r="N243" s="19"/>
    </row>
    <row r="244" spans="14:14" x14ac:dyDescent="0.25">
      <c r="N244" s="19"/>
    </row>
    <row r="245" spans="14:14" x14ac:dyDescent="0.25">
      <c r="N245" s="19"/>
    </row>
    <row r="246" spans="14:14" x14ac:dyDescent="0.25">
      <c r="N246" s="19"/>
    </row>
    <row r="247" spans="14:14" x14ac:dyDescent="0.25">
      <c r="N247" s="19"/>
    </row>
    <row r="248" spans="14:14" x14ac:dyDescent="0.25">
      <c r="N248" s="19"/>
    </row>
    <row r="249" spans="14:14" x14ac:dyDescent="0.25">
      <c r="N249" s="19"/>
    </row>
    <row r="250" spans="14:14" x14ac:dyDescent="0.25">
      <c r="N250" s="19"/>
    </row>
    <row r="251" spans="14:14" x14ac:dyDescent="0.25">
      <c r="N251" s="19"/>
    </row>
    <row r="252" spans="14:14" x14ac:dyDescent="0.25">
      <c r="N252" s="19"/>
    </row>
    <row r="253" spans="14:14" x14ac:dyDescent="0.25">
      <c r="N253" s="19"/>
    </row>
    <row r="254" spans="14:14" x14ac:dyDescent="0.25">
      <c r="N254" s="19"/>
    </row>
    <row r="255" spans="14:14" x14ac:dyDescent="0.25">
      <c r="N255" s="19"/>
    </row>
    <row r="256" spans="14:14" x14ac:dyDescent="0.25">
      <c r="N256" s="19"/>
    </row>
    <row r="257" spans="14:14" x14ac:dyDescent="0.25">
      <c r="N257" s="19"/>
    </row>
    <row r="258" spans="14:14" x14ac:dyDescent="0.25">
      <c r="N258" s="19"/>
    </row>
    <row r="259" spans="14:14" x14ac:dyDescent="0.25">
      <c r="N259" s="19"/>
    </row>
    <row r="260" spans="14:14" x14ac:dyDescent="0.25">
      <c r="N260" s="19"/>
    </row>
    <row r="261" spans="14:14" x14ac:dyDescent="0.25">
      <c r="N261" s="19"/>
    </row>
    <row r="262" spans="14:14" x14ac:dyDescent="0.25">
      <c r="N262" s="19"/>
    </row>
    <row r="263" spans="14:14" x14ac:dyDescent="0.25">
      <c r="N263" s="19"/>
    </row>
    <row r="264" spans="14:14" x14ac:dyDescent="0.25">
      <c r="N264" s="19"/>
    </row>
    <row r="265" spans="14:14" x14ac:dyDescent="0.25">
      <c r="N265" s="19"/>
    </row>
    <row r="266" spans="14:14" x14ac:dyDescent="0.25">
      <c r="N266" s="19"/>
    </row>
    <row r="267" spans="14:14" x14ac:dyDescent="0.25">
      <c r="N267" s="19"/>
    </row>
    <row r="268" spans="14:14" x14ac:dyDescent="0.25">
      <c r="N268" s="19"/>
    </row>
    <row r="269" spans="14:14" x14ac:dyDescent="0.25">
      <c r="N269" s="19"/>
    </row>
    <row r="270" spans="14:14" x14ac:dyDescent="0.25">
      <c r="N270" s="19"/>
    </row>
    <row r="271" spans="14:14" x14ac:dyDescent="0.25">
      <c r="N271" s="19"/>
    </row>
    <row r="272" spans="14:14" x14ac:dyDescent="0.25">
      <c r="N272" s="19"/>
    </row>
    <row r="273" spans="14:14" x14ac:dyDescent="0.25">
      <c r="N273" s="19"/>
    </row>
    <row r="274" spans="14:14" x14ac:dyDescent="0.25">
      <c r="N274" s="19"/>
    </row>
    <row r="275" spans="14:14" x14ac:dyDescent="0.25">
      <c r="N275" s="19"/>
    </row>
    <row r="276" spans="14:14" x14ac:dyDescent="0.25">
      <c r="N276" s="19"/>
    </row>
    <row r="277" spans="14:14" x14ac:dyDescent="0.25">
      <c r="N277" s="19"/>
    </row>
    <row r="278" spans="14:14" x14ac:dyDescent="0.25">
      <c r="N278" s="19"/>
    </row>
    <row r="279" spans="14:14" x14ac:dyDescent="0.25">
      <c r="N279" s="19"/>
    </row>
    <row r="280" spans="14:14" x14ac:dyDescent="0.25">
      <c r="N280" s="19"/>
    </row>
    <row r="281" spans="14:14" x14ac:dyDescent="0.25">
      <c r="N281" s="19"/>
    </row>
    <row r="282" spans="14:14" x14ac:dyDescent="0.25">
      <c r="N282" s="19"/>
    </row>
    <row r="283" spans="14:14" x14ac:dyDescent="0.25">
      <c r="N283" s="19"/>
    </row>
    <row r="284" spans="14:14" x14ac:dyDescent="0.25">
      <c r="N284" s="19"/>
    </row>
    <row r="285" spans="14:14" x14ac:dyDescent="0.25">
      <c r="N285" s="19"/>
    </row>
    <row r="286" spans="14:14" x14ac:dyDescent="0.25">
      <c r="N286" s="19"/>
    </row>
    <row r="287" spans="14:14" x14ac:dyDescent="0.25">
      <c r="N287" s="19"/>
    </row>
    <row r="288" spans="14:14" x14ac:dyDescent="0.25">
      <c r="N288" s="19"/>
    </row>
    <row r="289" spans="14:14" x14ac:dyDescent="0.25">
      <c r="N289" s="19"/>
    </row>
    <row r="290" spans="14:14" x14ac:dyDescent="0.25">
      <c r="N290" s="19"/>
    </row>
    <row r="291" spans="14:14" x14ac:dyDescent="0.25">
      <c r="N291" s="19"/>
    </row>
    <row r="292" spans="14:14" x14ac:dyDescent="0.25">
      <c r="N292" s="19"/>
    </row>
    <row r="293" spans="14:14" x14ac:dyDescent="0.25">
      <c r="N293" s="19"/>
    </row>
    <row r="294" spans="14:14" x14ac:dyDescent="0.25">
      <c r="N294" s="19"/>
    </row>
    <row r="295" spans="14:14" x14ac:dyDescent="0.25">
      <c r="N295" s="19"/>
    </row>
    <row r="296" spans="14:14" x14ac:dyDescent="0.25">
      <c r="N296" s="19"/>
    </row>
    <row r="297" spans="14:14" x14ac:dyDescent="0.25">
      <c r="N297" s="19"/>
    </row>
    <row r="298" spans="14:14" x14ac:dyDescent="0.25">
      <c r="N298" s="19"/>
    </row>
    <row r="299" spans="14:14" x14ac:dyDescent="0.25">
      <c r="N299" s="19"/>
    </row>
    <row r="300" spans="14:14" x14ac:dyDescent="0.25">
      <c r="N300" s="19"/>
    </row>
    <row r="301" spans="14:14" x14ac:dyDescent="0.25">
      <c r="N301" s="19"/>
    </row>
    <row r="302" spans="14:14" x14ac:dyDescent="0.25">
      <c r="N302" s="19"/>
    </row>
    <row r="303" spans="14:14" x14ac:dyDescent="0.25">
      <c r="N303" s="19"/>
    </row>
    <row r="304" spans="14:14" x14ac:dyDescent="0.25">
      <c r="N304" s="19"/>
    </row>
    <row r="305" spans="14:14" x14ac:dyDescent="0.25">
      <c r="N305" s="19"/>
    </row>
    <row r="306" spans="14:14" x14ac:dyDescent="0.25">
      <c r="N306" s="19"/>
    </row>
    <row r="307" spans="14:14" x14ac:dyDescent="0.25">
      <c r="N307" s="19"/>
    </row>
    <row r="308" spans="14:14" x14ac:dyDescent="0.25">
      <c r="N308" s="19"/>
    </row>
    <row r="309" spans="14:14" x14ac:dyDescent="0.25">
      <c r="N309" s="19"/>
    </row>
    <row r="310" spans="14:14" x14ac:dyDescent="0.25">
      <c r="N310" s="19"/>
    </row>
    <row r="311" spans="14:14" x14ac:dyDescent="0.25">
      <c r="N311" s="19"/>
    </row>
    <row r="312" spans="14:14" x14ac:dyDescent="0.25">
      <c r="N312" s="19"/>
    </row>
    <row r="313" spans="14:14" x14ac:dyDescent="0.25">
      <c r="N313" s="19"/>
    </row>
    <row r="314" spans="14:14" x14ac:dyDescent="0.25">
      <c r="N314" s="19"/>
    </row>
    <row r="315" spans="14:14" x14ac:dyDescent="0.25">
      <c r="N315" s="19"/>
    </row>
    <row r="316" spans="14:14" x14ac:dyDescent="0.25">
      <c r="N316" s="19"/>
    </row>
    <row r="317" spans="14:14" x14ac:dyDescent="0.25">
      <c r="N317" s="19"/>
    </row>
    <row r="318" spans="14:14" x14ac:dyDescent="0.25">
      <c r="N318" s="19"/>
    </row>
    <row r="319" spans="14:14" x14ac:dyDescent="0.25">
      <c r="N319" s="19"/>
    </row>
    <row r="320" spans="14:14" x14ac:dyDescent="0.25">
      <c r="N320" s="19"/>
    </row>
    <row r="321" spans="14:14" x14ac:dyDescent="0.25">
      <c r="N321" s="19"/>
    </row>
    <row r="322" spans="14:14" x14ac:dyDescent="0.25">
      <c r="N322" s="19"/>
    </row>
    <row r="323" spans="14:14" x14ac:dyDescent="0.25">
      <c r="N323" s="19"/>
    </row>
    <row r="324" spans="14:14" x14ac:dyDescent="0.25">
      <c r="N324" s="19"/>
    </row>
    <row r="325" spans="14:14" x14ac:dyDescent="0.25">
      <c r="N325" s="19"/>
    </row>
    <row r="326" spans="14:14" x14ac:dyDescent="0.25">
      <c r="N326" s="19"/>
    </row>
    <row r="327" spans="14:14" x14ac:dyDescent="0.25">
      <c r="N327" s="19"/>
    </row>
    <row r="328" spans="14:14" x14ac:dyDescent="0.25">
      <c r="N328" s="19"/>
    </row>
    <row r="329" spans="14:14" x14ac:dyDescent="0.25">
      <c r="N329" s="19"/>
    </row>
    <row r="330" spans="14:14" x14ac:dyDescent="0.25">
      <c r="N330" s="19"/>
    </row>
    <row r="331" spans="14:14" x14ac:dyDescent="0.25">
      <c r="N331" s="19"/>
    </row>
    <row r="332" spans="14:14" x14ac:dyDescent="0.25">
      <c r="N332" s="19"/>
    </row>
    <row r="333" spans="14:14" x14ac:dyDescent="0.25">
      <c r="N333" s="19"/>
    </row>
    <row r="334" spans="14:14" x14ac:dyDescent="0.25">
      <c r="N334" s="19"/>
    </row>
    <row r="335" spans="14:14" x14ac:dyDescent="0.25">
      <c r="N335" s="19"/>
    </row>
    <row r="336" spans="14:14" x14ac:dyDescent="0.25">
      <c r="N336" s="19"/>
    </row>
    <row r="337" spans="14:14" x14ac:dyDescent="0.25">
      <c r="N337" s="19"/>
    </row>
    <row r="338" spans="14:14" x14ac:dyDescent="0.25">
      <c r="N338" s="19"/>
    </row>
    <row r="339" spans="14:14" x14ac:dyDescent="0.25">
      <c r="N339" s="19"/>
    </row>
    <row r="340" spans="14:14" x14ac:dyDescent="0.25">
      <c r="N340" s="19"/>
    </row>
    <row r="341" spans="14:14" x14ac:dyDescent="0.25">
      <c r="N341" s="19"/>
    </row>
    <row r="342" spans="14:14" x14ac:dyDescent="0.25">
      <c r="N342" s="19"/>
    </row>
    <row r="343" spans="14:14" x14ac:dyDescent="0.25">
      <c r="N343" s="19"/>
    </row>
    <row r="344" spans="14:14" x14ac:dyDescent="0.25">
      <c r="N344" s="19"/>
    </row>
    <row r="345" spans="14:14" x14ac:dyDescent="0.25">
      <c r="N345" s="19"/>
    </row>
    <row r="346" spans="14:14" x14ac:dyDescent="0.25">
      <c r="N346" s="19"/>
    </row>
    <row r="347" spans="14:14" x14ac:dyDescent="0.25">
      <c r="N347" s="19"/>
    </row>
    <row r="348" spans="14:14" x14ac:dyDescent="0.25">
      <c r="N348" s="19"/>
    </row>
    <row r="349" spans="14:14" x14ac:dyDescent="0.25">
      <c r="N349" s="19"/>
    </row>
    <row r="350" spans="14:14" x14ac:dyDescent="0.25">
      <c r="N350" s="19"/>
    </row>
    <row r="351" spans="14:14" x14ac:dyDescent="0.25">
      <c r="N351" s="19"/>
    </row>
    <row r="352" spans="14:14" x14ac:dyDescent="0.25">
      <c r="N352" s="19"/>
    </row>
    <row r="353" spans="14:14" x14ac:dyDescent="0.25">
      <c r="N353" s="19"/>
    </row>
    <row r="354" spans="14:14" x14ac:dyDescent="0.25">
      <c r="N354" s="19"/>
    </row>
    <row r="355" spans="14:14" x14ac:dyDescent="0.25">
      <c r="N355" s="19"/>
    </row>
    <row r="356" spans="14:14" x14ac:dyDescent="0.25">
      <c r="N356" s="19"/>
    </row>
    <row r="357" spans="14:14" x14ac:dyDescent="0.25">
      <c r="N357" s="19"/>
    </row>
    <row r="358" spans="14:14" x14ac:dyDescent="0.25">
      <c r="N358" s="19"/>
    </row>
    <row r="359" spans="14:14" x14ac:dyDescent="0.25">
      <c r="N359" s="19"/>
    </row>
    <row r="360" spans="14:14" x14ac:dyDescent="0.25">
      <c r="N360" s="19"/>
    </row>
    <row r="361" spans="14:14" x14ac:dyDescent="0.25">
      <c r="N361" s="19"/>
    </row>
    <row r="362" spans="14:14" x14ac:dyDescent="0.25">
      <c r="N362" s="19"/>
    </row>
    <row r="363" spans="14:14" x14ac:dyDescent="0.25">
      <c r="N363" s="19"/>
    </row>
    <row r="364" spans="14:14" x14ac:dyDescent="0.25">
      <c r="N364" s="19"/>
    </row>
    <row r="365" spans="14:14" x14ac:dyDescent="0.25">
      <c r="N365" s="19"/>
    </row>
    <row r="366" spans="14:14" x14ac:dyDescent="0.25">
      <c r="N366" s="19"/>
    </row>
    <row r="367" spans="14:14" x14ac:dyDescent="0.25">
      <c r="N367" s="19"/>
    </row>
    <row r="368" spans="14:14" x14ac:dyDescent="0.25">
      <c r="N368" s="19"/>
    </row>
    <row r="369" spans="14:14" x14ac:dyDescent="0.25">
      <c r="N369" s="19"/>
    </row>
    <row r="370" spans="14:14" x14ac:dyDescent="0.25">
      <c r="N370" s="19"/>
    </row>
    <row r="371" spans="14:14" x14ac:dyDescent="0.25">
      <c r="N371" s="19"/>
    </row>
    <row r="372" spans="14:14" x14ac:dyDescent="0.25">
      <c r="N372" s="19"/>
    </row>
    <row r="373" spans="14:14" x14ac:dyDescent="0.25">
      <c r="N373" s="19"/>
    </row>
    <row r="374" spans="14:14" x14ac:dyDescent="0.25">
      <c r="N374" s="19"/>
    </row>
    <row r="375" spans="14:14" x14ac:dyDescent="0.25">
      <c r="N375" s="19"/>
    </row>
    <row r="376" spans="14:14" x14ac:dyDescent="0.25">
      <c r="N376" s="19"/>
    </row>
    <row r="377" spans="14:14" x14ac:dyDescent="0.25">
      <c r="N377" s="19"/>
    </row>
    <row r="378" spans="14:14" x14ac:dyDescent="0.25">
      <c r="N378" s="19"/>
    </row>
    <row r="379" spans="14:14" x14ac:dyDescent="0.25">
      <c r="N379" s="19"/>
    </row>
    <row r="380" spans="14:14" x14ac:dyDescent="0.25">
      <c r="N380" s="19"/>
    </row>
    <row r="381" spans="14:14" x14ac:dyDescent="0.25">
      <c r="N381" s="19"/>
    </row>
    <row r="382" spans="14:14" x14ac:dyDescent="0.25">
      <c r="N382" s="19"/>
    </row>
    <row r="383" spans="14:14" x14ac:dyDescent="0.25">
      <c r="N383" s="19"/>
    </row>
    <row r="384" spans="14:14" x14ac:dyDescent="0.25">
      <c r="N384" s="19"/>
    </row>
    <row r="385" spans="14:14" x14ac:dyDescent="0.25">
      <c r="N385" s="19"/>
    </row>
    <row r="386" spans="14:14" x14ac:dyDescent="0.25">
      <c r="N386" s="19"/>
    </row>
    <row r="387" spans="14:14" x14ac:dyDescent="0.25">
      <c r="N387" s="19"/>
    </row>
    <row r="388" spans="14:14" x14ac:dyDescent="0.25">
      <c r="N388" s="19"/>
    </row>
    <row r="389" spans="14:14" x14ac:dyDescent="0.25">
      <c r="N389" s="19"/>
    </row>
    <row r="390" spans="14:14" x14ac:dyDescent="0.25">
      <c r="N390" s="19"/>
    </row>
    <row r="391" spans="14:14" x14ac:dyDescent="0.25">
      <c r="N391" s="19"/>
    </row>
    <row r="392" spans="14:14" x14ac:dyDescent="0.25">
      <c r="N392" s="19"/>
    </row>
    <row r="393" spans="14:14" x14ac:dyDescent="0.25">
      <c r="N393" s="19"/>
    </row>
    <row r="394" spans="14:14" x14ac:dyDescent="0.25">
      <c r="N394" s="19"/>
    </row>
    <row r="395" spans="14:14" x14ac:dyDescent="0.25">
      <c r="N395" s="19"/>
    </row>
    <row r="396" spans="14:14" x14ac:dyDescent="0.25">
      <c r="N396" s="19"/>
    </row>
    <row r="397" spans="14:14" x14ac:dyDescent="0.25">
      <c r="N397" s="19"/>
    </row>
    <row r="398" spans="14:14" x14ac:dyDescent="0.25">
      <c r="N398" s="19"/>
    </row>
    <row r="399" spans="14:14" x14ac:dyDescent="0.25">
      <c r="N399" s="19"/>
    </row>
    <row r="400" spans="14:14" x14ac:dyDescent="0.25">
      <c r="N400" s="19"/>
    </row>
    <row r="401" spans="14:14" x14ac:dyDescent="0.25">
      <c r="N401" s="19"/>
    </row>
    <row r="402" spans="14:14" x14ac:dyDescent="0.25">
      <c r="N402" s="19"/>
    </row>
    <row r="403" spans="14:14" x14ac:dyDescent="0.25">
      <c r="N403" s="19"/>
    </row>
    <row r="404" spans="14:14" x14ac:dyDescent="0.25">
      <c r="N404" s="19"/>
    </row>
    <row r="405" spans="14:14" x14ac:dyDescent="0.25">
      <c r="N405" s="19"/>
    </row>
    <row r="406" spans="14:14" x14ac:dyDescent="0.25">
      <c r="N406" s="19"/>
    </row>
    <row r="407" spans="14:14" x14ac:dyDescent="0.25">
      <c r="N407" s="19"/>
    </row>
    <row r="408" spans="14:14" x14ac:dyDescent="0.25">
      <c r="N408" s="19"/>
    </row>
    <row r="409" spans="14:14" x14ac:dyDescent="0.25">
      <c r="N409" s="19"/>
    </row>
    <row r="410" spans="14:14" x14ac:dyDescent="0.25">
      <c r="N410" s="19"/>
    </row>
    <row r="411" spans="14:14" x14ac:dyDescent="0.25">
      <c r="N411" s="19"/>
    </row>
    <row r="412" spans="14:14" x14ac:dyDescent="0.25">
      <c r="N412" s="19"/>
    </row>
    <row r="413" spans="14:14" x14ac:dyDescent="0.25">
      <c r="N413" s="19"/>
    </row>
    <row r="414" spans="14:14" x14ac:dyDescent="0.25">
      <c r="N414" s="19"/>
    </row>
    <row r="415" spans="14:14" x14ac:dyDescent="0.25">
      <c r="N415" s="19"/>
    </row>
    <row r="416" spans="14:14" x14ac:dyDescent="0.25">
      <c r="N416" s="19"/>
    </row>
    <row r="417" spans="14:14" x14ac:dyDescent="0.25">
      <c r="N417" s="19"/>
    </row>
    <row r="418" spans="14:14" x14ac:dyDescent="0.25">
      <c r="N418" s="19"/>
    </row>
    <row r="419" spans="14:14" x14ac:dyDescent="0.25">
      <c r="N419" s="19"/>
    </row>
    <row r="420" spans="14:14" x14ac:dyDescent="0.25">
      <c r="N420" s="19"/>
    </row>
    <row r="421" spans="14:14" x14ac:dyDescent="0.25">
      <c r="N421" s="19"/>
    </row>
    <row r="422" spans="14:14" x14ac:dyDescent="0.25">
      <c r="N422" s="19"/>
    </row>
    <row r="423" spans="14:14" x14ac:dyDescent="0.25">
      <c r="N423" s="19"/>
    </row>
    <row r="424" spans="14:14" x14ac:dyDescent="0.25">
      <c r="N424" s="19"/>
    </row>
    <row r="425" spans="14:14" x14ac:dyDescent="0.25">
      <c r="N425" s="19"/>
    </row>
    <row r="426" spans="14:14" x14ac:dyDescent="0.25">
      <c r="N426" s="19"/>
    </row>
    <row r="427" spans="14:14" x14ac:dyDescent="0.25">
      <c r="N427" s="19"/>
    </row>
    <row r="428" spans="14:14" x14ac:dyDescent="0.25">
      <c r="N428" s="19"/>
    </row>
    <row r="429" spans="14:14" x14ac:dyDescent="0.25">
      <c r="N429" s="19"/>
    </row>
    <row r="430" spans="14:14" x14ac:dyDescent="0.25">
      <c r="N430" s="19"/>
    </row>
    <row r="431" spans="14:14" x14ac:dyDescent="0.25">
      <c r="N431" s="19"/>
    </row>
    <row r="432" spans="14:14" x14ac:dyDescent="0.25">
      <c r="N432" s="19"/>
    </row>
    <row r="433" spans="14:14" x14ac:dyDescent="0.25">
      <c r="N433" s="19"/>
    </row>
    <row r="434" spans="14:14" x14ac:dyDescent="0.25">
      <c r="N434" s="19"/>
    </row>
    <row r="435" spans="14:14" x14ac:dyDescent="0.25">
      <c r="N435" s="19"/>
    </row>
    <row r="436" spans="14:14" x14ac:dyDescent="0.25">
      <c r="N436" s="19"/>
    </row>
    <row r="437" spans="14:14" x14ac:dyDescent="0.25">
      <c r="N437" s="19"/>
    </row>
    <row r="438" spans="14:14" x14ac:dyDescent="0.25">
      <c r="N438" s="19"/>
    </row>
    <row r="439" spans="14:14" x14ac:dyDescent="0.25">
      <c r="N439" s="19"/>
    </row>
    <row r="440" spans="14:14" x14ac:dyDescent="0.25">
      <c r="N440" s="19"/>
    </row>
    <row r="441" spans="14:14" x14ac:dyDescent="0.25">
      <c r="N441" s="19"/>
    </row>
    <row r="442" spans="14:14" x14ac:dyDescent="0.25">
      <c r="N442" s="19"/>
    </row>
    <row r="443" spans="14:14" x14ac:dyDescent="0.25">
      <c r="N443" s="19"/>
    </row>
    <row r="444" spans="14:14" x14ac:dyDescent="0.25">
      <c r="N444" s="19"/>
    </row>
    <row r="445" spans="14:14" x14ac:dyDescent="0.25">
      <c r="N445" s="19"/>
    </row>
    <row r="446" spans="14:14" x14ac:dyDescent="0.25">
      <c r="N446" s="19"/>
    </row>
    <row r="447" spans="14:14" x14ac:dyDescent="0.25">
      <c r="N447" s="19"/>
    </row>
    <row r="448" spans="14:14" x14ac:dyDescent="0.25">
      <c r="N448" s="19"/>
    </row>
    <row r="449" spans="14:14" x14ac:dyDescent="0.25">
      <c r="N449" s="19"/>
    </row>
    <row r="450" spans="14:14" x14ac:dyDescent="0.25">
      <c r="N450" s="19"/>
    </row>
    <row r="451" spans="14:14" x14ac:dyDescent="0.25">
      <c r="N451" s="19"/>
    </row>
    <row r="452" spans="14:14" x14ac:dyDescent="0.25">
      <c r="N452" s="19"/>
    </row>
    <row r="453" spans="14:14" x14ac:dyDescent="0.25">
      <c r="N453" s="19"/>
    </row>
    <row r="454" spans="14:14" x14ac:dyDescent="0.25">
      <c r="N454" s="19"/>
    </row>
    <row r="455" spans="14:14" x14ac:dyDescent="0.25">
      <c r="N455" s="19"/>
    </row>
    <row r="456" spans="14:14" x14ac:dyDescent="0.25">
      <c r="N456" s="19"/>
    </row>
    <row r="457" spans="14:14" x14ac:dyDescent="0.25">
      <c r="N457" s="19"/>
    </row>
    <row r="458" spans="14:14" x14ac:dyDescent="0.25">
      <c r="N458" s="19"/>
    </row>
    <row r="459" spans="14:14" x14ac:dyDescent="0.25">
      <c r="N459" s="19"/>
    </row>
    <row r="460" spans="14:14" x14ac:dyDescent="0.25">
      <c r="N460" s="19"/>
    </row>
    <row r="461" spans="14:14" x14ac:dyDescent="0.25">
      <c r="N461" s="19"/>
    </row>
    <row r="462" spans="14:14" x14ac:dyDescent="0.25">
      <c r="N462" s="19"/>
    </row>
    <row r="463" spans="14:14" x14ac:dyDescent="0.25">
      <c r="N463" s="19"/>
    </row>
    <row r="464" spans="14:14" x14ac:dyDescent="0.25">
      <c r="N464" s="19"/>
    </row>
    <row r="465" spans="14:14" x14ac:dyDescent="0.25">
      <c r="N465" s="19"/>
    </row>
    <row r="466" spans="14:14" x14ac:dyDescent="0.25">
      <c r="N466" s="19"/>
    </row>
    <row r="467" spans="14:14" x14ac:dyDescent="0.25">
      <c r="N467" s="19"/>
    </row>
    <row r="468" spans="14:14" x14ac:dyDescent="0.25">
      <c r="N468" s="19"/>
    </row>
    <row r="469" spans="14:14" x14ac:dyDescent="0.25">
      <c r="N469" s="19"/>
    </row>
    <row r="470" spans="14:14" x14ac:dyDescent="0.25">
      <c r="N470" s="19"/>
    </row>
    <row r="471" spans="14:14" x14ac:dyDescent="0.25">
      <c r="N471" s="19"/>
    </row>
    <row r="472" spans="14:14" x14ac:dyDescent="0.25">
      <c r="N472" s="19"/>
    </row>
    <row r="473" spans="14:14" x14ac:dyDescent="0.25">
      <c r="N473" s="19"/>
    </row>
    <row r="474" spans="14:14" x14ac:dyDescent="0.25">
      <c r="N474" s="19"/>
    </row>
    <row r="475" spans="14:14" x14ac:dyDescent="0.25">
      <c r="N475" s="19"/>
    </row>
    <row r="476" spans="14:14" x14ac:dyDescent="0.25">
      <c r="N476" s="19"/>
    </row>
    <row r="477" spans="14:14" x14ac:dyDescent="0.25">
      <c r="N477" s="19"/>
    </row>
    <row r="478" spans="14:14" x14ac:dyDescent="0.25">
      <c r="N478" s="19"/>
    </row>
    <row r="479" spans="14:14" x14ac:dyDescent="0.25">
      <c r="N479" s="19"/>
    </row>
    <row r="480" spans="14:14" x14ac:dyDescent="0.25">
      <c r="N480" s="19"/>
    </row>
    <row r="481" spans="14:14" x14ac:dyDescent="0.25">
      <c r="N481" s="19"/>
    </row>
    <row r="482" spans="14:14" x14ac:dyDescent="0.25">
      <c r="N482" s="19"/>
    </row>
    <row r="483" spans="14:14" x14ac:dyDescent="0.25">
      <c r="N483" s="19"/>
    </row>
    <row r="484" spans="14:14" x14ac:dyDescent="0.25">
      <c r="N484" s="19"/>
    </row>
    <row r="485" spans="14:14" x14ac:dyDescent="0.25">
      <c r="N485" s="19"/>
    </row>
    <row r="486" spans="14:14" x14ac:dyDescent="0.25">
      <c r="N486" s="19"/>
    </row>
    <row r="487" spans="14:14" x14ac:dyDescent="0.25">
      <c r="N487" s="19"/>
    </row>
    <row r="488" spans="14:14" x14ac:dyDescent="0.25">
      <c r="N488" s="19"/>
    </row>
    <row r="489" spans="14:14" x14ac:dyDescent="0.25">
      <c r="N489" s="19"/>
    </row>
    <row r="490" spans="14:14" x14ac:dyDescent="0.25">
      <c r="N490" s="19"/>
    </row>
    <row r="491" spans="14:14" x14ac:dyDescent="0.25">
      <c r="N491" s="19"/>
    </row>
    <row r="492" spans="14:14" x14ac:dyDescent="0.25">
      <c r="N492" s="19"/>
    </row>
    <row r="493" spans="14:14" x14ac:dyDescent="0.25">
      <c r="N493" s="19"/>
    </row>
    <row r="494" spans="14:14" x14ac:dyDescent="0.25">
      <c r="N494" s="19"/>
    </row>
    <row r="495" spans="14:14" x14ac:dyDescent="0.25">
      <c r="N495" s="19"/>
    </row>
    <row r="496" spans="14:14" x14ac:dyDescent="0.25">
      <c r="N496" s="19"/>
    </row>
    <row r="497" spans="14:14" x14ac:dyDescent="0.25">
      <c r="N497" s="19"/>
    </row>
    <row r="498" spans="14:14" x14ac:dyDescent="0.25">
      <c r="N498" s="19"/>
    </row>
    <row r="499" spans="14:14" x14ac:dyDescent="0.25">
      <c r="N499" s="19"/>
    </row>
    <row r="500" spans="14:14" x14ac:dyDescent="0.25">
      <c r="N500" s="19"/>
    </row>
    <row r="501" spans="14:14" x14ac:dyDescent="0.25">
      <c r="N501" s="19"/>
    </row>
    <row r="502" spans="14:14" x14ac:dyDescent="0.25">
      <c r="N502" s="19"/>
    </row>
    <row r="503" spans="14:14" x14ac:dyDescent="0.25">
      <c r="N503" s="19"/>
    </row>
    <row r="504" spans="14:14" x14ac:dyDescent="0.25">
      <c r="N504" s="19"/>
    </row>
    <row r="505" spans="14:14" x14ac:dyDescent="0.25">
      <c r="N505" s="19"/>
    </row>
    <row r="506" spans="14:14" x14ac:dyDescent="0.25">
      <c r="N506" s="19"/>
    </row>
    <row r="507" spans="14:14" x14ac:dyDescent="0.25">
      <c r="N507" s="19"/>
    </row>
    <row r="508" spans="14:14" x14ac:dyDescent="0.25">
      <c r="N508" s="19"/>
    </row>
    <row r="509" spans="14:14" x14ac:dyDescent="0.25">
      <c r="N509" s="19"/>
    </row>
    <row r="510" spans="14:14" x14ac:dyDescent="0.25">
      <c r="N510" s="19"/>
    </row>
    <row r="511" spans="14:14" x14ac:dyDescent="0.25">
      <c r="N511" s="19"/>
    </row>
    <row r="512" spans="14:14" x14ac:dyDescent="0.25">
      <c r="N512" s="19"/>
    </row>
    <row r="513" spans="14:14" x14ac:dyDescent="0.25">
      <c r="N513" s="19"/>
    </row>
    <row r="514" spans="14:14" x14ac:dyDescent="0.25">
      <c r="N514" s="19"/>
    </row>
    <row r="515" spans="14:14" x14ac:dyDescent="0.25">
      <c r="N515" s="19"/>
    </row>
    <row r="516" spans="14:14" x14ac:dyDescent="0.25">
      <c r="N516" s="19"/>
    </row>
    <row r="517" spans="14:14" x14ac:dyDescent="0.25">
      <c r="N517" s="19"/>
    </row>
    <row r="518" spans="14:14" x14ac:dyDescent="0.25">
      <c r="N518" s="19"/>
    </row>
    <row r="519" spans="14:14" x14ac:dyDescent="0.25">
      <c r="N519" s="19"/>
    </row>
    <row r="520" spans="14:14" x14ac:dyDescent="0.25">
      <c r="N520" s="19"/>
    </row>
    <row r="521" spans="14:14" x14ac:dyDescent="0.25">
      <c r="N521" s="19"/>
    </row>
    <row r="522" spans="14:14" x14ac:dyDescent="0.25">
      <c r="N522" s="19"/>
    </row>
    <row r="523" spans="14:14" x14ac:dyDescent="0.25">
      <c r="N523" s="19"/>
    </row>
    <row r="524" spans="14:14" x14ac:dyDescent="0.25">
      <c r="N524" s="19"/>
    </row>
    <row r="525" spans="14:14" x14ac:dyDescent="0.25">
      <c r="N525" s="19"/>
    </row>
    <row r="526" spans="14:14" x14ac:dyDescent="0.25">
      <c r="N526" s="19"/>
    </row>
    <row r="527" spans="14:14" x14ac:dyDescent="0.25">
      <c r="N527" s="19"/>
    </row>
    <row r="528" spans="14:14" x14ac:dyDescent="0.25">
      <c r="N528" s="19"/>
    </row>
    <row r="529" spans="14:14" x14ac:dyDescent="0.25">
      <c r="N529" s="19"/>
    </row>
    <row r="530" spans="14:14" x14ac:dyDescent="0.25">
      <c r="N530" s="19"/>
    </row>
    <row r="531" spans="14:14" x14ac:dyDescent="0.25">
      <c r="N531" s="19"/>
    </row>
    <row r="532" spans="14:14" x14ac:dyDescent="0.25">
      <c r="N532" s="19"/>
    </row>
    <row r="533" spans="14:14" x14ac:dyDescent="0.25">
      <c r="N533" s="19"/>
    </row>
    <row r="534" spans="14:14" x14ac:dyDescent="0.25">
      <c r="N534" s="19"/>
    </row>
    <row r="535" spans="14:14" x14ac:dyDescent="0.25">
      <c r="N535" s="19"/>
    </row>
    <row r="536" spans="14:14" x14ac:dyDescent="0.25">
      <c r="N536" s="19"/>
    </row>
    <row r="537" spans="14:14" x14ac:dyDescent="0.25">
      <c r="N537" s="19"/>
    </row>
    <row r="538" spans="14:14" x14ac:dyDescent="0.25">
      <c r="N538" s="19"/>
    </row>
    <row r="539" spans="14:14" x14ac:dyDescent="0.25">
      <c r="N539" s="19"/>
    </row>
    <row r="540" spans="14:14" x14ac:dyDescent="0.25">
      <c r="N540" s="19"/>
    </row>
    <row r="541" spans="14:14" x14ac:dyDescent="0.25">
      <c r="N541" s="19"/>
    </row>
    <row r="542" spans="14:14" x14ac:dyDescent="0.25">
      <c r="N542" s="19"/>
    </row>
    <row r="543" spans="14:14" x14ac:dyDescent="0.25">
      <c r="N543" s="19"/>
    </row>
    <row r="544" spans="14:14" x14ac:dyDescent="0.25">
      <c r="N544" s="19"/>
    </row>
    <row r="545" spans="14:14" x14ac:dyDescent="0.25">
      <c r="N545" s="19"/>
    </row>
    <row r="546" spans="14:14" x14ac:dyDescent="0.25">
      <c r="N546" s="19"/>
    </row>
    <row r="547" spans="14:14" x14ac:dyDescent="0.25">
      <c r="N547" s="19"/>
    </row>
    <row r="548" spans="14:14" x14ac:dyDescent="0.25">
      <c r="N548" s="19"/>
    </row>
    <row r="549" spans="14:14" x14ac:dyDescent="0.25">
      <c r="N549" s="19"/>
    </row>
    <row r="550" spans="14:14" x14ac:dyDescent="0.25">
      <c r="N550" s="19"/>
    </row>
    <row r="551" spans="14:14" x14ac:dyDescent="0.25">
      <c r="N551" s="19"/>
    </row>
    <row r="552" spans="14:14" x14ac:dyDescent="0.25">
      <c r="N552" s="19"/>
    </row>
    <row r="553" spans="14:14" x14ac:dyDescent="0.25">
      <c r="N553" s="19"/>
    </row>
    <row r="554" spans="14:14" x14ac:dyDescent="0.25">
      <c r="N554" s="19"/>
    </row>
    <row r="555" spans="14:14" x14ac:dyDescent="0.25">
      <c r="N555" s="19"/>
    </row>
    <row r="556" spans="14:14" x14ac:dyDescent="0.25">
      <c r="N556" s="19"/>
    </row>
    <row r="557" spans="14:14" x14ac:dyDescent="0.25">
      <c r="N557" s="19"/>
    </row>
    <row r="558" spans="14:14" x14ac:dyDescent="0.25">
      <c r="N558" s="19"/>
    </row>
    <row r="559" spans="14:14" x14ac:dyDescent="0.25">
      <c r="N559" s="19"/>
    </row>
    <row r="560" spans="14:14" x14ac:dyDescent="0.25">
      <c r="N560" s="19"/>
    </row>
    <row r="561" spans="14:14" x14ac:dyDescent="0.25">
      <c r="N561" s="19"/>
    </row>
    <row r="562" spans="14:14" x14ac:dyDescent="0.25">
      <c r="N562" s="19"/>
    </row>
    <row r="563" spans="14:14" x14ac:dyDescent="0.25">
      <c r="N563" s="19"/>
    </row>
    <row r="564" spans="14:14" x14ac:dyDescent="0.25">
      <c r="N564" s="19"/>
    </row>
    <row r="565" spans="14:14" x14ac:dyDescent="0.25">
      <c r="N565" s="19"/>
    </row>
    <row r="566" spans="14:14" x14ac:dyDescent="0.25">
      <c r="N566" s="19"/>
    </row>
    <row r="567" spans="14:14" x14ac:dyDescent="0.25">
      <c r="N567" s="19"/>
    </row>
    <row r="568" spans="14:14" x14ac:dyDescent="0.25">
      <c r="N568" s="19"/>
    </row>
    <row r="569" spans="14:14" x14ac:dyDescent="0.25">
      <c r="N569" s="19"/>
    </row>
    <row r="570" spans="14:14" x14ac:dyDescent="0.25">
      <c r="N570" s="19"/>
    </row>
    <row r="571" spans="14:14" x14ac:dyDescent="0.25">
      <c r="N571" s="19"/>
    </row>
    <row r="572" spans="14:14" x14ac:dyDescent="0.25">
      <c r="N572" s="19"/>
    </row>
    <row r="573" spans="14:14" x14ac:dyDescent="0.25">
      <c r="N573" s="19"/>
    </row>
    <row r="574" spans="14:14" x14ac:dyDescent="0.25">
      <c r="N574" s="19"/>
    </row>
    <row r="575" spans="14:14" x14ac:dyDescent="0.25">
      <c r="N575" s="19"/>
    </row>
    <row r="576" spans="14:14" x14ac:dyDescent="0.25">
      <c r="N576" s="19"/>
    </row>
    <row r="577" spans="14:14" x14ac:dyDescent="0.25">
      <c r="N577" s="19"/>
    </row>
    <row r="578" spans="14:14" x14ac:dyDescent="0.25">
      <c r="N578" s="19"/>
    </row>
    <row r="579" spans="14:14" x14ac:dyDescent="0.25">
      <c r="N579" s="19"/>
    </row>
    <row r="580" spans="14:14" x14ac:dyDescent="0.25">
      <c r="N580" s="19"/>
    </row>
    <row r="581" spans="14:14" x14ac:dyDescent="0.25">
      <c r="N581" s="19"/>
    </row>
    <row r="582" spans="14:14" x14ac:dyDescent="0.25">
      <c r="N582" s="19"/>
    </row>
    <row r="583" spans="14:14" x14ac:dyDescent="0.25">
      <c r="N583" s="19"/>
    </row>
    <row r="584" spans="14:14" x14ac:dyDescent="0.25">
      <c r="N584" s="19"/>
    </row>
    <row r="585" spans="14:14" x14ac:dyDescent="0.25">
      <c r="N585" s="19"/>
    </row>
    <row r="586" spans="14:14" x14ac:dyDescent="0.25">
      <c r="N586" s="19"/>
    </row>
    <row r="587" spans="14:14" x14ac:dyDescent="0.25">
      <c r="N587" s="19"/>
    </row>
    <row r="588" spans="14:14" x14ac:dyDescent="0.25">
      <c r="N588" s="19"/>
    </row>
    <row r="589" spans="14:14" x14ac:dyDescent="0.25">
      <c r="N589" s="19"/>
    </row>
    <row r="590" spans="14:14" x14ac:dyDescent="0.25">
      <c r="N590" s="19"/>
    </row>
    <row r="591" spans="14:14" x14ac:dyDescent="0.25">
      <c r="N591" s="19"/>
    </row>
    <row r="592" spans="14:14" x14ac:dyDescent="0.25">
      <c r="N592" s="19"/>
    </row>
    <row r="593" spans="14:14" x14ac:dyDescent="0.25">
      <c r="N593" s="19"/>
    </row>
    <row r="594" spans="14:14" x14ac:dyDescent="0.25">
      <c r="N594" s="19"/>
    </row>
    <row r="595" spans="14:14" x14ac:dyDescent="0.25">
      <c r="N595" s="19"/>
    </row>
    <row r="596" spans="14:14" x14ac:dyDescent="0.25">
      <c r="N596" s="19"/>
    </row>
    <row r="597" spans="14:14" x14ac:dyDescent="0.25">
      <c r="N597" s="19"/>
    </row>
    <row r="598" spans="14:14" x14ac:dyDescent="0.25">
      <c r="N598" s="19"/>
    </row>
    <row r="599" spans="14:14" x14ac:dyDescent="0.25">
      <c r="N599" s="19"/>
    </row>
    <row r="600" spans="14:14" x14ac:dyDescent="0.25">
      <c r="N600" s="19"/>
    </row>
    <row r="601" spans="14:14" x14ac:dyDescent="0.25">
      <c r="N601" s="19"/>
    </row>
    <row r="602" spans="14:14" x14ac:dyDescent="0.25">
      <c r="N602" s="19"/>
    </row>
    <row r="603" spans="14:14" x14ac:dyDescent="0.25">
      <c r="N603" s="19"/>
    </row>
    <row r="604" spans="14:14" x14ac:dyDescent="0.25">
      <c r="N604" s="19"/>
    </row>
    <row r="605" spans="14:14" x14ac:dyDescent="0.25">
      <c r="N605" s="19"/>
    </row>
    <row r="606" spans="14:14" x14ac:dyDescent="0.25">
      <c r="N606" s="19"/>
    </row>
    <row r="607" spans="14:14" x14ac:dyDescent="0.25">
      <c r="N607" s="19"/>
    </row>
    <row r="608" spans="14:14" x14ac:dyDescent="0.25">
      <c r="N608" s="19"/>
    </row>
    <row r="609" spans="14:14" x14ac:dyDescent="0.25">
      <c r="N609" s="19"/>
    </row>
    <row r="610" spans="14:14" x14ac:dyDescent="0.25">
      <c r="N610" s="19"/>
    </row>
    <row r="611" spans="14:14" x14ac:dyDescent="0.25">
      <c r="N611" s="19"/>
    </row>
    <row r="612" spans="14:14" x14ac:dyDescent="0.25">
      <c r="N612" s="19"/>
    </row>
    <row r="613" spans="14:14" x14ac:dyDescent="0.25">
      <c r="N613" s="19"/>
    </row>
    <row r="614" spans="14:14" x14ac:dyDescent="0.25">
      <c r="N614" s="19"/>
    </row>
    <row r="615" spans="14:14" x14ac:dyDescent="0.25">
      <c r="N615" s="19"/>
    </row>
    <row r="616" spans="14:14" x14ac:dyDescent="0.25">
      <c r="N616" s="19"/>
    </row>
    <row r="617" spans="14:14" x14ac:dyDescent="0.25">
      <c r="N617" s="19"/>
    </row>
    <row r="618" spans="14:14" x14ac:dyDescent="0.25">
      <c r="N618" s="19"/>
    </row>
    <row r="619" spans="14:14" x14ac:dyDescent="0.25">
      <c r="N619" s="19"/>
    </row>
    <row r="620" spans="14:14" x14ac:dyDescent="0.25">
      <c r="N620" s="19"/>
    </row>
    <row r="621" spans="14:14" x14ac:dyDescent="0.25">
      <c r="N621" s="19"/>
    </row>
    <row r="622" spans="14:14" x14ac:dyDescent="0.25">
      <c r="N622" s="19"/>
    </row>
    <row r="623" spans="14:14" x14ac:dyDescent="0.25">
      <c r="N623" s="19"/>
    </row>
    <row r="624" spans="14:14" x14ac:dyDescent="0.25">
      <c r="N624" s="19"/>
    </row>
    <row r="625" spans="14:14" x14ac:dyDescent="0.25">
      <c r="N625" s="19"/>
    </row>
    <row r="626" spans="14:14" x14ac:dyDescent="0.25">
      <c r="N626" s="19"/>
    </row>
    <row r="627" spans="14:14" x14ac:dyDescent="0.25">
      <c r="N627" s="19"/>
    </row>
    <row r="628" spans="14:14" x14ac:dyDescent="0.25">
      <c r="N628" s="19"/>
    </row>
    <row r="629" spans="14:14" x14ac:dyDescent="0.25">
      <c r="N629" s="19"/>
    </row>
    <row r="630" spans="14:14" x14ac:dyDescent="0.25">
      <c r="N630" s="19"/>
    </row>
    <row r="631" spans="14:14" x14ac:dyDescent="0.25">
      <c r="N631" s="19"/>
    </row>
    <row r="632" spans="14:14" x14ac:dyDescent="0.25">
      <c r="N632" s="19"/>
    </row>
    <row r="633" spans="14:14" x14ac:dyDescent="0.25">
      <c r="N633" s="19"/>
    </row>
    <row r="634" spans="14:14" x14ac:dyDescent="0.25">
      <c r="N634" s="19"/>
    </row>
    <row r="635" spans="14:14" x14ac:dyDescent="0.25">
      <c r="N635" s="19"/>
    </row>
    <row r="636" spans="14:14" x14ac:dyDescent="0.25">
      <c r="N636" s="19"/>
    </row>
    <row r="637" spans="14:14" x14ac:dyDescent="0.25">
      <c r="N637" s="19"/>
    </row>
    <row r="638" spans="14:14" x14ac:dyDescent="0.25">
      <c r="N638" s="19"/>
    </row>
    <row r="639" spans="14:14" x14ac:dyDescent="0.25">
      <c r="N639" s="19"/>
    </row>
    <row r="640" spans="14:14" x14ac:dyDescent="0.25">
      <c r="N640" s="19"/>
    </row>
    <row r="641" spans="14:14" x14ac:dyDescent="0.25">
      <c r="N641" s="19"/>
    </row>
    <row r="642" spans="14:14" x14ac:dyDescent="0.25">
      <c r="N642" s="19"/>
    </row>
    <row r="643" spans="14:14" x14ac:dyDescent="0.25">
      <c r="N643" s="19"/>
    </row>
    <row r="644" spans="14:14" x14ac:dyDescent="0.25">
      <c r="N644" s="19"/>
    </row>
    <row r="645" spans="14:14" x14ac:dyDescent="0.25">
      <c r="N645" s="19"/>
    </row>
    <row r="646" spans="14:14" x14ac:dyDescent="0.25">
      <c r="N646" s="19"/>
    </row>
    <row r="647" spans="14:14" x14ac:dyDescent="0.25">
      <c r="N647" s="19"/>
    </row>
    <row r="648" spans="14:14" x14ac:dyDescent="0.25">
      <c r="N648" s="19"/>
    </row>
    <row r="649" spans="14:14" x14ac:dyDescent="0.25">
      <c r="N649" s="19"/>
    </row>
    <row r="650" spans="14:14" x14ac:dyDescent="0.25">
      <c r="N650" s="19"/>
    </row>
    <row r="651" spans="14:14" x14ac:dyDescent="0.25">
      <c r="N651" s="19"/>
    </row>
    <row r="652" spans="14:14" x14ac:dyDescent="0.25">
      <c r="N652" s="19"/>
    </row>
    <row r="653" spans="14:14" x14ac:dyDescent="0.25">
      <c r="N653" s="19"/>
    </row>
    <row r="654" spans="14:14" x14ac:dyDescent="0.25">
      <c r="N654" s="19"/>
    </row>
    <row r="655" spans="14:14" x14ac:dyDescent="0.25">
      <c r="N655" s="19"/>
    </row>
    <row r="656" spans="14:14" x14ac:dyDescent="0.25">
      <c r="N656" s="19"/>
    </row>
    <row r="657" spans="14:14" x14ac:dyDescent="0.25">
      <c r="N657" s="19"/>
    </row>
    <row r="658" spans="14:14" x14ac:dyDescent="0.25">
      <c r="N658" s="19"/>
    </row>
    <row r="659" spans="14:14" x14ac:dyDescent="0.25">
      <c r="N659" s="19"/>
    </row>
    <row r="660" spans="14:14" x14ac:dyDescent="0.25">
      <c r="N660" s="19"/>
    </row>
    <row r="661" spans="14:14" x14ac:dyDescent="0.25">
      <c r="N661" s="19"/>
    </row>
    <row r="662" spans="14:14" x14ac:dyDescent="0.25">
      <c r="N662" s="19"/>
    </row>
    <row r="663" spans="14:14" x14ac:dyDescent="0.25">
      <c r="N663" s="19"/>
    </row>
    <row r="664" spans="14:14" x14ac:dyDescent="0.25">
      <c r="N664" s="19"/>
    </row>
    <row r="665" spans="14:14" x14ac:dyDescent="0.25">
      <c r="N665" s="19"/>
    </row>
    <row r="666" spans="14:14" x14ac:dyDescent="0.25">
      <c r="N666" s="19"/>
    </row>
    <row r="667" spans="14:14" x14ac:dyDescent="0.25">
      <c r="N667" s="19"/>
    </row>
    <row r="668" spans="14:14" x14ac:dyDescent="0.25">
      <c r="N668" s="19"/>
    </row>
    <row r="669" spans="14:14" x14ac:dyDescent="0.25">
      <c r="N669" s="19"/>
    </row>
    <row r="670" spans="14:14" x14ac:dyDescent="0.25">
      <c r="N670" s="19"/>
    </row>
    <row r="671" spans="14:14" x14ac:dyDescent="0.25">
      <c r="N671" s="19"/>
    </row>
    <row r="672" spans="14:14" x14ac:dyDescent="0.25">
      <c r="N672" s="19"/>
    </row>
    <row r="673" spans="14:14" x14ac:dyDescent="0.25">
      <c r="N673" s="19"/>
    </row>
    <row r="674" spans="14:14" x14ac:dyDescent="0.25">
      <c r="N674" s="19"/>
    </row>
    <row r="675" spans="14:14" x14ac:dyDescent="0.25">
      <c r="N675" s="19"/>
    </row>
    <row r="676" spans="14:14" x14ac:dyDescent="0.25">
      <c r="N676" s="19"/>
    </row>
    <row r="677" spans="14:14" x14ac:dyDescent="0.25">
      <c r="N677" s="19"/>
    </row>
    <row r="678" spans="14:14" x14ac:dyDescent="0.25">
      <c r="N678" s="19"/>
    </row>
    <row r="679" spans="14:14" x14ac:dyDescent="0.25">
      <c r="N679" s="19"/>
    </row>
    <row r="680" spans="14:14" x14ac:dyDescent="0.25">
      <c r="N680" s="19"/>
    </row>
    <row r="681" spans="14:14" x14ac:dyDescent="0.25">
      <c r="N681" s="19"/>
    </row>
    <row r="682" spans="14:14" x14ac:dyDescent="0.25">
      <c r="N682" s="19"/>
    </row>
    <row r="683" spans="14:14" x14ac:dyDescent="0.25">
      <c r="N683" s="19"/>
    </row>
    <row r="684" spans="14:14" x14ac:dyDescent="0.25">
      <c r="N684" s="19"/>
    </row>
    <row r="685" spans="14:14" x14ac:dyDescent="0.25">
      <c r="N685" s="19"/>
    </row>
    <row r="686" spans="14:14" x14ac:dyDescent="0.25">
      <c r="N686" s="19"/>
    </row>
    <row r="687" spans="14:14" x14ac:dyDescent="0.25">
      <c r="N687" s="19"/>
    </row>
    <row r="688" spans="14:14" x14ac:dyDescent="0.25">
      <c r="N688" s="19"/>
    </row>
    <row r="689" spans="14:14" x14ac:dyDescent="0.25">
      <c r="N689" s="19"/>
    </row>
    <row r="690" spans="14:14" x14ac:dyDescent="0.25">
      <c r="N690" s="19"/>
    </row>
    <row r="691" spans="14:14" x14ac:dyDescent="0.25">
      <c r="N691" s="19"/>
    </row>
    <row r="692" spans="14:14" x14ac:dyDescent="0.25">
      <c r="N692" s="19"/>
    </row>
    <row r="693" spans="14:14" x14ac:dyDescent="0.25">
      <c r="N693" s="19"/>
    </row>
    <row r="694" spans="14:14" x14ac:dyDescent="0.25">
      <c r="N694" s="19"/>
    </row>
    <row r="695" spans="14:14" x14ac:dyDescent="0.25">
      <c r="N695" s="19"/>
    </row>
    <row r="696" spans="14:14" x14ac:dyDescent="0.25">
      <c r="N696" s="19"/>
    </row>
    <row r="697" spans="14:14" x14ac:dyDescent="0.25">
      <c r="N697" s="19"/>
    </row>
    <row r="698" spans="14:14" x14ac:dyDescent="0.25">
      <c r="N698" s="19"/>
    </row>
    <row r="699" spans="14:14" x14ac:dyDescent="0.25">
      <c r="N699" s="19"/>
    </row>
    <row r="700" spans="14:14" x14ac:dyDescent="0.25">
      <c r="N700" s="19"/>
    </row>
    <row r="701" spans="14:14" x14ac:dyDescent="0.25">
      <c r="N701" s="19"/>
    </row>
    <row r="702" spans="14:14" x14ac:dyDescent="0.25">
      <c r="N702" s="19"/>
    </row>
    <row r="703" spans="14:14" x14ac:dyDescent="0.25">
      <c r="N703" s="19"/>
    </row>
    <row r="704" spans="14:14" x14ac:dyDescent="0.25">
      <c r="N704" s="19"/>
    </row>
    <row r="705" spans="14:14" x14ac:dyDescent="0.25">
      <c r="N705" s="19"/>
    </row>
    <row r="706" spans="14:14" x14ac:dyDescent="0.25">
      <c r="N706" s="19"/>
    </row>
    <row r="707" spans="14:14" x14ac:dyDescent="0.25">
      <c r="N707" s="19"/>
    </row>
    <row r="708" spans="14:14" x14ac:dyDescent="0.25">
      <c r="N708" s="19"/>
    </row>
    <row r="709" spans="14:14" x14ac:dyDescent="0.25">
      <c r="N709" s="19"/>
    </row>
    <row r="710" spans="14:14" x14ac:dyDescent="0.25">
      <c r="N710" s="19"/>
    </row>
    <row r="711" spans="14:14" x14ac:dyDescent="0.25">
      <c r="N711" s="19"/>
    </row>
    <row r="712" spans="14:14" x14ac:dyDescent="0.25">
      <c r="N712" s="19"/>
    </row>
    <row r="713" spans="14:14" x14ac:dyDescent="0.25">
      <c r="N713" s="19"/>
    </row>
    <row r="714" spans="14:14" x14ac:dyDescent="0.25">
      <c r="N714" s="19"/>
    </row>
    <row r="715" spans="14:14" x14ac:dyDescent="0.25">
      <c r="N715" s="19"/>
    </row>
    <row r="716" spans="14:14" x14ac:dyDescent="0.25">
      <c r="N716" s="19"/>
    </row>
    <row r="717" spans="14:14" x14ac:dyDescent="0.25">
      <c r="N717" s="19"/>
    </row>
    <row r="718" spans="14:14" x14ac:dyDescent="0.25">
      <c r="N718" s="19"/>
    </row>
    <row r="719" spans="14:14" x14ac:dyDescent="0.25">
      <c r="N719" s="19"/>
    </row>
    <row r="720" spans="14:14" x14ac:dyDescent="0.25">
      <c r="N720" s="19"/>
    </row>
    <row r="721" spans="14:14" x14ac:dyDescent="0.25">
      <c r="N721" s="19"/>
    </row>
    <row r="722" spans="14:14" x14ac:dyDescent="0.25">
      <c r="N722" s="19"/>
    </row>
    <row r="723" spans="14:14" x14ac:dyDescent="0.25">
      <c r="N723" s="19"/>
    </row>
    <row r="724" spans="14:14" x14ac:dyDescent="0.25">
      <c r="N724" s="19"/>
    </row>
    <row r="725" spans="14:14" x14ac:dyDescent="0.25">
      <c r="N725" s="19"/>
    </row>
    <row r="726" spans="14:14" x14ac:dyDescent="0.25">
      <c r="N726" s="19"/>
    </row>
    <row r="727" spans="14:14" x14ac:dyDescent="0.25">
      <c r="N727" s="19"/>
    </row>
    <row r="728" spans="14:14" x14ac:dyDescent="0.25">
      <c r="N728" s="19"/>
    </row>
    <row r="729" spans="14:14" x14ac:dyDescent="0.25">
      <c r="N729" s="19"/>
    </row>
    <row r="730" spans="14:14" x14ac:dyDescent="0.25">
      <c r="N730" s="19"/>
    </row>
    <row r="731" spans="14:14" x14ac:dyDescent="0.25">
      <c r="N731" s="19"/>
    </row>
    <row r="732" spans="14:14" x14ac:dyDescent="0.25">
      <c r="N732" s="19"/>
    </row>
    <row r="733" spans="14:14" x14ac:dyDescent="0.25">
      <c r="N733" s="19"/>
    </row>
    <row r="734" spans="14:14" x14ac:dyDescent="0.25">
      <c r="N734" s="19"/>
    </row>
    <row r="735" spans="14:14" x14ac:dyDescent="0.25">
      <c r="N735" s="19"/>
    </row>
    <row r="736" spans="14:14" x14ac:dyDescent="0.25">
      <c r="N736" s="19"/>
    </row>
    <row r="737" spans="14:14" x14ac:dyDescent="0.25">
      <c r="N737" s="19"/>
    </row>
    <row r="738" spans="14:14" x14ac:dyDescent="0.25">
      <c r="N738" s="19"/>
    </row>
    <row r="739" spans="14:14" x14ac:dyDescent="0.25">
      <c r="N739" s="19"/>
    </row>
    <row r="740" spans="14:14" x14ac:dyDescent="0.25">
      <c r="N740" s="19"/>
    </row>
    <row r="741" spans="14:14" x14ac:dyDescent="0.25">
      <c r="N741" s="19"/>
    </row>
    <row r="742" spans="14:14" x14ac:dyDescent="0.25">
      <c r="N742" s="19"/>
    </row>
    <row r="743" spans="14:14" x14ac:dyDescent="0.25">
      <c r="N743" s="19"/>
    </row>
  </sheetData>
  <mergeCells count="1">
    <mergeCell ref="F1:H1"/>
  </mergeCells>
  <pageMargins left="0.75" right="0.75" top="1" bottom="1" header="0.5" footer="0.5"/>
  <pageSetup orientation="portrait" horizontalDpi="4294967292" verticalDpi="4294967292"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CC"/>
    <pageSetUpPr fitToPage="1"/>
  </sheetPr>
  <dimension ref="A1:W396"/>
  <sheetViews>
    <sheetView workbookViewId="0">
      <pane ySplit="4" topLeftCell="A5" activePane="bottomLeft" state="frozen"/>
      <selection pane="bottomLeft" activeCell="A18" sqref="A18"/>
    </sheetView>
  </sheetViews>
  <sheetFormatPr defaultColWidth="11" defaultRowHeight="15.75" x14ac:dyDescent="0.25"/>
  <cols>
    <col min="1" max="1" width="34.75" customWidth="1"/>
    <col min="2" max="2" width="15.125" bestFit="1" customWidth="1"/>
    <col min="3" max="9" width="12.5" bestFit="1" customWidth="1"/>
    <col min="10" max="10" width="13.875" customWidth="1"/>
    <col min="11" max="11" width="14.125" style="278" bestFit="1" customWidth="1"/>
    <col min="12" max="12" width="13.875" customWidth="1"/>
    <col min="13" max="13" width="15.125" hidden="1" customWidth="1"/>
    <col min="14" max="14" width="11" style="124"/>
    <col min="23" max="23" width="78.5" hidden="1" customWidth="1"/>
    <col min="25" max="25" width="47.375" customWidth="1"/>
  </cols>
  <sheetData>
    <row r="1" spans="1:23" ht="18.75" x14ac:dyDescent="0.3">
      <c r="A1" s="36" t="s">
        <v>33</v>
      </c>
      <c r="F1" s="1020" t="s">
        <v>154</v>
      </c>
      <c r="G1" s="1020"/>
      <c r="H1" s="1020"/>
      <c r="J1" s="357"/>
      <c r="K1" s="295"/>
      <c r="L1" s="357"/>
      <c r="M1" s="357"/>
    </row>
    <row r="2" spans="1:23" x14ac:dyDescent="0.25">
      <c r="A2" s="2"/>
    </row>
    <row r="3" spans="1:23" x14ac:dyDescent="0.25">
      <c r="A3" s="2"/>
      <c r="B3" s="435" t="s">
        <v>58</v>
      </c>
      <c r="C3" s="360" t="s">
        <v>58</v>
      </c>
      <c r="D3" s="360" t="s">
        <v>58</v>
      </c>
      <c r="E3" s="360" t="s">
        <v>58</v>
      </c>
      <c r="F3" s="360" t="s">
        <v>58</v>
      </c>
      <c r="G3" s="360" t="s">
        <v>58</v>
      </c>
      <c r="H3" s="360" t="s">
        <v>58</v>
      </c>
      <c r="I3" s="360" t="s">
        <v>58</v>
      </c>
      <c r="J3" s="436" t="s">
        <v>58</v>
      </c>
      <c r="K3" s="360" t="s">
        <v>58</v>
      </c>
      <c r="L3" s="441" t="s">
        <v>58</v>
      </c>
      <c r="M3" s="360" t="s">
        <v>58</v>
      </c>
    </row>
    <row r="4" spans="1:23" x14ac:dyDescent="0.25">
      <c r="A4" s="2"/>
      <c r="B4" s="437" t="s">
        <v>55</v>
      </c>
      <c r="C4" s="205" t="s">
        <v>55</v>
      </c>
      <c r="D4" s="205" t="s">
        <v>55</v>
      </c>
      <c r="E4" s="205" t="s">
        <v>55</v>
      </c>
      <c r="F4" s="205" t="s">
        <v>55</v>
      </c>
      <c r="G4" s="205" t="s">
        <v>55</v>
      </c>
      <c r="H4" s="205" t="s">
        <v>55</v>
      </c>
      <c r="I4" s="205" t="s">
        <v>55</v>
      </c>
      <c r="J4" s="438" t="s">
        <v>55</v>
      </c>
      <c r="K4" s="205" t="s">
        <v>151</v>
      </c>
      <c r="L4" s="442" t="s">
        <v>56</v>
      </c>
      <c r="M4" s="205" t="s">
        <v>253</v>
      </c>
    </row>
    <row r="5" spans="1:23" ht="16.5" thickBot="1" x14ac:dyDescent="0.3">
      <c r="B5" s="439">
        <v>2009</v>
      </c>
      <c r="C5" s="367">
        <v>2010</v>
      </c>
      <c r="D5" s="367">
        <v>2011</v>
      </c>
      <c r="E5" s="367">
        <v>2012</v>
      </c>
      <c r="F5" s="367">
        <v>2013</v>
      </c>
      <c r="G5" s="367">
        <v>2014</v>
      </c>
      <c r="H5" s="367">
        <v>2015</v>
      </c>
      <c r="I5" s="367">
        <v>2016</v>
      </c>
      <c r="J5" s="440">
        <v>2017</v>
      </c>
      <c r="K5" s="367">
        <v>2018</v>
      </c>
      <c r="L5" s="456">
        <v>2019</v>
      </c>
      <c r="M5" s="367">
        <v>2018</v>
      </c>
      <c r="O5" s="2"/>
    </row>
    <row r="6" spans="1:23" s="278" customFormat="1" ht="18.75" x14ac:dyDescent="0.3">
      <c r="A6" s="850" t="s">
        <v>333</v>
      </c>
      <c r="B6" s="378"/>
      <c r="C6" s="371"/>
      <c r="D6" s="371"/>
      <c r="E6" s="371"/>
      <c r="F6" s="371"/>
      <c r="G6" s="371"/>
      <c r="H6" s="371"/>
      <c r="I6" s="371"/>
      <c r="J6" s="379"/>
      <c r="K6" s="463"/>
      <c r="L6" s="464"/>
      <c r="M6" s="379"/>
      <c r="N6" s="126"/>
      <c r="O6" s="2"/>
    </row>
    <row r="7" spans="1:23" x14ac:dyDescent="0.25">
      <c r="A7" s="851" t="s">
        <v>92</v>
      </c>
      <c r="B7" s="380">
        <v>394398</v>
      </c>
      <c r="C7" s="315">
        <f>281080+478980+783440+444</f>
        <v>1543944</v>
      </c>
      <c r="D7" s="315">
        <f>169241+550184+22812+2440187</f>
        <v>3182424</v>
      </c>
      <c r="E7" s="315">
        <f>91376+705502+71172+2451302</f>
        <v>3319352</v>
      </c>
      <c r="F7" s="315">
        <f>114418+336375+80167+2806589</f>
        <v>3337549</v>
      </c>
      <c r="G7" s="315">
        <f>641291+29160+100544+120263+2969255</f>
        <v>3860513</v>
      </c>
      <c r="H7" s="315">
        <f>617035-6443+109766+103785+2998326</f>
        <v>3822469</v>
      </c>
      <c r="I7" s="315">
        <f>251790-746+108644+97437+3276021</f>
        <v>3733146</v>
      </c>
      <c r="J7" s="381">
        <v>5350158</v>
      </c>
      <c r="K7" s="315">
        <v>5736967</v>
      </c>
      <c r="L7" s="372">
        <v>570937</v>
      </c>
      <c r="M7" s="381">
        <v>5686967</v>
      </c>
      <c r="N7" s="121"/>
      <c r="O7" s="3"/>
    </row>
    <row r="8" spans="1:23" x14ac:dyDescent="0.25">
      <c r="A8" s="852" t="s">
        <v>88</v>
      </c>
      <c r="B8" s="380">
        <v>0</v>
      </c>
      <c r="C8" s="315">
        <v>0</v>
      </c>
      <c r="D8" s="315">
        <v>0</v>
      </c>
      <c r="E8" s="315">
        <v>0</v>
      </c>
      <c r="F8" s="315">
        <v>0</v>
      </c>
      <c r="G8" s="315">
        <v>0</v>
      </c>
      <c r="H8" s="315">
        <v>0</v>
      </c>
      <c r="I8" s="315">
        <v>0</v>
      </c>
      <c r="J8" s="381">
        <v>0</v>
      </c>
      <c r="K8" s="315">
        <v>0</v>
      </c>
      <c r="L8" s="372">
        <v>0</v>
      </c>
      <c r="M8" s="381">
        <v>0</v>
      </c>
      <c r="N8" s="121"/>
      <c r="O8" s="3"/>
    </row>
    <row r="9" spans="1:23" x14ac:dyDescent="0.25">
      <c r="A9" s="853" t="s">
        <v>93</v>
      </c>
      <c r="B9" s="380">
        <v>0</v>
      </c>
      <c r="C9" s="315">
        <v>0</v>
      </c>
      <c r="D9" s="315">
        <v>0</v>
      </c>
      <c r="E9" s="315">
        <v>0</v>
      </c>
      <c r="F9" s="315">
        <v>0</v>
      </c>
      <c r="G9" s="315">
        <v>0</v>
      </c>
      <c r="H9" s="315">
        <v>0</v>
      </c>
      <c r="I9" s="315">
        <v>0</v>
      </c>
      <c r="J9" s="381">
        <v>0</v>
      </c>
      <c r="K9" s="315">
        <v>0</v>
      </c>
      <c r="L9" s="372">
        <v>0</v>
      </c>
      <c r="M9" s="381">
        <v>0</v>
      </c>
      <c r="N9" s="121"/>
      <c r="O9" s="3"/>
    </row>
    <row r="10" spans="1:23" x14ac:dyDescent="0.25">
      <c r="A10" s="854" t="s">
        <v>78</v>
      </c>
      <c r="B10" s="380">
        <v>0</v>
      </c>
      <c r="C10" s="315">
        <v>0</v>
      </c>
      <c r="D10" s="315">
        <v>0</v>
      </c>
      <c r="E10" s="315">
        <v>0</v>
      </c>
      <c r="F10" s="315">
        <v>0</v>
      </c>
      <c r="G10" s="315">
        <v>0</v>
      </c>
      <c r="H10" s="315">
        <v>0</v>
      </c>
      <c r="I10" s="315">
        <v>0</v>
      </c>
      <c r="J10" s="381">
        <v>0</v>
      </c>
      <c r="K10" s="315">
        <v>0</v>
      </c>
      <c r="L10" s="372">
        <v>0</v>
      </c>
      <c r="M10" s="381">
        <v>0</v>
      </c>
      <c r="N10" s="121"/>
      <c r="O10" s="3"/>
      <c r="W10" t="s">
        <v>375</v>
      </c>
    </row>
    <row r="11" spans="1:23" ht="16.5" thickBot="1" x14ac:dyDescent="0.3">
      <c r="A11" s="856"/>
      <c r="B11" s="382"/>
      <c r="C11" s="369"/>
      <c r="D11" s="369"/>
      <c r="E11" s="369"/>
      <c r="F11" s="369"/>
      <c r="G11" s="369"/>
      <c r="H11" s="369"/>
      <c r="I11" s="369"/>
      <c r="J11" s="383"/>
      <c r="K11" s="369"/>
      <c r="L11" s="373"/>
      <c r="M11" s="383">
        <v>0</v>
      </c>
      <c r="N11" s="121"/>
      <c r="O11" s="2"/>
    </row>
    <row r="12" spans="1:23" ht="17.25" thickTop="1" thickBot="1" x14ac:dyDescent="0.3">
      <c r="A12" s="896" t="s">
        <v>100</v>
      </c>
      <c r="B12" s="475">
        <f>SUM(B7:B10)</f>
        <v>394398</v>
      </c>
      <c r="C12" s="476">
        <f t="shared" ref="C12:L12" si="0">SUM(C7:C10)</f>
        <v>1543944</v>
      </c>
      <c r="D12" s="476">
        <f t="shared" si="0"/>
        <v>3182424</v>
      </c>
      <c r="E12" s="476">
        <f t="shared" si="0"/>
        <v>3319352</v>
      </c>
      <c r="F12" s="476">
        <f t="shared" si="0"/>
        <v>3337549</v>
      </c>
      <c r="G12" s="476">
        <f t="shared" si="0"/>
        <v>3860513</v>
      </c>
      <c r="H12" s="476">
        <f t="shared" si="0"/>
        <v>3822469</v>
      </c>
      <c r="I12" s="476">
        <f t="shared" si="0"/>
        <v>3733146</v>
      </c>
      <c r="J12" s="477">
        <f t="shared" si="0"/>
        <v>5350158</v>
      </c>
      <c r="K12" s="476">
        <f>SUM(K7:K10)</f>
        <v>5736967</v>
      </c>
      <c r="L12" s="478">
        <f t="shared" si="0"/>
        <v>570937</v>
      </c>
      <c r="M12" s="433">
        <f>SUM(M7:M10)</f>
        <v>5686967</v>
      </c>
      <c r="N12" s="126"/>
      <c r="O12" s="2"/>
    </row>
    <row r="13" spans="1:23" x14ac:dyDescent="0.25">
      <c r="A13" s="858"/>
      <c r="B13" s="407"/>
      <c r="C13" s="312"/>
      <c r="D13" s="312"/>
      <c r="E13" s="312"/>
      <c r="F13" s="312"/>
      <c r="G13" s="312"/>
      <c r="H13" s="312"/>
      <c r="I13" s="312"/>
      <c r="J13" s="400"/>
      <c r="K13" s="312"/>
      <c r="L13" s="444"/>
      <c r="M13" s="312"/>
      <c r="N13" s="126"/>
      <c r="O13" s="2"/>
    </row>
    <row r="14" spans="1:23" ht="16.5" thickBot="1" x14ac:dyDescent="0.3">
      <c r="A14" s="874"/>
      <c r="B14" s="380"/>
      <c r="C14" s="313"/>
      <c r="D14" s="313"/>
      <c r="E14" s="313"/>
      <c r="F14" s="313"/>
      <c r="G14" s="313"/>
      <c r="H14" s="313"/>
      <c r="I14" s="313"/>
      <c r="J14" s="381"/>
      <c r="K14" s="313"/>
      <c r="L14" s="372"/>
      <c r="M14" s="313"/>
      <c r="N14" s="126"/>
      <c r="O14" s="2"/>
    </row>
    <row r="15" spans="1:23" ht="18.75" x14ac:dyDescent="0.3">
      <c r="A15" s="860" t="s">
        <v>332</v>
      </c>
      <c r="B15" s="521">
        <v>2009</v>
      </c>
      <c r="C15" s="522">
        <v>2010</v>
      </c>
      <c r="D15" s="522">
        <v>2011</v>
      </c>
      <c r="E15" s="522">
        <v>2012</v>
      </c>
      <c r="F15" s="522">
        <v>2013</v>
      </c>
      <c r="G15" s="522">
        <v>2014</v>
      </c>
      <c r="H15" s="522">
        <v>2015</v>
      </c>
      <c r="I15" s="522">
        <v>2016</v>
      </c>
      <c r="J15" s="523">
        <v>2017</v>
      </c>
      <c r="K15" s="522">
        <v>2018</v>
      </c>
      <c r="L15" s="524">
        <v>2019</v>
      </c>
      <c r="M15" s="520">
        <v>2018</v>
      </c>
      <c r="N15" s="535"/>
      <c r="O15" s="2"/>
    </row>
    <row r="16" spans="1:23" x14ac:dyDescent="0.25">
      <c r="A16" s="851" t="s">
        <v>92</v>
      </c>
      <c r="B16" s="380">
        <f>2089800-359189</f>
        <v>1730611</v>
      </c>
      <c r="C16" s="315">
        <f>301504+765310+133950+469522</f>
        <v>1670286</v>
      </c>
      <c r="D16" s="315">
        <v>3607144</v>
      </c>
      <c r="E16" s="315">
        <v>3728933</v>
      </c>
      <c r="F16" s="315">
        <v>4221458</v>
      </c>
      <c r="G16" s="315">
        <v>4730495</v>
      </c>
      <c r="H16" s="315">
        <v>4677190</v>
      </c>
      <c r="I16" s="315">
        <v>5095909</v>
      </c>
      <c r="J16" s="381">
        <v>5963225</v>
      </c>
      <c r="K16" s="315">
        <v>6881917</v>
      </c>
      <c r="L16" s="372">
        <v>5795486</v>
      </c>
      <c r="M16" s="381">
        <v>6913073</v>
      </c>
      <c r="N16" s="126"/>
      <c r="O16" s="10"/>
    </row>
    <row r="17" spans="1:23" x14ac:dyDescent="0.25">
      <c r="A17" s="852" t="s">
        <v>88</v>
      </c>
      <c r="B17" s="380">
        <v>0</v>
      </c>
      <c r="C17" s="315">
        <v>0</v>
      </c>
      <c r="D17" s="315">
        <v>0</v>
      </c>
      <c r="E17" s="315">
        <v>0</v>
      </c>
      <c r="F17" s="315">
        <v>0</v>
      </c>
      <c r="G17" s="315">
        <v>0</v>
      </c>
      <c r="H17" s="315">
        <v>0</v>
      </c>
      <c r="I17" s="315">
        <v>0</v>
      </c>
      <c r="J17" s="381">
        <v>0</v>
      </c>
      <c r="K17" s="315">
        <v>0</v>
      </c>
      <c r="L17" s="372">
        <v>0</v>
      </c>
      <c r="M17" s="381">
        <v>0</v>
      </c>
      <c r="N17" s="127"/>
    </row>
    <row r="18" spans="1:23" x14ac:dyDescent="0.25">
      <c r="A18" s="853" t="s">
        <v>93</v>
      </c>
      <c r="B18" s="380">
        <v>1969045</v>
      </c>
      <c r="C18" s="315">
        <v>1851784</v>
      </c>
      <c r="D18" s="315">
        <v>0</v>
      </c>
      <c r="E18" s="315">
        <v>0</v>
      </c>
      <c r="F18" s="315">
        <v>0</v>
      </c>
      <c r="G18" s="315">
        <v>0</v>
      </c>
      <c r="H18" s="315">
        <v>0</v>
      </c>
      <c r="I18" s="315">
        <v>0</v>
      </c>
      <c r="J18" s="381">
        <v>0</v>
      </c>
      <c r="K18" s="315">
        <v>0</v>
      </c>
      <c r="L18" s="372">
        <v>0</v>
      </c>
      <c r="M18" s="381">
        <v>0</v>
      </c>
    </row>
    <row r="19" spans="1:23" x14ac:dyDescent="0.25">
      <c r="A19" s="854" t="s">
        <v>78</v>
      </c>
      <c r="B19" s="380">
        <v>0</v>
      </c>
      <c r="C19" s="315">
        <v>0</v>
      </c>
      <c r="D19" s="315">
        <v>0</v>
      </c>
      <c r="E19" s="315">
        <v>0</v>
      </c>
      <c r="F19" s="315">
        <v>0</v>
      </c>
      <c r="G19" s="315">
        <v>0</v>
      </c>
      <c r="H19" s="315">
        <v>0</v>
      </c>
      <c r="I19" s="315">
        <v>0</v>
      </c>
      <c r="J19" s="381">
        <v>0</v>
      </c>
      <c r="K19" s="315">
        <v>0</v>
      </c>
      <c r="L19" s="372">
        <v>0</v>
      </c>
      <c r="M19" s="381">
        <v>0</v>
      </c>
      <c r="O19" s="1"/>
    </row>
    <row r="20" spans="1:23" ht="16.5" thickBot="1" x14ac:dyDescent="0.3">
      <c r="A20" s="907"/>
      <c r="B20" s="382"/>
      <c r="C20" s="369"/>
      <c r="D20" s="369"/>
      <c r="E20" s="369"/>
      <c r="F20" s="369"/>
      <c r="G20" s="369"/>
      <c r="H20" s="369"/>
      <c r="I20" s="369"/>
      <c r="J20" s="383"/>
      <c r="K20" s="369"/>
      <c r="L20" s="373"/>
      <c r="M20" s="383">
        <v>0</v>
      </c>
      <c r="N20" s="488"/>
      <c r="O20" s="1"/>
    </row>
    <row r="21" spans="1:23" ht="17.25" thickTop="1" thickBot="1" x14ac:dyDescent="0.3">
      <c r="A21" s="896" t="s">
        <v>102</v>
      </c>
      <c r="B21" s="475">
        <f t="shared" ref="B21:L21" si="1">SUM(B16:B19)</f>
        <v>3699656</v>
      </c>
      <c r="C21" s="476">
        <f t="shared" si="1"/>
        <v>3522070</v>
      </c>
      <c r="D21" s="476">
        <f t="shared" si="1"/>
        <v>3607144</v>
      </c>
      <c r="E21" s="476">
        <f t="shared" si="1"/>
        <v>3728933</v>
      </c>
      <c r="F21" s="476">
        <f t="shared" si="1"/>
        <v>4221458</v>
      </c>
      <c r="G21" s="476">
        <f t="shared" si="1"/>
        <v>4730495</v>
      </c>
      <c r="H21" s="476">
        <f t="shared" si="1"/>
        <v>4677190</v>
      </c>
      <c r="I21" s="476">
        <f t="shared" si="1"/>
        <v>5095909</v>
      </c>
      <c r="J21" s="477">
        <f t="shared" si="1"/>
        <v>5963225</v>
      </c>
      <c r="K21" s="476">
        <f>SUM(K16:K19)</f>
        <v>6881917</v>
      </c>
      <c r="L21" s="478">
        <f t="shared" si="1"/>
        <v>5795486</v>
      </c>
      <c r="M21" s="433">
        <f>SUM(M16:M19)</f>
        <v>6913073</v>
      </c>
      <c r="N21" s="488"/>
      <c r="O21" s="1"/>
    </row>
    <row r="22" spans="1:23" ht="18.75" x14ac:dyDescent="0.3">
      <c r="A22" s="861"/>
      <c r="B22" s="578"/>
      <c r="C22" s="579"/>
      <c r="D22" s="579"/>
      <c r="E22" s="579"/>
      <c r="F22" s="579"/>
      <c r="G22" s="579"/>
      <c r="H22" s="579"/>
      <c r="I22" s="579"/>
      <c r="J22" s="580"/>
      <c r="K22" s="579"/>
      <c r="L22" s="581"/>
      <c r="M22" s="580"/>
      <c r="N22" s="488"/>
      <c r="O22" s="1"/>
    </row>
    <row r="23" spans="1:23" x14ac:dyDescent="0.25">
      <c r="A23" s="875"/>
      <c r="B23" s="392"/>
      <c r="J23" s="393"/>
      <c r="L23" s="163"/>
      <c r="N23" s="120"/>
      <c r="O23" s="1"/>
      <c r="W23" s="145"/>
    </row>
    <row r="24" spans="1:23" x14ac:dyDescent="0.25">
      <c r="A24" s="875"/>
      <c r="B24" s="525">
        <v>2009</v>
      </c>
      <c r="C24" s="46">
        <v>2010</v>
      </c>
      <c r="D24" s="46">
        <v>2011</v>
      </c>
      <c r="E24" s="46">
        <v>2012</v>
      </c>
      <c r="F24" s="46">
        <v>2013</v>
      </c>
      <c r="G24" s="46">
        <v>2014</v>
      </c>
      <c r="H24" s="46">
        <v>2015</v>
      </c>
      <c r="I24" s="46">
        <v>2016</v>
      </c>
      <c r="J24" s="526">
        <v>2017</v>
      </c>
      <c r="K24" s="46">
        <v>2018</v>
      </c>
      <c r="L24" s="443">
        <v>2019</v>
      </c>
      <c r="M24" s="146">
        <v>2018</v>
      </c>
      <c r="N24" s="120"/>
      <c r="O24" s="1"/>
      <c r="W24" s="145"/>
    </row>
    <row r="25" spans="1:23" x14ac:dyDescent="0.25">
      <c r="A25" s="851" t="s">
        <v>152</v>
      </c>
      <c r="B25" s="610">
        <f t="shared" ref="B25:M25" si="2">+B16/B26</f>
        <v>27.399559861942308</v>
      </c>
      <c r="C25" s="611">
        <f t="shared" si="2"/>
        <v>24.656579374686309</v>
      </c>
      <c r="D25" s="611">
        <f t="shared" si="2"/>
        <v>52.459155626008929</v>
      </c>
      <c r="E25" s="611">
        <f t="shared" si="2"/>
        <v>53.776741033443415</v>
      </c>
      <c r="F25" s="611">
        <f t="shared" si="2"/>
        <v>59.98945573397755</v>
      </c>
      <c r="G25" s="611">
        <f t="shared" si="2"/>
        <v>66.60136286201022</v>
      </c>
      <c r="H25" s="611">
        <f t="shared" si="2"/>
        <v>63.70457640969763</v>
      </c>
      <c r="I25" s="611">
        <f t="shared" si="2"/>
        <v>68.507212475633523</v>
      </c>
      <c r="J25" s="612">
        <f t="shared" si="2"/>
        <v>78.629021624472571</v>
      </c>
      <c r="K25" s="611">
        <f t="shared" si="2"/>
        <v>89.072467707281717</v>
      </c>
      <c r="L25" s="613">
        <f t="shared" si="2"/>
        <v>73.379159280830592</v>
      </c>
      <c r="M25" s="608">
        <f t="shared" si="2"/>
        <v>89.47571898216458</v>
      </c>
      <c r="N25" s="488"/>
      <c r="O25" s="1"/>
      <c r="W25" s="145"/>
    </row>
    <row r="26" spans="1:23" x14ac:dyDescent="0.25">
      <c r="A26" s="875" t="s">
        <v>340</v>
      </c>
      <c r="B26" s="515">
        <f>Stats!D4</f>
        <v>63162</v>
      </c>
      <c r="C26" s="125">
        <f>Stats!E4</f>
        <v>67742</v>
      </c>
      <c r="D26" s="125">
        <f>Stats!F4</f>
        <v>68761</v>
      </c>
      <c r="E26" s="125">
        <f>Stats!G4</f>
        <v>69341</v>
      </c>
      <c r="F26" s="125">
        <f>Stats!H4</f>
        <v>70370</v>
      </c>
      <c r="G26" s="125">
        <f>Stats!I4</f>
        <v>71027</v>
      </c>
      <c r="H26" s="125">
        <f>Stats!J4</f>
        <v>73420</v>
      </c>
      <c r="I26" s="125">
        <f>Stats!K4</f>
        <v>74385</v>
      </c>
      <c r="J26" s="483">
        <f>Stats!L4</f>
        <v>75840</v>
      </c>
      <c r="K26" s="125">
        <f>Stats!M4</f>
        <v>77262</v>
      </c>
      <c r="L26" s="486">
        <f>Stats!N4</f>
        <v>78980</v>
      </c>
      <c r="M26" s="404">
        <f>Stats!M4</f>
        <v>77262</v>
      </c>
      <c r="N26" s="488"/>
      <c r="O26" s="1"/>
    </row>
    <row r="27" spans="1:23" x14ac:dyDescent="0.25">
      <c r="A27" s="875"/>
      <c r="B27" s="392"/>
      <c r="C27" s="50"/>
      <c r="D27" s="50"/>
      <c r="E27" s="50"/>
      <c r="F27" s="50"/>
      <c r="G27" s="50"/>
      <c r="H27" s="50"/>
      <c r="I27" s="50"/>
      <c r="J27" s="393"/>
      <c r="K27" s="50"/>
      <c r="L27" s="163"/>
      <c r="M27" s="393"/>
      <c r="N27" s="488"/>
      <c r="O27" s="1"/>
    </row>
    <row r="28" spans="1:23" x14ac:dyDescent="0.25">
      <c r="A28" s="851" t="s">
        <v>130</v>
      </c>
      <c r="B28" s="614">
        <f t="shared" ref="B28:M28" si="3">+B16/B29</f>
        <v>38586.644370122638</v>
      </c>
      <c r="C28" s="615">
        <f t="shared" si="3"/>
        <v>37832.072480181203</v>
      </c>
      <c r="D28" s="615">
        <f t="shared" si="3"/>
        <v>82637.892325315013</v>
      </c>
      <c r="E28" s="615">
        <f t="shared" si="3"/>
        <v>84941.526195899773</v>
      </c>
      <c r="F28" s="615">
        <f t="shared" si="3"/>
        <v>94376.436396154706</v>
      </c>
      <c r="G28" s="615">
        <f t="shared" si="3"/>
        <v>105356.23608017818</v>
      </c>
      <c r="H28" s="615">
        <f t="shared" si="3"/>
        <v>104448.19115676641</v>
      </c>
      <c r="I28" s="615">
        <f t="shared" si="3"/>
        <v>111312.99694189602</v>
      </c>
      <c r="J28" s="616">
        <f t="shared" si="3"/>
        <v>146336.80981595092</v>
      </c>
      <c r="K28" s="615">
        <f t="shared" si="3"/>
        <v>160980.51461988303</v>
      </c>
      <c r="L28" s="617">
        <f t="shared" si="3"/>
        <v>135566.92397660817</v>
      </c>
      <c r="M28" s="609">
        <f t="shared" si="3"/>
        <v>161709.30994152048</v>
      </c>
      <c r="N28" s="488"/>
      <c r="O28" s="1"/>
    </row>
    <row r="29" spans="1:23" x14ac:dyDescent="0.25">
      <c r="A29" s="875" t="s">
        <v>341</v>
      </c>
      <c r="B29" s="515">
        <f>+B41</f>
        <v>44.849999999999994</v>
      </c>
      <c r="C29" s="125">
        <f t="shared" ref="C29:L29" si="4">+C41</f>
        <v>44.15</v>
      </c>
      <c r="D29" s="125">
        <f t="shared" si="4"/>
        <v>43.65</v>
      </c>
      <c r="E29" s="125">
        <f t="shared" si="4"/>
        <v>43.9</v>
      </c>
      <c r="F29" s="125">
        <f t="shared" si="4"/>
        <v>44.73</v>
      </c>
      <c r="G29" s="125">
        <f t="shared" si="4"/>
        <v>44.9</v>
      </c>
      <c r="H29" s="125">
        <f t="shared" si="4"/>
        <v>44.78</v>
      </c>
      <c r="I29" s="125">
        <f t="shared" si="4"/>
        <v>45.78</v>
      </c>
      <c r="J29" s="483">
        <f t="shared" si="4"/>
        <v>40.75</v>
      </c>
      <c r="K29" s="125">
        <f t="shared" ref="K29" si="5">+K41</f>
        <v>42.75</v>
      </c>
      <c r="L29" s="486">
        <f t="shared" si="4"/>
        <v>42.75</v>
      </c>
      <c r="M29" s="406">
        <f>+M41</f>
        <v>42.75</v>
      </c>
      <c r="N29" s="488"/>
      <c r="O29" s="1"/>
    </row>
    <row r="30" spans="1:23" s="278" customFormat="1" x14ac:dyDescent="0.25">
      <c r="A30" s="875"/>
      <c r="B30" s="515"/>
      <c r="C30" s="125"/>
      <c r="D30" s="125"/>
      <c r="E30" s="125"/>
      <c r="F30" s="125"/>
      <c r="G30" s="125"/>
      <c r="H30" s="125"/>
      <c r="I30" s="125"/>
      <c r="J30" s="483"/>
      <c r="K30" s="125"/>
      <c r="L30" s="486"/>
      <c r="M30" s="405"/>
      <c r="N30" s="488"/>
      <c r="O30" s="1"/>
    </row>
    <row r="31" spans="1:23" x14ac:dyDescent="0.25">
      <c r="A31" s="877"/>
      <c r="B31" s="408"/>
      <c r="C31" s="124"/>
      <c r="D31" s="124"/>
      <c r="E31" s="124"/>
      <c r="F31" s="124"/>
      <c r="G31" s="124"/>
      <c r="H31" s="124"/>
      <c r="I31" s="124"/>
      <c r="J31" s="410"/>
      <c r="K31" s="124"/>
      <c r="L31" s="449"/>
      <c r="M31" s="124"/>
      <c r="N31" s="120"/>
      <c r="O31" s="1"/>
      <c r="W31" s="19"/>
    </row>
    <row r="32" spans="1:23" x14ac:dyDescent="0.25">
      <c r="A32" s="877"/>
      <c r="B32" s="408"/>
      <c r="C32" s="124"/>
      <c r="D32" s="124"/>
      <c r="E32" s="124"/>
      <c r="F32" s="124"/>
      <c r="G32" s="124"/>
      <c r="H32" s="124"/>
      <c r="I32" s="124"/>
      <c r="J32" s="410"/>
      <c r="K32" s="124"/>
      <c r="L32" s="449"/>
      <c r="M32" s="124"/>
      <c r="N32" s="120"/>
      <c r="O32" s="1"/>
      <c r="W32" t="s">
        <v>376</v>
      </c>
    </row>
    <row r="33" spans="1:15" x14ac:dyDescent="0.25">
      <c r="A33" s="862"/>
      <c r="B33" s="411"/>
      <c r="C33" s="215"/>
      <c r="D33" s="215"/>
      <c r="E33" s="215"/>
      <c r="F33" s="215"/>
      <c r="G33" s="215"/>
      <c r="H33" s="215"/>
      <c r="I33" s="215"/>
      <c r="J33" s="412"/>
      <c r="K33" s="215"/>
      <c r="L33" s="450"/>
      <c r="M33" s="215"/>
      <c r="N33" s="120"/>
      <c r="O33" s="1"/>
    </row>
    <row r="34" spans="1:15" x14ac:dyDescent="0.25">
      <c r="A34" s="878" t="s">
        <v>60</v>
      </c>
      <c r="B34" s="413"/>
      <c r="C34" s="15"/>
      <c r="D34" s="15"/>
      <c r="E34" s="15"/>
      <c r="F34" s="15"/>
      <c r="G34" s="15"/>
      <c r="H34" s="15"/>
      <c r="I34" s="15"/>
      <c r="J34" s="415"/>
      <c r="K34" s="15"/>
      <c r="L34" s="451"/>
      <c r="M34" s="15"/>
      <c r="N34" s="120"/>
      <c r="O34" s="1"/>
    </row>
    <row r="35" spans="1:15" x14ac:dyDescent="0.25">
      <c r="A35" s="879" t="s">
        <v>19</v>
      </c>
      <c r="B35" s="791">
        <v>2.75</v>
      </c>
      <c r="C35" s="745">
        <v>2.75</v>
      </c>
      <c r="D35" s="745">
        <v>2.75</v>
      </c>
      <c r="E35" s="745">
        <v>2.15</v>
      </c>
      <c r="F35" s="745">
        <v>2</v>
      </c>
      <c r="G35" s="745">
        <v>2</v>
      </c>
      <c r="H35" s="745">
        <v>2</v>
      </c>
      <c r="I35" s="745">
        <v>3</v>
      </c>
      <c r="J35" s="746">
        <v>2</v>
      </c>
      <c r="K35" s="745">
        <v>2</v>
      </c>
      <c r="L35" s="794">
        <v>2</v>
      </c>
      <c r="M35" s="22">
        <v>2</v>
      </c>
      <c r="N35" s="120"/>
      <c r="O35" s="1"/>
    </row>
    <row r="36" spans="1:15" x14ac:dyDescent="0.25">
      <c r="A36" s="879" t="s">
        <v>168</v>
      </c>
      <c r="B36" s="791">
        <v>10</v>
      </c>
      <c r="C36" s="745">
        <v>10</v>
      </c>
      <c r="D36" s="745">
        <v>10</v>
      </c>
      <c r="E36" s="745">
        <v>9.85</v>
      </c>
      <c r="F36" s="745">
        <v>9.85</v>
      </c>
      <c r="G36" s="745">
        <v>9.65</v>
      </c>
      <c r="H36" s="745">
        <v>9.1999999999999993</v>
      </c>
      <c r="I36" s="745">
        <v>9.5</v>
      </c>
      <c r="J36" s="746">
        <v>14</v>
      </c>
      <c r="K36" s="745">
        <v>14</v>
      </c>
      <c r="L36" s="794">
        <v>14</v>
      </c>
      <c r="M36" s="22">
        <v>14</v>
      </c>
      <c r="N36" s="120"/>
      <c r="O36" s="1"/>
    </row>
    <row r="37" spans="1:15" x14ac:dyDescent="0.25">
      <c r="A37" s="879" t="s">
        <v>169</v>
      </c>
      <c r="B37" s="791">
        <v>0</v>
      </c>
      <c r="C37" s="745"/>
      <c r="D37" s="745">
        <v>0</v>
      </c>
      <c r="E37" s="745">
        <v>1</v>
      </c>
      <c r="F37" s="745">
        <v>1</v>
      </c>
      <c r="G37" s="745">
        <v>1.35</v>
      </c>
      <c r="H37" s="745">
        <v>1.8</v>
      </c>
      <c r="I37" s="745">
        <v>1.5</v>
      </c>
      <c r="J37" s="746">
        <v>0</v>
      </c>
      <c r="K37" s="745">
        <v>0</v>
      </c>
      <c r="L37" s="794">
        <v>0</v>
      </c>
      <c r="M37" s="22">
        <v>0</v>
      </c>
      <c r="N37" s="120"/>
      <c r="O37" s="1"/>
    </row>
    <row r="38" spans="1:15" x14ac:dyDescent="0.25">
      <c r="A38" s="879" t="s">
        <v>170</v>
      </c>
      <c r="B38" s="791">
        <v>2</v>
      </c>
      <c r="C38" s="745">
        <v>1</v>
      </c>
      <c r="D38" s="745">
        <v>1</v>
      </c>
      <c r="E38" s="745">
        <v>1</v>
      </c>
      <c r="F38" s="745">
        <v>2</v>
      </c>
      <c r="G38" s="745">
        <v>2</v>
      </c>
      <c r="H38" s="745">
        <v>2</v>
      </c>
      <c r="I38" s="745">
        <v>2</v>
      </c>
      <c r="J38" s="746">
        <v>2</v>
      </c>
      <c r="K38" s="745">
        <v>3</v>
      </c>
      <c r="L38" s="794">
        <v>3</v>
      </c>
      <c r="M38" s="22">
        <v>3</v>
      </c>
      <c r="N38" s="120"/>
      <c r="O38" s="1"/>
    </row>
    <row r="39" spans="1:15" x14ac:dyDescent="0.25">
      <c r="A39" s="879" t="s">
        <v>171</v>
      </c>
      <c r="B39" s="791">
        <f>4.7+25.4</f>
        <v>30.099999999999998</v>
      </c>
      <c r="C39" s="744">
        <f>5+25.4</f>
        <v>30.4</v>
      </c>
      <c r="D39" s="744">
        <v>29.9</v>
      </c>
      <c r="E39" s="744">
        <v>29.9</v>
      </c>
      <c r="F39" s="744">
        <v>29.88</v>
      </c>
      <c r="G39" s="744">
        <v>29.9</v>
      </c>
      <c r="H39" s="744">
        <v>29.78</v>
      </c>
      <c r="I39" s="744">
        <v>29.78</v>
      </c>
      <c r="J39" s="746">
        <v>5.5</v>
      </c>
      <c r="K39" s="744">
        <v>5.5</v>
      </c>
      <c r="L39" s="794">
        <v>5.5</v>
      </c>
      <c r="M39" s="275">
        <v>5.5</v>
      </c>
      <c r="N39" s="120"/>
      <c r="O39" s="1"/>
    </row>
    <row r="40" spans="1:15" ht="16.5" thickBot="1" x14ac:dyDescent="0.3">
      <c r="A40" s="879" t="s">
        <v>268</v>
      </c>
      <c r="B40" s="938">
        <v>0</v>
      </c>
      <c r="C40" s="799"/>
      <c r="D40" s="799">
        <v>0</v>
      </c>
      <c r="E40" s="799">
        <v>0</v>
      </c>
      <c r="F40" s="799">
        <v>0</v>
      </c>
      <c r="G40" s="799">
        <v>0</v>
      </c>
      <c r="H40" s="799">
        <v>0</v>
      </c>
      <c r="I40" s="799">
        <v>0</v>
      </c>
      <c r="J40" s="939">
        <v>17.25</v>
      </c>
      <c r="K40" s="799">
        <v>18.25</v>
      </c>
      <c r="L40" s="940">
        <v>18.25</v>
      </c>
      <c r="M40" s="34">
        <v>18.25</v>
      </c>
      <c r="N40" s="120"/>
      <c r="O40" s="1"/>
    </row>
    <row r="41" spans="1:15" x14ac:dyDescent="0.25">
      <c r="A41" s="880" t="s">
        <v>335</v>
      </c>
      <c r="B41" s="618">
        <f>SUM(B35:B40)</f>
        <v>44.849999999999994</v>
      </c>
      <c r="C41" s="619">
        <f t="shared" ref="C41:L41" si="6">SUM(C35:C40)</f>
        <v>44.15</v>
      </c>
      <c r="D41" s="619">
        <f t="shared" si="6"/>
        <v>43.65</v>
      </c>
      <c r="E41" s="619">
        <f t="shared" si="6"/>
        <v>43.9</v>
      </c>
      <c r="F41" s="619">
        <f t="shared" si="6"/>
        <v>44.73</v>
      </c>
      <c r="G41" s="619">
        <f t="shared" si="6"/>
        <v>44.9</v>
      </c>
      <c r="H41" s="619">
        <f t="shared" si="6"/>
        <v>44.78</v>
      </c>
      <c r="I41" s="619">
        <f t="shared" si="6"/>
        <v>45.78</v>
      </c>
      <c r="J41" s="620">
        <f t="shared" si="6"/>
        <v>40.75</v>
      </c>
      <c r="K41" s="619">
        <f>SUM(K35:K40)</f>
        <v>42.75</v>
      </c>
      <c r="L41" s="621">
        <f t="shared" si="6"/>
        <v>42.75</v>
      </c>
      <c r="M41" s="302">
        <f>SUM(M35:M40)</f>
        <v>42.75</v>
      </c>
      <c r="N41" s="120"/>
      <c r="O41" s="1"/>
    </row>
    <row r="42" spans="1:15" x14ac:dyDescent="0.25">
      <c r="A42" s="974"/>
      <c r="B42" s="416"/>
      <c r="C42" s="93"/>
      <c r="D42" s="93"/>
      <c r="E42" s="93"/>
      <c r="F42" s="93"/>
      <c r="G42" s="93"/>
      <c r="H42" s="114"/>
      <c r="I42" s="114"/>
      <c r="J42" s="419"/>
      <c r="K42" s="114"/>
      <c r="L42" s="455"/>
      <c r="M42" s="114"/>
      <c r="N42" s="120"/>
      <c r="O42" s="1"/>
    </row>
    <row r="43" spans="1:15" x14ac:dyDescent="0.25">
      <c r="A43" s="975"/>
      <c r="B43" s="416"/>
      <c r="C43" s="93"/>
      <c r="D43" s="93"/>
      <c r="E43" s="93"/>
      <c r="F43" s="93"/>
      <c r="G43" s="93"/>
      <c r="H43" s="93"/>
      <c r="I43" s="93"/>
      <c r="J43" s="417"/>
      <c r="K43" s="93"/>
      <c r="L43" s="109"/>
      <c r="M43" s="93"/>
      <c r="N43" s="120"/>
      <c r="O43" s="1"/>
    </row>
    <row r="44" spans="1:15" x14ac:dyDescent="0.25">
      <c r="A44" s="884"/>
      <c r="B44" s="416"/>
      <c r="C44" s="193"/>
      <c r="D44" s="193"/>
      <c r="E44" s="193"/>
      <c r="F44" s="193"/>
      <c r="G44" s="193"/>
      <c r="H44" s="193"/>
      <c r="I44" s="193"/>
      <c r="J44" s="501"/>
      <c r="K44" s="193"/>
      <c r="L44" s="465"/>
      <c r="M44" s="193"/>
      <c r="N44" s="120"/>
      <c r="O44" s="1"/>
    </row>
    <row r="45" spans="1:15" x14ac:dyDescent="0.25">
      <c r="A45" s="885"/>
      <c r="B45" s="416"/>
      <c r="C45" s="93"/>
      <c r="D45" s="93"/>
      <c r="E45" s="93"/>
      <c r="F45" s="93"/>
      <c r="G45" s="93"/>
      <c r="H45" s="93"/>
      <c r="I45" s="93"/>
      <c r="J45" s="417"/>
      <c r="K45" s="193"/>
      <c r="L45" s="465"/>
      <c r="M45" s="93"/>
      <c r="N45" s="120"/>
      <c r="O45" s="1"/>
    </row>
    <row r="46" spans="1:15" x14ac:dyDescent="0.25">
      <c r="A46" s="882"/>
      <c r="B46" s="416"/>
      <c r="C46" s="93"/>
      <c r="D46" s="93"/>
      <c r="E46" s="93"/>
      <c r="F46" s="93"/>
      <c r="G46" s="93"/>
      <c r="H46" s="93"/>
      <c r="I46" s="93"/>
      <c r="J46" s="417"/>
      <c r="K46" s="93"/>
      <c r="L46" s="109"/>
      <c r="M46" s="93"/>
      <c r="N46" s="120"/>
      <c r="O46" s="1"/>
    </row>
    <row r="47" spans="1:15" x14ac:dyDescent="0.25">
      <c r="A47" s="976"/>
      <c r="B47" s="416"/>
      <c r="C47" s="93"/>
      <c r="D47" s="93"/>
      <c r="E47" s="93"/>
      <c r="F47" s="93"/>
      <c r="G47" s="93"/>
      <c r="H47" s="93"/>
      <c r="I47" s="93"/>
      <c r="J47" s="417"/>
      <c r="K47" s="93"/>
      <c r="L47" s="109"/>
      <c r="M47" s="93"/>
      <c r="N47" s="120"/>
      <c r="O47" s="1"/>
    </row>
    <row r="48" spans="1:15" x14ac:dyDescent="0.25">
      <c r="A48" s="863"/>
      <c r="B48" s="416"/>
      <c r="C48" s="93"/>
      <c r="D48" s="93"/>
      <c r="E48" s="93"/>
      <c r="F48" s="93"/>
      <c r="G48" s="93"/>
      <c r="H48" s="93"/>
      <c r="I48" s="93"/>
      <c r="J48" s="417"/>
      <c r="K48" s="93"/>
      <c r="L48" s="109"/>
      <c r="M48" s="93"/>
      <c r="N48" s="120"/>
      <c r="O48" s="1"/>
    </row>
    <row r="49" spans="1:15" x14ac:dyDescent="0.25">
      <c r="A49" s="863"/>
      <c r="B49" s="416"/>
      <c r="C49" s="93"/>
      <c r="D49" s="93"/>
      <c r="E49" s="93"/>
      <c r="F49" s="93"/>
      <c r="G49" s="93"/>
      <c r="H49" s="93"/>
      <c r="I49" s="93"/>
      <c r="J49" s="417"/>
      <c r="K49" s="93"/>
      <c r="L49" s="109"/>
      <c r="M49" s="93"/>
      <c r="N49" s="120"/>
      <c r="O49" s="1"/>
    </row>
    <row r="50" spans="1:15" x14ac:dyDescent="0.25">
      <c r="A50" s="882"/>
      <c r="B50" s="416"/>
      <c r="C50" s="93"/>
      <c r="D50" s="93"/>
      <c r="E50" s="93"/>
      <c r="F50" s="93"/>
      <c r="G50" s="93"/>
      <c r="H50" s="93"/>
      <c r="I50" s="93"/>
      <c r="J50" s="417"/>
      <c r="K50" s="93"/>
      <c r="L50" s="109"/>
      <c r="M50" s="93"/>
      <c r="N50" s="120"/>
      <c r="O50" s="1"/>
    </row>
    <row r="51" spans="1:15" x14ac:dyDescent="0.25">
      <c r="A51" s="882"/>
      <c r="B51" s="416"/>
      <c r="C51" s="93"/>
      <c r="D51" s="93"/>
      <c r="E51" s="93"/>
      <c r="F51" s="93"/>
      <c r="G51" s="93"/>
      <c r="H51" s="93"/>
      <c r="I51" s="93"/>
      <c r="J51" s="417"/>
      <c r="K51" s="93"/>
      <c r="L51" s="109"/>
      <c r="M51" s="93"/>
      <c r="N51" s="120"/>
      <c r="O51" s="1"/>
    </row>
    <row r="52" spans="1:15" x14ac:dyDescent="0.25">
      <c r="A52" s="883"/>
      <c r="B52" s="416"/>
      <c r="C52" s="93"/>
      <c r="D52" s="93"/>
      <c r="E52" s="93"/>
      <c r="F52" s="93"/>
      <c r="G52" s="93"/>
      <c r="H52" s="93"/>
      <c r="I52" s="93"/>
      <c r="J52" s="417"/>
      <c r="K52" s="93"/>
      <c r="L52" s="109"/>
      <c r="M52" s="93"/>
      <c r="N52" s="120"/>
      <c r="O52" s="1"/>
    </row>
    <row r="53" spans="1:15" x14ac:dyDescent="0.25">
      <c r="A53" s="863"/>
      <c r="B53" s="416"/>
      <c r="C53" s="93"/>
      <c r="D53" s="93"/>
      <c r="E53" s="93"/>
      <c r="F53" s="93"/>
      <c r="G53" s="93"/>
      <c r="H53" s="93"/>
      <c r="I53" s="93"/>
      <c r="J53" s="417"/>
      <c r="K53" s="93"/>
      <c r="L53" s="109"/>
      <c r="M53" s="93"/>
      <c r="N53" s="120"/>
      <c r="O53" s="1"/>
    </row>
    <row r="54" spans="1:15" x14ac:dyDescent="0.25">
      <c r="A54" s="863"/>
      <c r="B54" s="416"/>
      <c r="C54" s="93"/>
      <c r="D54" s="93"/>
      <c r="E54" s="93"/>
      <c r="F54" s="93"/>
      <c r="G54" s="93"/>
      <c r="H54" s="93"/>
      <c r="I54" s="93"/>
      <c r="J54" s="417"/>
      <c r="K54" s="93"/>
      <c r="L54" s="109"/>
      <c r="M54" s="93"/>
      <c r="N54" s="120"/>
      <c r="O54" s="1"/>
    </row>
    <row r="55" spans="1:15" x14ac:dyDescent="0.25">
      <c r="A55" s="863"/>
      <c r="B55" s="416"/>
      <c r="C55" s="93"/>
      <c r="D55" s="93"/>
      <c r="E55" s="93"/>
      <c r="F55" s="93"/>
      <c r="G55" s="93"/>
      <c r="H55" s="93"/>
      <c r="I55" s="93"/>
      <c r="J55" s="417"/>
      <c r="K55" s="93"/>
      <c r="L55" s="109"/>
      <c r="M55" s="93"/>
      <c r="N55" s="120"/>
      <c r="O55" s="1"/>
    </row>
    <row r="56" spans="1:15" x14ac:dyDescent="0.25">
      <c r="A56" s="882"/>
      <c r="B56" s="416"/>
      <c r="C56" s="93"/>
      <c r="D56" s="93"/>
      <c r="E56" s="93"/>
      <c r="F56" s="93"/>
      <c r="G56" s="93"/>
      <c r="H56" s="93"/>
      <c r="I56" s="93"/>
      <c r="J56" s="417"/>
      <c r="K56" s="93"/>
      <c r="L56" s="109"/>
      <c r="M56" s="93"/>
      <c r="N56" s="120"/>
      <c r="O56" s="1"/>
    </row>
    <row r="57" spans="1:15" x14ac:dyDescent="0.25">
      <c r="A57" s="882"/>
      <c r="B57" s="416"/>
      <c r="C57" s="93"/>
      <c r="D57" s="93"/>
      <c r="E57" s="93"/>
      <c r="F57" s="93"/>
      <c r="G57" s="93"/>
      <c r="H57" s="93"/>
      <c r="I57" s="93"/>
      <c r="J57" s="417"/>
      <c r="K57" s="93"/>
      <c r="L57" s="109"/>
      <c r="M57" s="93"/>
      <c r="N57" s="120"/>
      <c r="O57" s="1"/>
    </row>
    <row r="58" spans="1:15" x14ac:dyDescent="0.25">
      <c r="A58" s="887"/>
      <c r="B58" s="380"/>
      <c r="C58" s="105"/>
      <c r="D58" s="105"/>
      <c r="E58" s="105"/>
      <c r="F58" s="105"/>
      <c r="G58" s="105"/>
      <c r="H58" s="105"/>
      <c r="I58" s="105"/>
      <c r="J58" s="381"/>
      <c r="K58" s="105"/>
      <c r="L58" s="372"/>
      <c r="M58" s="105"/>
      <c r="N58" s="120"/>
      <c r="O58" s="1"/>
    </row>
    <row r="59" spans="1:15" x14ac:dyDescent="0.25">
      <c r="A59" s="887"/>
      <c r="B59" s="407"/>
      <c r="C59" s="116"/>
      <c r="D59" s="116"/>
      <c r="E59" s="116"/>
      <c r="F59" s="116"/>
      <c r="G59" s="116"/>
      <c r="H59" s="116"/>
      <c r="I59" s="116"/>
      <c r="J59" s="400"/>
      <c r="K59" s="116"/>
      <c r="L59" s="444"/>
      <c r="M59" s="116"/>
      <c r="N59" s="120"/>
      <c r="O59" s="1"/>
    </row>
    <row r="60" spans="1:15" x14ac:dyDescent="0.25">
      <c r="A60" s="888"/>
      <c r="B60" s="589"/>
      <c r="C60" s="104"/>
      <c r="D60" s="104"/>
      <c r="E60" s="104"/>
      <c r="F60" s="104"/>
      <c r="G60" s="104"/>
      <c r="H60" s="104"/>
      <c r="I60" s="104"/>
      <c r="J60" s="595"/>
      <c r="K60" s="104"/>
      <c r="L60" s="601"/>
      <c r="M60" s="104"/>
      <c r="N60" s="120"/>
      <c r="O60" s="1"/>
    </row>
    <row r="61" spans="1:15" x14ac:dyDescent="0.25">
      <c r="A61" s="888"/>
      <c r="B61" s="589"/>
      <c r="C61" s="104"/>
      <c r="D61" s="104"/>
      <c r="E61" s="104"/>
      <c r="F61" s="104"/>
      <c r="G61" s="104"/>
      <c r="H61" s="104"/>
      <c r="I61" s="104"/>
      <c r="J61" s="595"/>
      <c r="K61" s="104"/>
      <c r="L61" s="601"/>
      <c r="M61" s="104"/>
      <c r="N61" s="120"/>
      <c r="O61" s="1"/>
    </row>
    <row r="62" spans="1:15" x14ac:dyDescent="0.25">
      <c r="A62" s="888"/>
      <c r="B62" s="411"/>
      <c r="C62" s="215"/>
      <c r="D62" s="215"/>
      <c r="E62" s="215"/>
      <c r="F62" s="215"/>
      <c r="G62" s="215"/>
      <c r="H62" s="215"/>
      <c r="I62" s="215"/>
      <c r="J62" s="412"/>
      <c r="K62" s="215"/>
      <c r="L62" s="450"/>
      <c r="M62" s="215"/>
      <c r="N62" s="120"/>
      <c r="O62" s="1"/>
    </row>
    <row r="63" spans="1:15" x14ac:dyDescent="0.25">
      <c r="A63" s="887"/>
      <c r="B63" s="589"/>
      <c r="C63" s="104"/>
      <c r="D63" s="104"/>
      <c r="E63" s="104"/>
      <c r="F63" s="104"/>
      <c r="G63" s="104"/>
      <c r="H63" s="104"/>
      <c r="I63" s="104"/>
      <c r="J63" s="595"/>
      <c r="K63" s="104"/>
      <c r="L63" s="601"/>
      <c r="M63" s="104"/>
      <c r="N63" s="120"/>
      <c r="O63" s="1"/>
    </row>
    <row r="64" spans="1:15" x14ac:dyDescent="0.25">
      <c r="A64" s="887"/>
      <c r="B64" s="380"/>
      <c r="C64" s="105"/>
      <c r="D64" s="105"/>
      <c r="E64" s="105"/>
      <c r="F64" s="105"/>
      <c r="G64" s="105"/>
      <c r="H64" s="105"/>
      <c r="I64" s="105"/>
      <c r="J64" s="381"/>
      <c r="K64" s="105"/>
      <c r="L64" s="372"/>
      <c r="M64" s="105"/>
      <c r="N64" s="120"/>
      <c r="O64" s="1"/>
    </row>
    <row r="65" spans="1:15" x14ac:dyDescent="0.25">
      <c r="A65" s="882"/>
      <c r="B65" s="416"/>
      <c r="C65" s="93"/>
      <c r="D65" s="93"/>
      <c r="E65" s="93"/>
      <c r="F65" s="93"/>
      <c r="G65" s="93"/>
      <c r="H65" s="93"/>
      <c r="I65" s="93"/>
      <c r="J65" s="417"/>
      <c r="K65" s="93"/>
      <c r="L65" s="109"/>
      <c r="M65" s="93"/>
      <c r="N65" s="120"/>
      <c r="O65" s="1"/>
    </row>
    <row r="66" spans="1:15" x14ac:dyDescent="0.25">
      <c r="A66" s="882"/>
      <c r="B66" s="416"/>
      <c r="C66" s="93"/>
      <c r="D66" s="93"/>
      <c r="E66" s="93"/>
      <c r="F66" s="93"/>
      <c r="G66" s="93"/>
      <c r="H66" s="93"/>
      <c r="I66" s="93"/>
      <c r="J66" s="417"/>
      <c r="K66" s="93"/>
      <c r="L66" s="109"/>
      <c r="M66" s="93"/>
      <c r="N66" s="120"/>
      <c r="O66" s="1"/>
    </row>
    <row r="67" spans="1:15" x14ac:dyDescent="0.25">
      <c r="A67" s="114"/>
      <c r="B67" s="114"/>
      <c r="C67" s="114"/>
      <c r="D67" s="114"/>
      <c r="E67" s="114"/>
      <c r="F67" s="114"/>
      <c r="G67" s="114"/>
      <c r="H67" s="114"/>
      <c r="I67" s="114"/>
      <c r="J67" s="114"/>
      <c r="K67" s="114"/>
      <c r="L67" s="114"/>
      <c r="M67" s="114"/>
      <c r="N67" s="26"/>
      <c r="O67" s="1"/>
    </row>
    <row r="68" spans="1:15" x14ac:dyDescent="0.25">
      <c r="A68" s="199"/>
      <c r="B68" s="114"/>
      <c r="C68" s="114"/>
      <c r="D68" s="114"/>
      <c r="E68" s="114"/>
      <c r="F68" s="114"/>
      <c r="G68" s="114"/>
      <c r="H68" s="114"/>
      <c r="I68" s="114"/>
      <c r="J68" s="114"/>
      <c r="K68" s="114"/>
      <c r="L68" s="114"/>
      <c r="M68" s="114"/>
      <c r="N68" s="26"/>
      <c r="O68" s="1"/>
    </row>
    <row r="69" spans="1:15" x14ac:dyDescent="0.25">
      <c r="A69" s="199"/>
      <c r="B69" s="93"/>
      <c r="C69" s="93"/>
      <c r="D69" s="93"/>
      <c r="E69" s="93"/>
      <c r="F69" s="93"/>
      <c r="G69" s="93"/>
      <c r="H69" s="93"/>
      <c r="I69" s="93"/>
      <c r="J69" s="93"/>
      <c r="K69" s="93"/>
      <c r="L69" s="93"/>
      <c r="M69" s="93"/>
      <c r="N69" s="26"/>
      <c r="O69" s="1"/>
    </row>
    <row r="70" spans="1:15" x14ac:dyDescent="0.25">
      <c r="A70" s="199"/>
      <c r="B70" s="200"/>
      <c r="C70" s="200"/>
      <c r="D70" s="200"/>
      <c r="E70" s="200"/>
      <c r="F70" s="200"/>
      <c r="G70" s="200"/>
      <c r="H70" s="200"/>
      <c r="I70" s="200"/>
      <c r="J70" s="200"/>
      <c r="K70" s="200"/>
      <c r="L70" s="200"/>
      <c r="M70" s="200"/>
      <c r="N70" s="26"/>
      <c r="O70" s="1"/>
    </row>
    <row r="71" spans="1:15" x14ac:dyDescent="0.25">
      <c r="A71" s="201"/>
      <c r="B71" s="202"/>
      <c r="C71" s="202"/>
      <c r="D71" s="202"/>
      <c r="E71" s="202"/>
      <c r="F71" s="202"/>
      <c r="G71" s="202"/>
      <c r="H71" s="202"/>
      <c r="I71" s="202"/>
      <c r="J71" s="202"/>
      <c r="K71" s="202"/>
      <c r="L71" s="202"/>
      <c r="M71" s="202"/>
      <c r="N71" s="26"/>
      <c r="O71" s="1"/>
    </row>
    <row r="72" spans="1:15" x14ac:dyDescent="0.25">
      <c r="A72" s="201"/>
      <c r="B72" s="202"/>
      <c r="C72" s="202"/>
      <c r="D72" s="202"/>
      <c r="E72" s="202"/>
      <c r="F72" s="202"/>
      <c r="G72" s="202"/>
      <c r="H72" s="202"/>
      <c r="I72" s="202"/>
      <c r="J72" s="202"/>
      <c r="K72" s="202"/>
      <c r="L72" s="202"/>
      <c r="M72" s="202"/>
      <c r="N72" s="19"/>
    </row>
    <row r="73" spans="1:15" x14ac:dyDescent="0.25">
      <c r="A73" s="201"/>
      <c r="B73" s="202"/>
      <c r="C73" s="202"/>
      <c r="D73" s="202"/>
      <c r="E73" s="202"/>
      <c r="F73" s="202"/>
      <c r="G73" s="202"/>
      <c r="H73" s="202"/>
      <c r="I73" s="202"/>
      <c r="J73" s="202"/>
      <c r="K73" s="202"/>
      <c r="L73" s="202"/>
      <c r="M73" s="202"/>
      <c r="N73" s="26"/>
      <c r="O73" s="1"/>
    </row>
    <row r="74" spans="1:15" x14ac:dyDescent="0.25">
      <c r="A74" s="201"/>
      <c r="B74" s="202"/>
      <c r="C74" s="202"/>
      <c r="D74" s="202"/>
      <c r="E74" s="202"/>
      <c r="F74" s="202"/>
      <c r="G74" s="202"/>
      <c r="H74" s="202"/>
      <c r="I74" s="202"/>
      <c r="J74" s="202"/>
      <c r="K74" s="202"/>
      <c r="L74" s="202"/>
      <c r="M74" s="202"/>
      <c r="N74" s="26"/>
      <c r="O74" s="1"/>
    </row>
    <row r="75" spans="1:15" x14ac:dyDescent="0.25">
      <c r="A75" s="201"/>
      <c r="B75" s="202"/>
      <c r="C75" s="202"/>
      <c r="D75" s="202"/>
      <c r="E75" s="202"/>
      <c r="F75" s="202"/>
      <c r="G75" s="202"/>
      <c r="H75" s="202"/>
      <c r="I75" s="202"/>
      <c r="J75" s="202"/>
      <c r="K75" s="202"/>
      <c r="L75" s="202"/>
      <c r="M75" s="202"/>
      <c r="N75" s="26"/>
      <c r="O75" s="1"/>
    </row>
    <row r="76" spans="1:15" x14ac:dyDescent="0.25">
      <c r="A76" s="201"/>
      <c r="B76" s="202"/>
      <c r="C76" s="202"/>
      <c r="D76" s="202"/>
      <c r="E76" s="202"/>
      <c r="F76" s="202"/>
      <c r="G76" s="202"/>
      <c r="H76" s="202"/>
      <c r="I76" s="202"/>
      <c r="J76" s="202"/>
      <c r="K76" s="202"/>
      <c r="L76" s="202"/>
      <c r="M76" s="202"/>
      <c r="N76" s="26"/>
      <c r="O76" s="1"/>
    </row>
    <row r="77" spans="1:15" x14ac:dyDescent="0.25">
      <c r="A77" s="114"/>
      <c r="B77" s="114"/>
      <c r="C77" s="114"/>
      <c r="D77" s="114"/>
      <c r="E77" s="114"/>
      <c r="F77" s="114"/>
      <c r="G77" s="114"/>
      <c r="H77" s="114"/>
      <c r="I77" s="114"/>
      <c r="J77" s="114"/>
      <c r="K77" s="114"/>
      <c r="L77" s="114"/>
      <c r="M77" s="114"/>
      <c r="N77" s="26"/>
      <c r="O77" s="1"/>
    </row>
    <row r="78" spans="1:15" x14ac:dyDescent="0.25">
      <c r="A78" s="205"/>
      <c r="B78" s="200"/>
      <c r="C78" s="140"/>
      <c r="D78" s="140"/>
      <c r="E78" s="140"/>
      <c r="F78" s="140"/>
      <c r="G78" s="140"/>
      <c r="H78" s="140"/>
      <c r="I78" s="140"/>
      <c r="J78" s="140"/>
      <c r="K78" s="140"/>
      <c r="L78" s="140"/>
      <c r="M78" s="140"/>
      <c r="N78" s="26"/>
      <c r="O78" s="1"/>
    </row>
    <row r="79" spans="1:15" x14ac:dyDescent="0.25">
      <c r="A79" s="141"/>
      <c r="B79" s="200"/>
      <c r="C79" s="140"/>
      <c r="D79" s="140"/>
      <c r="E79" s="140"/>
      <c r="F79" s="140"/>
      <c r="G79" s="140"/>
      <c r="H79" s="140"/>
      <c r="I79" s="140"/>
      <c r="J79" s="140"/>
      <c r="K79" s="140"/>
      <c r="L79" s="140"/>
      <c r="M79" s="140"/>
      <c r="N79" s="26"/>
      <c r="O79" s="1"/>
    </row>
    <row r="80" spans="1:15" x14ac:dyDescent="0.25">
      <c r="A80" s="114"/>
      <c r="B80" s="93"/>
      <c r="C80" s="93"/>
      <c r="D80" s="93"/>
      <c r="E80" s="93"/>
      <c r="F80" s="93"/>
      <c r="G80" s="93"/>
      <c r="H80" s="93"/>
      <c r="I80" s="93"/>
      <c r="J80" s="93"/>
      <c r="K80" s="93"/>
      <c r="L80" s="93"/>
      <c r="M80" s="93"/>
      <c r="N80" s="26"/>
      <c r="O80" s="1"/>
    </row>
    <row r="81" spans="1:15" s="17" customFormat="1" ht="18.75" x14ac:dyDescent="0.3">
      <c r="A81" s="206"/>
      <c r="B81" s="215"/>
      <c r="C81" s="215"/>
      <c r="D81" s="215"/>
      <c r="E81" s="215"/>
      <c r="F81" s="215"/>
      <c r="G81" s="215"/>
      <c r="H81" s="215"/>
      <c r="I81" s="215"/>
      <c r="J81" s="215"/>
      <c r="K81" s="215"/>
      <c r="L81" s="215"/>
      <c r="M81" s="215"/>
      <c r="N81" s="68"/>
      <c r="O81" s="32"/>
    </row>
    <row r="82" spans="1:15" x14ac:dyDescent="0.25">
      <c r="A82" s="116"/>
      <c r="B82" s="207"/>
      <c r="C82" s="207"/>
      <c r="D82" s="207"/>
      <c r="E82" s="207"/>
      <c r="F82" s="207"/>
      <c r="G82" s="207"/>
      <c r="H82" s="207"/>
      <c r="I82" s="207"/>
      <c r="J82" s="207"/>
      <c r="K82" s="207"/>
      <c r="L82" s="207"/>
      <c r="M82" s="207"/>
      <c r="N82" s="26"/>
      <c r="O82" s="1"/>
    </row>
    <row r="83" spans="1:15" x14ac:dyDescent="0.25">
      <c r="A83" s="114"/>
      <c r="B83" s="93"/>
      <c r="C83" s="93"/>
      <c r="D83" s="93"/>
      <c r="E83" s="93"/>
      <c r="F83" s="93"/>
      <c r="G83" s="93"/>
      <c r="H83" s="93"/>
      <c r="I83" s="93"/>
      <c r="J83" s="93"/>
      <c r="K83" s="93"/>
      <c r="L83" s="93"/>
      <c r="M83" s="93"/>
      <c r="N83" s="26"/>
      <c r="O83" s="1"/>
    </row>
    <row r="84" spans="1:15" x14ac:dyDescent="0.25">
      <c r="A84" s="114"/>
      <c r="B84" s="215"/>
      <c r="C84" s="215"/>
      <c r="D84" s="215"/>
      <c r="E84" s="215"/>
      <c r="F84" s="215"/>
      <c r="G84" s="215"/>
      <c r="H84" s="215"/>
      <c r="I84" s="215"/>
      <c r="J84" s="215"/>
      <c r="K84" s="215"/>
      <c r="L84" s="215"/>
      <c r="M84" s="215"/>
      <c r="N84" s="26"/>
      <c r="O84" s="1"/>
    </row>
    <row r="85" spans="1:15" x14ac:dyDescent="0.25">
      <c r="A85" s="201"/>
      <c r="B85" s="93"/>
      <c r="C85" s="93"/>
      <c r="D85" s="93"/>
      <c r="E85" s="93"/>
      <c r="F85" s="93"/>
      <c r="G85" s="93"/>
      <c r="H85" s="93"/>
      <c r="I85" s="93"/>
      <c r="J85" s="93"/>
      <c r="K85" s="93"/>
      <c r="L85" s="93"/>
      <c r="M85" s="93"/>
      <c r="N85" s="26"/>
      <c r="O85" s="1"/>
    </row>
    <row r="86" spans="1:15" x14ac:dyDescent="0.25">
      <c r="A86" s="201"/>
      <c r="B86" s="93"/>
      <c r="C86" s="93"/>
      <c r="D86" s="93"/>
      <c r="E86" s="93"/>
      <c r="F86" s="93"/>
      <c r="G86" s="93"/>
      <c r="H86" s="93"/>
      <c r="I86" s="93"/>
      <c r="J86" s="93"/>
      <c r="K86" s="93"/>
      <c r="L86" s="93"/>
      <c r="M86" s="93"/>
      <c r="N86" s="26"/>
      <c r="O86" s="1"/>
    </row>
    <row r="87" spans="1:15" x14ac:dyDescent="0.25">
      <c r="A87" s="201"/>
      <c r="B87" s="93"/>
      <c r="C87" s="93"/>
      <c r="D87" s="93"/>
      <c r="E87" s="93"/>
      <c r="F87" s="93"/>
      <c r="G87" s="93"/>
      <c r="H87" s="93"/>
      <c r="I87" s="93"/>
      <c r="J87" s="93"/>
      <c r="K87" s="93"/>
      <c r="L87" s="93"/>
      <c r="M87" s="93"/>
      <c r="N87" s="26"/>
      <c r="O87" s="1"/>
    </row>
    <row r="88" spans="1:15" x14ac:dyDescent="0.25">
      <c r="A88" s="201"/>
      <c r="B88" s="93"/>
      <c r="C88" s="93"/>
      <c r="D88" s="93"/>
      <c r="E88" s="93"/>
      <c r="F88" s="93"/>
      <c r="G88" s="93"/>
      <c r="H88" s="93"/>
      <c r="I88" s="93"/>
      <c r="J88" s="93"/>
      <c r="K88" s="93"/>
      <c r="L88" s="93"/>
      <c r="M88" s="93"/>
      <c r="N88" s="26"/>
      <c r="O88" s="1"/>
    </row>
    <row r="89" spans="1:15" x14ac:dyDescent="0.25">
      <c r="A89" s="201"/>
      <c r="B89" s="93"/>
      <c r="C89" s="93"/>
      <c r="D89" s="93"/>
      <c r="E89" s="93"/>
      <c r="F89" s="93"/>
      <c r="G89" s="93"/>
      <c r="H89" s="93"/>
      <c r="I89" s="93"/>
      <c r="J89" s="93"/>
      <c r="K89" s="93"/>
      <c r="L89" s="93"/>
      <c r="M89" s="93"/>
      <c r="N89" s="26"/>
      <c r="O89" s="1"/>
    </row>
    <row r="90" spans="1:15" x14ac:dyDescent="0.25">
      <c r="A90" s="201"/>
      <c r="B90" s="93"/>
      <c r="C90" s="93"/>
      <c r="D90" s="93"/>
      <c r="E90" s="93"/>
      <c r="F90" s="93"/>
      <c r="G90" s="93"/>
      <c r="H90" s="93"/>
      <c r="I90" s="93"/>
      <c r="J90" s="93"/>
      <c r="K90" s="93"/>
      <c r="L90" s="93"/>
      <c r="M90" s="93"/>
      <c r="N90" s="26"/>
      <c r="O90" s="1"/>
    </row>
    <row r="91" spans="1:15" x14ac:dyDescent="0.25">
      <c r="A91" s="199"/>
      <c r="B91" s="93"/>
      <c r="C91" s="93"/>
      <c r="D91" s="93"/>
      <c r="E91" s="93"/>
      <c r="F91" s="93"/>
      <c r="G91" s="93"/>
      <c r="H91" s="93"/>
      <c r="I91" s="93"/>
      <c r="J91" s="93"/>
      <c r="K91" s="93"/>
      <c r="L91" s="93"/>
      <c r="M91" s="93"/>
      <c r="N91" s="26"/>
      <c r="O91" s="1"/>
    </row>
    <row r="92" spans="1:15" x14ac:dyDescent="0.25">
      <c r="A92" s="114"/>
      <c r="B92" s="93"/>
      <c r="C92" s="93"/>
      <c r="D92" s="93"/>
      <c r="E92" s="93"/>
      <c r="F92" s="93"/>
      <c r="G92" s="93"/>
      <c r="H92" s="93"/>
      <c r="I92" s="93"/>
      <c r="J92" s="93"/>
      <c r="K92" s="93"/>
      <c r="L92" s="93"/>
      <c r="M92" s="93"/>
      <c r="N92" s="26"/>
      <c r="O92" s="1"/>
    </row>
    <row r="93" spans="1:15" x14ac:dyDescent="0.25">
      <c r="A93" s="114"/>
      <c r="B93" s="215"/>
      <c r="C93" s="215"/>
      <c r="D93" s="215"/>
      <c r="E93" s="215"/>
      <c r="F93" s="215"/>
      <c r="G93" s="215"/>
      <c r="H93" s="215"/>
      <c r="I93" s="215"/>
      <c r="J93" s="215"/>
      <c r="K93" s="215"/>
      <c r="L93" s="215"/>
      <c r="M93" s="215"/>
      <c r="N93" s="26"/>
      <c r="O93" s="1"/>
    </row>
    <row r="94" spans="1:15" x14ac:dyDescent="0.25">
      <c r="A94" s="114"/>
      <c r="B94" s="112"/>
      <c r="C94" s="112"/>
      <c r="D94" s="112"/>
      <c r="E94" s="112"/>
      <c r="F94" s="112"/>
      <c r="G94" s="112"/>
      <c r="H94" s="112"/>
      <c r="I94" s="112"/>
      <c r="J94" s="112"/>
      <c r="K94" s="112"/>
      <c r="L94" s="112"/>
      <c r="M94" s="112"/>
      <c r="N94" s="26"/>
      <c r="O94" s="1"/>
    </row>
    <row r="95" spans="1:15" x14ac:dyDescent="0.25">
      <c r="A95" s="114"/>
      <c r="B95" s="112"/>
      <c r="C95" s="112"/>
      <c r="D95" s="112"/>
      <c r="E95" s="112"/>
      <c r="F95" s="112"/>
      <c r="G95" s="112"/>
      <c r="H95" s="112"/>
      <c r="I95" s="112"/>
      <c r="J95" s="112"/>
      <c r="K95" s="112"/>
      <c r="L95" s="112"/>
      <c r="M95" s="112"/>
      <c r="N95" s="26"/>
      <c r="O95" s="1"/>
    </row>
    <row r="96" spans="1:15" x14ac:dyDescent="0.25">
      <c r="A96" s="114"/>
      <c r="B96" s="93"/>
      <c r="C96" s="93"/>
      <c r="D96" s="93"/>
      <c r="E96" s="93"/>
      <c r="F96" s="93"/>
      <c r="G96" s="93"/>
      <c r="H96" s="93"/>
      <c r="I96" s="93"/>
      <c r="J96" s="93"/>
      <c r="K96" s="93"/>
      <c r="L96" s="93"/>
      <c r="M96" s="93"/>
      <c r="N96" s="26"/>
      <c r="O96" s="1"/>
    </row>
    <row r="97" spans="1:15" x14ac:dyDescent="0.25">
      <c r="A97" s="114"/>
      <c r="B97" s="93"/>
      <c r="C97" s="93"/>
      <c r="D97" s="93"/>
      <c r="E97" s="93"/>
      <c r="F97" s="93"/>
      <c r="G97" s="93"/>
      <c r="H97" s="93"/>
      <c r="I97" s="93"/>
      <c r="J97" s="93"/>
      <c r="K97" s="93"/>
      <c r="L97" s="93"/>
      <c r="M97" s="93"/>
      <c r="N97" s="26"/>
      <c r="O97" s="1"/>
    </row>
    <row r="98" spans="1:15" x14ac:dyDescent="0.25">
      <c r="A98" s="114"/>
      <c r="B98" s="93"/>
      <c r="C98" s="93"/>
      <c r="D98" s="93"/>
      <c r="E98" s="93"/>
      <c r="F98" s="93"/>
      <c r="G98" s="93"/>
      <c r="H98" s="93"/>
      <c r="I98" s="93"/>
      <c r="J98" s="93"/>
      <c r="K98" s="93"/>
      <c r="L98" s="93"/>
      <c r="M98" s="93"/>
      <c r="N98" s="26"/>
      <c r="O98" s="1"/>
    </row>
    <row r="99" spans="1:15" x14ac:dyDescent="0.25">
      <c r="A99" s="114"/>
      <c r="B99" s="93"/>
      <c r="C99" s="93"/>
      <c r="D99" s="93"/>
      <c r="E99" s="93"/>
      <c r="F99" s="93"/>
      <c r="G99" s="93"/>
      <c r="H99" s="93"/>
      <c r="I99" s="93"/>
      <c r="J99" s="93"/>
      <c r="K99" s="93"/>
      <c r="L99" s="93"/>
      <c r="M99" s="93"/>
      <c r="N99" s="26"/>
      <c r="O99" s="1"/>
    </row>
    <row r="100" spans="1:15" x14ac:dyDescent="0.25">
      <c r="A100" s="114"/>
      <c r="B100" s="93"/>
      <c r="C100" s="93"/>
      <c r="D100" s="93"/>
      <c r="E100" s="93"/>
      <c r="F100" s="93"/>
      <c r="G100" s="93"/>
      <c r="H100" s="93"/>
      <c r="I100" s="93"/>
      <c r="J100" s="93"/>
      <c r="K100" s="93"/>
      <c r="L100" s="93"/>
      <c r="M100" s="93"/>
      <c r="N100" s="26"/>
      <c r="O100" s="1"/>
    </row>
    <row r="101" spans="1:15" x14ac:dyDescent="0.25">
      <c r="A101" s="114"/>
      <c r="B101" s="93"/>
      <c r="C101" s="93"/>
      <c r="D101" s="93"/>
      <c r="E101" s="93"/>
      <c r="F101" s="93"/>
      <c r="G101" s="93"/>
      <c r="H101" s="93"/>
      <c r="I101" s="93"/>
      <c r="J101" s="93"/>
      <c r="K101" s="93"/>
      <c r="L101" s="93"/>
      <c r="M101" s="93"/>
      <c r="N101" s="26"/>
      <c r="O101" s="1"/>
    </row>
    <row r="102" spans="1:15" x14ac:dyDescent="0.25">
      <c r="A102" s="114"/>
      <c r="B102" s="93"/>
      <c r="C102" s="93"/>
      <c r="D102" s="93"/>
      <c r="E102" s="93"/>
      <c r="F102" s="93"/>
      <c r="G102" s="93"/>
      <c r="H102" s="93"/>
      <c r="I102" s="93"/>
      <c r="J102" s="93"/>
      <c r="K102" s="93"/>
      <c r="L102" s="93"/>
      <c r="M102" s="93"/>
      <c r="N102" s="26"/>
      <c r="O102" s="1"/>
    </row>
    <row r="103" spans="1:15" x14ac:dyDescent="0.25">
      <c r="A103" s="114"/>
      <c r="B103" s="93"/>
      <c r="C103" s="93"/>
      <c r="D103" s="93"/>
      <c r="E103" s="93"/>
      <c r="F103" s="93"/>
      <c r="G103" s="93"/>
      <c r="H103" s="93"/>
      <c r="I103" s="93"/>
      <c r="J103" s="93"/>
      <c r="K103" s="93"/>
      <c r="L103" s="93"/>
      <c r="M103" s="93"/>
      <c r="N103" s="26"/>
      <c r="O103" s="1"/>
    </row>
    <row r="104" spans="1:15" x14ac:dyDescent="0.25">
      <c r="A104" s="114"/>
      <c r="B104" s="93"/>
      <c r="C104" s="93"/>
      <c r="D104" s="93"/>
      <c r="E104" s="93"/>
      <c r="F104" s="93"/>
      <c r="G104" s="93"/>
      <c r="H104" s="93"/>
      <c r="I104" s="93"/>
      <c r="J104" s="93"/>
      <c r="K104" s="93"/>
      <c r="L104" s="93"/>
      <c r="M104" s="93"/>
      <c r="N104" s="26"/>
      <c r="O104" s="1"/>
    </row>
    <row r="105" spans="1:15" x14ac:dyDescent="0.25">
      <c r="A105" s="114"/>
      <c r="B105" s="93"/>
      <c r="C105" s="93"/>
      <c r="D105" s="93"/>
      <c r="E105" s="93"/>
      <c r="F105" s="93"/>
      <c r="G105" s="93"/>
      <c r="H105" s="93"/>
      <c r="I105" s="93"/>
      <c r="J105" s="93"/>
      <c r="K105" s="93"/>
      <c r="L105" s="93"/>
      <c r="M105" s="93"/>
      <c r="N105" s="26"/>
      <c r="O105" s="1"/>
    </row>
    <row r="106" spans="1:15" x14ac:dyDescent="0.25">
      <c r="A106" s="114"/>
      <c r="B106" s="93"/>
      <c r="C106" s="93"/>
      <c r="D106" s="93"/>
      <c r="E106" s="93"/>
      <c r="F106" s="93"/>
      <c r="G106" s="93"/>
      <c r="H106" s="93"/>
      <c r="I106" s="93"/>
      <c r="J106" s="93"/>
      <c r="K106" s="93"/>
      <c r="L106" s="93"/>
      <c r="M106" s="93"/>
      <c r="N106" s="26"/>
      <c r="O106" s="1"/>
    </row>
    <row r="107" spans="1:15" x14ac:dyDescent="0.25">
      <c r="B107" s="1"/>
      <c r="C107" s="1"/>
      <c r="D107" s="1"/>
      <c r="E107" s="1"/>
      <c r="F107" s="1"/>
      <c r="G107" s="1"/>
      <c r="H107" s="1"/>
      <c r="I107" s="1"/>
      <c r="J107" s="1"/>
      <c r="K107" s="1"/>
      <c r="L107" s="1"/>
      <c r="M107" s="1"/>
      <c r="N107" s="26"/>
      <c r="O107" s="1"/>
    </row>
    <row r="108" spans="1:15" x14ac:dyDescent="0.25">
      <c r="B108" s="1"/>
      <c r="C108" s="1"/>
      <c r="D108" s="1"/>
      <c r="E108" s="1"/>
      <c r="F108" s="1"/>
      <c r="G108" s="1"/>
      <c r="H108" s="1"/>
      <c r="I108" s="1"/>
      <c r="J108" s="1"/>
      <c r="K108" s="1"/>
      <c r="L108" s="1"/>
      <c r="M108" s="1"/>
      <c r="N108" s="26"/>
      <c r="O108" s="1"/>
    </row>
    <row r="109" spans="1:15" x14ac:dyDescent="0.25">
      <c r="B109" s="1"/>
      <c r="C109" s="1"/>
      <c r="D109" s="1"/>
      <c r="E109" s="1"/>
      <c r="F109" s="1"/>
      <c r="G109" s="1"/>
      <c r="H109" s="1"/>
      <c r="I109" s="1"/>
      <c r="J109" s="1"/>
      <c r="K109" s="1"/>
      <c r="L109" s="1"/>
      <c r="M109" s="1"/>
      <c r="N109" s="26"/>
      <c r="O109" s="1"/>
    </row>
    <row r="110" spans="1:15" x14ac:dyDescent="0.25">
      <c r="N110" s="26"/>
      <c r="O110" s="1"/>
    </row>
    <row r="111" spans="1:15" x14ac:dyDescent="0.25">
      <c r="N111" s="26"/>
      <c r="O111" s="1"/>
    </row>
    <row r="112" spans="1:15" x14ac:dyDescent="0.25">
      <c r="N112" s="26"/>
      <c r="O112" s="1"/>
    </row>
    <row r="113" spans="2:15" x14ac:dyDescent="0.25">
      <c r="N113" s="26"/>
      <c r="O113" s="1"/>
    </row>
    <row r="114" spans="2:15" x14ac:dyDescent="0.25">
      <c r="N114" s="26"/>
      <c r="O114" s="1"/>
    </row>
    <row r="115" spans="2:15" x14ac:dyDescent="0.25">
      <c r="N115" s="26"/>
      <c r="O115" s="1"/>
    </row>
    <row r="116" spans="2:15" x14ac:dyDescent="0.25">
      <c r="N116" s="26"/>
      <c r="O116" s="1"/>
    </row>
    <row r="117" spans="2:15" x14ac:dyDescent="0.25">
      <c r="N117" s="26"/>
      <c r="O117" s="1"/>
    </row>
    <row r="118" spans="2:15" x14ac:dyDescent="0.25">
      <c r="B118" s="1"/>
      <c r="C118" s="1"/>
      <c r="D118" s="1"/>
      <c r="E118" s="1"/>
      <c r="F118" s="1"/>
      <c r="G118" s="1"/>
      <c r="H118" s="1"/>
      <c r="I118" s="1"/>
      <c r="J118" s="1"/>
      <c r="K118" s="1"/>
      <c r="L118" s="1"/>
      <c r="M118" s="1"/>
      <c r="N118" s="26"/>
      <c r="O118" s="1"/>
    </row>
    <row r="119" spans="2:15" x14ac:dyDescent="0.25">
      <c r="B119" s="1"/>
      <c r="C119" s="1"/>
      <c r="D119" s="1"/>
      <c r="E119" s="1"/>
      <c r="F119" s="1"/>
      <c r="G119" s="1"/>
      <c r="H119" s="1"/>
      <c r="I119" s="1"/>
      <c r="J119" s="1"/>
      <c r="K119" s="1"/>
      <c r="L119" s="1"/>
      <c r="M119" s="1"/>
      <c r="N119" s="26"/>
      <c r="O119" s="1"/>
    </row>
    <row r="120" spans="2:15" x14ac:dyDescent="0.25">
      <c r="B120" s="1"/>
      <c r="C120" s="1"/>
      <c r="D120" s="1"/>
      <c r="E120" s="1"/>
      <c r="F120" s="1"/>
      <c r="G120" s="1"/>
      <c r="H120" s="1"/>
      <c r="I120" s="1"/>
      <c r="J120" s="1"/>
      <c r="K120" s="1"/>
      <c r="L120" s="1"/>
      <c r="M120" s="1"/>
      <c r="N120" s="26"/>
      <c r="O120" s="1"/>
    </row>
    <row r="121" spans="2:15" x14ac:dyDescent="0.25">
      <c r="N121" s="26"/>
      <c r="O121" s="1"/>
    </row>
    <row r="122" spans="2:15" x14ac:dyDescent="0.25">
      <c r="N122" s="26"/>
      <c r="O122" s="1"/>
    </row>
    <row r="123" spans="2:15" x14ac:dyDescent="0.25">
      <c r="N123" s="26"/>
      <c r="O123" s="1"/>
    </row>
    <row r="124" spans="2:15" x14ac:dyDescent="0.25">
      <c r="N124" s="26"/>
      <c r="O124" s="1"/>
    </row>
    <row r="125" spans="2:15" x14ac:dyDescent="0.25">
      <c r="N125" s="26"/>
      <c r="O125" s="1"/>
    </row>
    <row r="126" spans="2:15" x14ac:dyDescent="0.25">
      <c r="N126" s="26"/>
      <c r="O126" s="1"/>
    </row>
    <row r="127" spans="2:15" x14ac:dyDescent="0.25">
      <c r="N127" s="26"/>
      <c r="O127" s="1"/>
    </row>
    <row r="128" spans="2:15" x14ac:dyDescent="0.25">
      <c r="N128" s="26"/>
      <c r="O128" s="1"/>
    </row>
    <row r="129" spans="14:15" x14ac:dyDescent="0.25">
      <c r="N129" s="26"/>
      <c r="O129" s="1"/>
    </row>
    <row r="130" spans="14:15" x14ac:dyDescent="0.25">
      <c r="N130" s="26"/>
      <c r="O130" s="1"/>
    </row>
    <row r="131" spans="14:15" x14ac:dyDescent="0.25">
      <c r="N131" s="26"/>
      <c r="O131" s="1"/>
    </row>
    <row r="132" spans="14:15" x14ac:dyDescent="0.25">
      <c r="N132" s="26"/>
      <c r="O132" s="1"/>
    </row>
    <row r="133" spans="14:15" x14ac:dyDescent="0.25">
      <c r="N133" s="26"/>
      <c r="O133" s="1"/>
    </row>
    <row r="134" spans="14:15" x14ac:dyDescent="0.25">
      <c r="N134" s="26"/>
      <c r="O134" s="1"/>
    </row>
    <row r="135" spans="14:15" x14ac:dyDescent="0.25">
      <c r="N135" s="26"/>
      <c r="O135" s="1"/>
    </row>
    <row r="136" spans="14:15" x14ac:dyDescent="0.25">
      <c r="N136" s="26"/>
      <c r="O136" s="1"/>
    </row>
    <row r="137" spans="14:15" x14ac:dyDescent="0.25">
      <c r="N137" s="26"/>
      <c r="O137" s="1"/>
    </row>
    <row r="138" spans="14:15" x14ac:dyDescent="0.25">
      <c r="N138" s="26"/>
      <c r="O138" s="1"/>
    </row>
    <row r="139" spans="14:15" x14ac:dyDescent="0.25">
      <c r="N139" s="26"/>
      <c r="O139" s="1"/>
    </row>
    <row r="140" spans="14:15" x14ac:dyDescent="0.25">
      <c r="N140" s="26"/>
      <c r="O140" s="1"/>
    </row>
    <row r="141" spans="14:15" x14ac:dyDescent="0.25">
      <c r="N141" s="26"/>
      <c r="O141" s="1"/>
    </row>
    <row r="142" spans="14:15" x14ac:dyDescent="0.25">
      <c r="N142" s="26"/>
      <c r="O142" s="1"/>
    </row>
    <row r="143" spans="14:15" x14ac:dyDescent="0.25">
      <c r="N143" s="26"/>
      <c r="O143" s="1"/>
    </row>
    <row r="144" spans="14:15" x14ac:dyDescent="0.25">
      <c r="N144" s="26"/>
      <c r="O144" s="1"/>
    </row>
    <row r="145" spans="14:15" x14ac:dyDescent="0.25">
      <c r="N145" s="26"/>
      <c r="O145" s="1"/>
    </row>
    <row r="146" spans="14:15" x14ac:dyDescent="0.25">
      <c r="N146" s="26"/>
      <c r="O146" s="1"/>
    </row>
    <row r="147" spans="14:15" x14ac:dyDescent="0.25">
      <c r="N147" s="26"/>
      <c r="O147" s="1"/>
    </row>
    <row r="148" spans="14:15" x14ac:dyDescent="0.25">
      <c r="N148" s="26"/>
      <c r="O148" s="1"/>
    </row>
    <row r="149" spans="14:15" x14ac:dyDescent="0.25">
      <c r="N149" s="26"/>
      <c r="O149" s="1"/>
    </row>
    <row r="150" spans="14:15" x14ac:dyDescent="0.25">
      <c r="N150" s="26"/>
      <c r="O150" s="1"/>
    </row>
    <row r="151" spans="14:15" x14ac:dyDescent="0.25">
      <c r="N151" s="26"/>
      <c r="O151" s="1"/>
    </row>
    <row r="152" spans="14:15" x14ac:dyDescent="0.25">
      <c r="N152" s="26"/>
      <c r="O152" s="1"/>
    </row>
    <row r="153" spans="14:15" x14ac:dyDescent="0.25">
      <c r="N153" s="26"/>
      <c r="O153" s="1"/>
    </row>
    <row r="154" spans="14:15" x14ac:dyDescent="0.25">
      <c r="N154" s="26"/>
      <c r="O154" s="1"/>
    </row>
    <row r="155" spans="14:15" x14ac:dyDescent="0.25">
      <c r="N155" s="26"/>
      <c r="O155" s="1"/>
    </row>
    <row r="156" spans="14:15" x14ac:dyDescent="0.25">
      <c r="N156" s="26"/>
      <c r="O156" s="1"/>
    </row>
    <row r="157" spans="14:15" x14ac:dyDescent="0.25">
      <c r="N157" s="26"/>
      <c r="O157" s="1"/>
    </row>
    <row r="158" spans="14:15" x14ac:dyDescent="0.25">
      <c r="N158" s="26"/>
      <c r="O158" s="1"/>
    </row>
    <row r="159" spans="14:15" x14ac:dyDescent="0.25">
      <c r="N159" s="26"/>
      <c r="O159" s="1"/>
    </row>
    <row r="160" spans="14:15" x14ac:dyDescent="0.25">
      <c r="N160" s="26"/>
      <c r="O160" s="1"/>
    </row>
    <row r="161" spans="2:15" x14ac:dyDescent="0.25">
      <c r="N161" s="26"/>
      <c r="O161" s="1"/>
    </row>
    <row r="162" spans="2:15" x14ac:dyDescent="0.25">
      <c r="N162" s="26"/>
      <c r="O162" s="1"/>
    </row>
    <row r="163" spans="2:15" x14ac:dyDescent="0.25">
      <c r="N163" s="26"/>
      <c r="O163" s="1"/>
    </row>
    <row r="164" spans="2:15" x14ac:dyDescent="0.25">
      <c r="N164" s="26"/>
      <c r="O164" s="1"/>
    </row>
    <row r="165" spans="2:15" x14ac:dyDescent="0.25">
      <c r="N165" s="26"/>
      <c r="O165" s="1"/>
    </row>
    <row r="166" spans="2:15" x14ac:dyDescent="0.25">
      <c r="N166" s="26"/>
      <c r="O166" s="1"/>
    </row>
    <row r="167" spans="2:15" x14ac:dyDescent="0.25">
      <c r="N167" s="26"/>
      <c r="O167" s="1"/>
    </row>
    <row r="168" spans="2:15" x14ac:dyDescent="0.25">
      <c r="N168" s="26"/>
      <c r="O168" s="1"/>
    </row>
    <row r="169" spans="2:15" x14ac:dyDescent="0.25">
      <c r="N169" s="26"/>
      <c r="O169" s="1"/>
    </row>
    <row r="170" spans="2:15" x14ac:dyDescent="0.25">
      <c r="N170" s="26"/>
      <c r="O170" s="1"/>
    </row>
    <row r="171" spans="2:15" x14ac:dyDescent="0.25">
      <c r="N171" s="26"/>
      <c r="O171" s="1"/>
    </row>
    <row r="172" spans="2:15" x14ac:dyDescent="0.25">
      <c r="N172" s="26"/>
      <c r="O172" s="1"/>
    </row>
    <row r="173" spans="2:15" x14ac:dyDescent="0.25">
      <c r="N173" s="26"/>
      <c r="O173" s="1"/>
    </row>
    <row r="174" spans="2:15" x14ac:dyDescent="0.25">
      <c r="N174" s="26"/>
      <c r="O174" s="1"/>
    </row>
    <row r="175" spans="2:15" x14ac:dyDescent="0.25">
      <c r="B175" s="1"/>
      <c r="C175" s="1"/>
      <c r="D175" s="1"/>
      <c r="E175" s="1"/>
      <c r="F175" s="1"/>
      <c r="G175" s="1"/>
      <c r="H175" s="1"/>
      <c r="I175" s="1"/>
      <c r="J175" s="1"/>
      <c r="K175" s="1"/>
      <c r="L175" s="1"/>
      <c r="M175" s="1"/>
      <c r="N175" s="26"/>
      <c r="O175" s="1"/>
    </row>
    <row r="176" spans="2:15" x14ac:dyDescent="0.25">
      <c r="B176" s="1"/>
      <c r="C176" s="1"/>
      <c r="D176" s="1"/>
      <c r="E176" s="1"/>
      <c r="F176" s="1"/>
      <c r="G176" s="1"/>
      <c r="H176" s="1"/>
      <c r="I176" s="1"/>
      <c r="J176" s="1"/>
      <c r="K176" s="1"/>
      <c r="L176" s="1"/>
      <c r="M176" s="1"/>
      <c r="N176" s="26"/>
      <c r="O176" s="1"/>
    </row>
    <row r="177" spans="2:15" x14ac:dyDescent="0.25">
      <c r="B177" s="1"/>
      <c r="C177" s="1"/>
      <c r="D177" s="1"/>
      <c r="E177" s="1"/>
      <c r="F177" s="1"/>
      <c r="G177" s="1"/>
      <c r="H177" s="1"/>
      <c r="I177" s="1"/>
      <c r="J177" s="1"/>
      <c r="K177" s="1"/>
      <c r="L177" s="1"/>
      <c r="M177" s="1"/>
      <c r="N177" s="26"/>
      <c r="O177" s="1"/>
    </row>
    <row r="178" spans="2:15" x14ac:dyDescent="0.25">
      <c r="B178" s="1"/>
      <c r="C178" s="1"/>
      <c r="D178" s="1"/>
      <c r="E178" s="1"/>
      <c r="F178" s="1"/>
      <c r="G178" s="1"/>
      <c r="H178" s="1"/>
      <c r="I178" s="1"/>
      <c r="J178" s="1"/>
      <c r="K178" s="1"/>
      <c r="L178" s="1"/>
      <c r="M178" s="1"/>
      <c r="N178" s="26"/>
      <c r="O178" s="1"/>
    </row>
    <row r="179" spans="2:15" x14ac:dyDescent="0.25">
      <c r="B179" s="1"/>
      <c r="C179" s="1"/>
      <c r="D179" s="1"/>
      <c r="E179" s="1"/>
      <c r="F179" s="1"/>
      <c r="G179" s="1"/>
      <c r="H179" s="1"/>
      <c r="I179" s="1"/>
      <c r="J179" s="1"/>
      <c r="K179" s="1"/>
      <c r="L179" s="1"/>
      <c r="M179" s="1"/>
      <c r="N179" s="26"/>
      <c r="O179" s="1"/>
    </row>
    <row r="180" spans="2:15" x14ac:dyDescent="0.25">
      <c r="B180" s="1"/>
      <c r="C180" s="1"/>
      <c r="D180" s="1"/>
      <c r="E180" s="1"/>
      <c r="F180" s="1"/>
      <c r="G180" s="1"/>
      <c r="H180" s="1"/>
      <c r="I180" s="1"/>
      <c r="J180" s="1"/>
      <c r="K180" s="1"/>
      <c r="L180" s="1"/>
      <c r="M180" s="1"/>
      <c r="N180" s="26"/>
      <c r="O180" s="1"/>
    </row>
    <row r="181" spans="2:15" x14ac:dyDescent="0.25">
      <c r="B181" s="1"/>
      <c r="C181" s="1"/>
      <c r="D181" s="1"/>
      <c r="E181" s="1"/>
      <c r="F181" s="1"/>
      <c r="G181" s="1"/>
      <c r="H181" s="1"/>
      <c r="I181" s="1"/>
      <c r="J181" s="1"/>
      <c r="K181" s="1"/>
      <c r="L181" s="1"/>
      <c r="M181" s="1"/>
      <c r="N181" s="26"/>
      <c r="O181" s="1"/>
    </row>
    <row r="182" spans="2:15" x14ac:dyDescent="0.25">
      <c r="B182" s="1"/>
      <c r="C182" s="1"/>
      <c r="D182" s="1"/>
      <c r="E182" s="1"/>
      <c r="F182" s="1"/>
      <c r="G182" s="1"/>
      <c r="H182" s="1"/>
      <c r="I182" s="1"/>
      <c r="J182" s="1"/>
      <c r="K182" s="1"/>
      <c r="L182" s="1"/>
      <c r="M182" s="1"/>
      <c r="N182" s="26"/>
      <c r="O182" s="1"/>
    </row>
    <row r="183" spans="2:15" x14ac:dyDescent="0.25">
      <c r="B183" s="1"/>
      <c r="C183" s="1"/>
      <c r="D183" s="1"/>
      <c r="E183" s="1"/>
      <c r="F183" s="1"/>
      <c r="G183" s="1"/>
      <c r="H183" s="1"/>
      <c r="I183" s="1"/>
      <c r="J183" s="1"/>
      <c r="K183" s="1"/>
      <c r="L183" s="1"/>
      <c r="M183" s="1"/>
      <c r="N183" s="26"/>
      <c r="O183" s="1"/>
    </row>
    <row r="184" spans="2:15" x14ac:dyDescent="0.25">
      <c r="B184" s="1"/>
      <c r="C184" s="1"/>
      <c r="D184" s="1"/>
      <c r="E184" s="1"/>
      <c r="F184" s="1"/>
      <c r="G184" s="1"/>
      <c r="H184" s="1"/>
      <c r="I184" s="1"/>
      <c r="J184" s="1"/>
      <c r="K184" s="1"/>
      <c r="L184" s="1"/>
      <c r="M184" s="1"/>
      <c r="N184" s="26"/>
      <c r="O184" s="1"/>
    </row>
    <row r="185" spans="2:15" x14ac:dyDescent="0.25">
      <c r="B185" s="1"/>
      <c r="C185" s="1"/>
      <c r="D185" s="1"/>
      <c r="E185" s="1"/>
      <c r="F185" s="1"/>
      <c r="G185" s="1"/>
      <c r="H185" s="1"/>
      <c r="I185" s="1"/>
      <c r="J185" s="1"/>
      <c r="K185" s="1"/>
      <c r="L185" s="1"/>
      <c r="M185" s="1"/>
      <c r="N185" s="26"/>
      <c r="O185" s="1"/>
    </row>
    <row r="186" spans="2:15" x14ac:dyDescent="0.25">
      <c r="B186" s="1"/>
      <c r="C186" s="1"/>
      <c r="D186" s="1"/>
      <c r="E186" s="1"/>
      <c r="F186" s="1"/>
      <c r="G186" s="1"/>
      <c r="H186" s="1"/>
      <c r="I186" s="1"/>
      <c r="J186" s="1"/>
      <c r="K186" s="1"/>
      <c r="L186" s="1"/>
      <c r="M186" s="1"/>
      <c r="N186" s="26"/>
      <c r="O186" s="1"/>
    </row>
    <row r="187" spans="2:15" x14ac:dyDescent="0.25">
      <c r="B187" s="1"/>
      <c r="C187" s="1"/>
      <c r="D187" s="1"/>
      <c r="E187" s="1"/>
      <c r="F187" s="1"/>
      <c r="G187" s="1"/>
      <c r="H187" s="1"/>
      <c r="I187" s="1"/>
      <c r="J187" s="1"/>
      <c r="K187" s="1"/>
      <c r="L187" s="1"/>
      <c r="M187" s="1"/>
      <c r="N187" s="26"/>
      <c r="O187" s="1"/>
    </row>
    <row r="188" spans="2:15" x14ac:dyDescent="0.25">
      <c r="B188" s="1"/>
      <c r="C188" s="1"/>
      <c r="D188" s="1"/>
      <c r="E188" s="1"/>
      <c r="F188" s="1"/>
      <c r="G188" s="1"/>
      <c r="H188" s="1"/>
      <c r="I188" s="1"/>
      <c r="J188" s="1"/>
      <c r="K188" s="1"/>
      <c r="L188" s="1"/>
      <c r="M188" s="1"/>
      <c r="N188" s="26"/>
      <c r="O188" s="1"/>
    </row>
    <row r="189" spans="2:15" x14ac:dyDescent="0.25">
      <c r="B189" s="1"/>
      <c r="C189" s="1"/>
      <c r="D189" s="1"/>
      <c r="E189" s="1"/>
      <c r="F189" s="1"/>
      <c r="G189" s="1"/>
      <c r="H189" s="1"/>
      <c r="I189" s="1"/>
      <c r="J189" s="1"/>
      <c r="K189" s="1"/>
      <c r="L189" s="1"/>
      <c r="M189" s="1"/>
      <c r="N189" s="26"/>
      <c r="O189" s="1"/>
    </row>
    <row r="190" spans="2:15" x14ac:dyDescent="0.25">
      <c r="B190" s="1"/>
      <c r="C190" s="1"/>
      <c r="D190" s="1"/>
      <c r="E190" s="1"/>
      <c r="F190" s="1"/>
      <c r="G190" s="1"/>
      <c r="H190" s="1"/>
      <c r="I190" s="1"/>
      <c r="J190" s="1"/>
      <c r="K190" s="1"/>
      <c r="L190" s="1"/>
      <c r="M190" s="1"/>
      <c r="N190" s="26"/>
      <c r="O190" s="1"/>
    </row>
    <row r="191" spans="2:15" x14ac:dyDescent="0.25">
      <c r="N191" s="19"/>
    </row>
    <row r="192" spans="2:15" x14ac:dyDescent="0.25">
      <c r="N192" s="19"/>
    </row>
    <row r="193" spans="14:14" x14ac:dyDescent="0.25">
      <c r="N193" s="19"/>
    </row>
    <row r="194" spans="14:14" x14ac:dyDescent="0.25">
      <c r="N194" s="19"/>
    </row>
    <row r="195" spans="14:14" x14ac:dyDescent="0.25">
      <c r="N195" s="19"/>
    </row>
    <row r="196" spans="14:14" x14ac:dyDescent="0.25">
      <c r="N196" s="19"/>
    </row>
    <row r="197" spans="14:14" x14ac:dyDescent="0.25">
      <c r="N197" s="19"/>
    </row>
    <row r="198" spans="14:14" x14ac:dyDescent="0.25">
      <c r="N198" s="19"/>
    </row>
    <row r="199" spans="14:14" x14ac:dyDescent="0.25">
      <c r="N199" s="19"/>
    </row>
    <row r="200" spans="14:14" x14ac:dyDescent="0.25">
      <c r="N200" s="19"/>
    </row>
    <row r="201" spans="14:14" x14ac:dyDescent="0.25">
      <c r="N201" s="19"/>
    </row>
    <row r="202" spans="14:14" x14ac:dyDescent="0.25">
      <c r="N202" s="19"/>
    </row>
    <row r="203" spans="14:14" x14ac:dyDescent="0.25">
      <c r="N203" s="19"/>
    </row>
    <row r="204" spans="14:14" x14ac:dyDescent="0.25">
      <c r="N204" s="19"/>
    </row>
    <row r="205" spans="14:14" x14ac:dyDescent="0.25">
      <c r="N205" s="19"/>
    </row>
    <row r="206" spans="14:14" x14ac:dyDescent="0.25">
      <c r="N206" s="19"/>
    </row>
    <row r="207" spans="14:14" x14ac:dyDescent="0.25">
      <c r="N207" s="19"/>
    </row>
    <row r="208" spans="14:14" x14ac:dyDescent="0.25">
      <c r="N208" s="19"/>
    </row>
    <row r="209" spans="14:14" x14ac:dyDescent="0.25">
      <c r="N209" s="19"/>
    </row>
    <row r="210" spans="14:14" x14ac:dyDescent="0.25">
      <c r="N210" s="19"/>
    </row>
    <row r="211" spans="14:14" x14ac:dyDescent="0.25">
      <c r="N211" s="19"/>
    </row>
    <row r="212" spans="14:14" x14ac:dyDescent="0.25">
      <c r="N212" s="19"/>
    </row>
    <row r="213" spans="14:14" x14ac:dyDescent="0.25">
      <c r="N213" s="19"/>
    </row>
    <row r="214" spans="14:14" x14ac:dyDescent="0.25">
      <c r="N214" s="19"/>
    </row>
    <row r="215" spans="14:14" x14ac:dyDescent="0.25">
      <c r="N215" s="19"/>
    </row>
    <row r="216" spans="14:14" x14ac:dyDescent="0.25">
      <c r="N216" s="19"/>
    </row>
    <row r="217" spans="14:14" x14ac:dyDescent="0.25">
      <c r="N217" s="19"/>
    </row>
    <row r="218" spans="14:14" x14ac:dyDescent="0.25">
      <c r="N218" s="19"/>
    </row>
    <row r="219" spans="14:14" x14ac:dyDescent="0.25">
      <c r="N219" s="19"/>
    </row>
    <row r="220" spans="14:14" x14ac:dyDescent="0.25">
      <c r="N220" s="19"/>
    </row>
    <row r="221" spans="14:14" x14ac:dyDescent="0.25">
      <c r="N221" s="19"/>
    </row>
    <row r="222" spans="14:14" x14ac:dyDescent="0.25">
      <c r="N222" s="19"/>
    </row>
    <row r="223" spans="14:14" x14ac:dyDescent="0.25">
      <c r="N223" s="19"/>
    </row>
    <row r="224" spans="14:14" x14ac:dyDescent="0.25">
      <c r="N224" s="19"/>
    </row>
    <row r="225" spans="14:14" x14ac:dyDescent="0.25">
      <c r="N225" s="19"/>
    </row>
    <row r="226" spans="14:14" x14ac:dyDescent="0.25">
      <c r="N226" s="19"/>
    </row>
    <row r="227" spans="14:14" x14ac:dyDescent="0.25">
      <c r="N227" s="19"/>
    </row>
    <row r="228" spans="14:14" x14ac:dyDescent="0.25">
      <c r="N228" s="19"/>
    </row>
    <row r="229" spans="14:14" x14ac:dyDescent="0.25">
      <c r="N229" s="19"/>
    </row>
    <row r="230" spans="14:14" x14ac:dyDescent="0.25">
      <c r="N230" s="19"/>
    </row>
    <row r="231" spans="14:14" x14ac:dyDescent="0.25">
      <c r="N231" s="19"/>
    </row>
    <row r="232" spans="14:14" x14ac:dyDescent="0.25">
      <c r="N232" s="19"/>
    </row>
    <row r="233" spans="14:14" x14ac:dyDescent="0.25">
      <c r="N233" s="19"/>
    </row>
    <row r="234" spans="14:14" x14ac:dyDescent="0.25">
      <c r="N234" s="19"/>
    </row>
    <row r="235" spans="14:14" x14ac:dyDescent="0.25">
      <c r="N235" s="19"/>
    </row>
    <row r="236" spans="14:14" x14ac:dyDescent="0.25">
      <c r="N236" s="19"/>
    </row>
    <row r="237" spans="14:14" x14ac:dyDescent="0.25">
      <c r="N237" s="19"/>
    </row>
    <row r="238" spans="14:14" x14ac:dyDescent="0.25">
      <c r="N238" s="19"/>
    </row>
    <row r="239" spans="14:14" x14ac:dyDescent="0.25">
      <c r="N239" s="19"/>
    </row>
    <row r="240" spans="14:14" x14ac:dyDescent="0.25">
      <c r="N240" s="19"/>
    </row>
    <row r="241" spans="1:14" x14ac:dyDescent="0.25">
      <c r="N241" s="19"/>
    </row>
    <row r="242" spans="1:14" x14ac:dyDescent="0.25">
      <c r="N242" s="19"/>
    </row>
    <row r="243" spans="1:14" x14ac:dyDescent="0.25">
      <c r="N243" s="19"/>
    </row>
    <row r="244" spans="1:14" x14ac:dyDescent="0.25">
      <c r="N244" s="19"/>
    </row>
    <row r="245" spans="1:14" x14ac:dyDescent="0.25">
      <c r="N245" s="19"/>
    </row>
    <row r="246" spans="1:14" x14ac:dyDescent="0.25">
      <c r="N246" s="19"/>
    </row>
    <row r="247" spans="1:14" x14ac:dyDescent="0.25">
      <c r="N247" s="19"/>
    </row>
    <row r="248" spans="1:14" x14ac:dyDescent="0.25">
      <c r="N248" s="19"/>
    </row>
    <row r="249" spans="1:14" x14ac:dyDescent="0.25">
      <c r="N249" s="19"/>
    </row>
    <row r="250" spans="1:14" ht="18.75" x14ac:dyDescent="0.3">
      <c r="A250" s="80"/>
      <c r="B250" s="1"/>
      <c r="C250" s="1"/>
      <c r="D250" s="1"/>
      <c r="E250" s="1"/>
      <c r="F250" s="1"/>
      <c r="G250" s="1"/>
      <c r="H250" s="1"/>
      <c r="I250" s="1"/>
      <c r="J250" s="1"/>
      <c r="K250" s="1"/>
      <c r="L250" s="1"/>
      <c r="M250" s="1"/>
      <c r="N250" s="19"/>
    </row>
    <row r="251" spans="1:14" x14ac:dyDescent="0.25">
      <c r="N251" s="19"/>
    </row>
    <row r="252" spans="1:14" x14ac:dyDescent="0.25">
      <c r="N252" s="19"/>
    </row>
    <row r="253" spans="1:14" x14ac:dyDescent="0.25">
      <c r="N253" s="19"/>
    </row>
    <row r="254" spans="1:14" x14ac:dyDescent="0.25">
      <c r="N254" s="19"/>
    </row>
    <row r="255" spans="1:14" x14ac:dyDescent="0.25">
      <c r="N255" s="19"/>
    </row>
    <row r="256" spans="1:14" x14ac:dyDescent="0.25">
      <c r="N256" s="19"/>
    </row>
    <row r="257" spans="14:14" x14ac:dyDescent="0.25">
      <c r="N257" s="19"/>
    </row>
    <row r="258" spans="14:14" x14ac:dyDescent="0.25">
      <c r="N258" s="19"/>
    </row>
    <row r="259" spans="14:14" x14ac:dyDescent="0.25">
      <c r="N259" s="19"/>
    </row>
    <row r="260" spans="14:14" x14ac:dyDescent="0.25">
      <c r="N260" s="19"/>
    </row>
    <row r="261" spans="14:14" x14ac:dyDescent="0.25">
      <c r="N261" s="19"/>
    </row>
    <row r="262" spans="14:14" x14ac:dyDescent="0.25">
      <c r="N262" s="19"/>
    </row>
    <row r="263" spans="14:14" x14ac:dyDescent="0.25">
      <c r="N263" s="19"/>
    </row>
    <row r="264" spans="14:14" x14ac:dyDescent="0.25">
      <c r="N264" s="19"/>
    </row>
    <row r="265" spans="14:14" x14ac:dyDescent="0.25">
      <c r="N265" s="19"/>
    </row>
    <row r="266" spans="14:14" x14ac:dyDescent="0.25">
      <c r="N266" s="19"/>
    </row>
    <row r="267" spans="14:14" x14ac:dyDescent="0.25">
      <c r="N267" s="19"/>
    </row>
    <row r="268" spans="14:14" x14ac:dyDescent="0.25">
      <c r="N268" s="19"/>
    </row>
    <row r="269" spans="14:14" x14ac:dyDescent="0.25">
      <c r="N269" s="19"/>
    </row>
    <row r="339" spans="2:13" x14ac:dyDescent="0.25">
      <c r="B339" s="1"/>
      <c r="C339" s="1"/>
      <c r="D339" s="1"/>
      <c r="E339" s="1"/>
      <c r="F339" s="1"/>
      <c r="G339" s="1"/>
      <c r="H339" s="1"/>
      <c r="I339" s="1"/>
      <c r="J339" s="1"/>
      <c r="K339" s="1"/>
      <c r="L339" s="1"/>
      <c r="M339" s="1"/>
    </row>
    <row r="340" spans="2:13" x14ac:dyDescent="0.25">
      <c r="B340" s="1"/>
      <c r="C340" s="1"/>
      <c r="D340" s="1"/>
      <c r="E340" s="1"/>
      <c r="F340" s="1"/>
      <c r="G340" s="1"/>
      <c r="H340" s="1"/>
      <c r="I340" s="1"/>
      <c r="J340" s="1"/>
      <c r="K340" s="1"/>
      <c r="L340" s="1"/>
      <c r="M340" s="1"/>
    </row>
    <row r="341" spans="2:13" x14ac:dyDescent="0.25">
      <c r="B341" s="1"/>
      <c r="C341" s="1"/>
      <c r="D341" s="1"/>
      <c r="E341" s="1"/>
      <c r="F341" s="1"/>
      <c r="G341" s="1"/>
      <c r="H341" s="1"/>
      <c r="I341" s="1"/>
      <c r="J341" s="1"/>
      <c r="K341" s="1"/>
      <c r="L341" s="1"/>
      <c r="M341" s="1"/>
    </row>
    <row r="342" spans="2:13" x14ac:dyDescent="0.25">
      <c r="B342" s="1"/>
      <c r="C342" s="1"/>
      <c r="D342" s="1"/>
      <c r="E342" s="1"/>
      <c r="F342" s="1"/>
      <c r="G342" s="1"/>
      <c r="H342" s="1"/>
      <c r="I342" s="1"/>
      <c r="J342" s="1"/>
      <c r="K342" s="1"/>
      <c r="L342" s="1"/>
      <c r="M342" s="1"/>
    </row>
    <row r="343" spans="2:13" x14ac:dyDescent="0.25">
      <c r="B343" s="1"/>
      <c r="C343" s="1"/>
      <c r="D343" s="1"/>
      <c r="E343" s="1"/>
      <c r="F343" s="1"/>
      <c r="G343" s="1"/>
      <c r="H343" s="1"/>
      <c r="I343" s="1"/>
      <c r="J343" s="1"/>
      <c r="K343" s="1"/>
      <c r="L343" s="1"/>
      <c r="M343" s="1"/>
    </row>
    <row r="344" spans="2:13" x14ac:dyDescent="0.25">
      <c r="B344" s="1"/>
      <c r="C344" s="1"/>
      <c r="D344" s="1"/>
      <c r="E344" s="1"/>
      <c r="F344" s="1"/>
      <c r="G344" s="1"/>
      <c r="H344" s="1"/>
      <c r="I344" s="1"/>
      <c r="J344" s="1"/>
      <c r="K344" s="1"/>
      <c r="L344" s="1"/>
      <c r="M344" s="1"/>
    </row>
    <row r="345" spans="2:13" x14ac:dyDescent="0.25">
      <c r="B345" s="1"/>
      <c r="C345" s="1"/>
      <c r="D345" s="1"/>
      <c r="E345" s="1"/>
      <c r="F345" s="1"/>
      <c r="G345" s="1"/>
      <c r="H345" s="1"/>
      <c r="I345" s="1"/>
      <c r="J345" s="1"/>
      <c r="K345" s="1"/>
      <c r="L345" s="1"/>
      <c r="M345" s="1"/>
    </row>
    <row r="346" spans="2:13" x14ac:dyDescent="0.25">
      <c r="B346" s="1"/>
      <c r="C346" s="1"/>
      <c r="D346" s="1"/>
      <c r="E346" s="1"/>
      <c r="F346" s="1"/>
      <c r="G346" s="1"/>
      <c r="H346" s="1"/>
      <c r="I346" s="1"/>
      <c r="J346" s="1"/>
      <c r="K346" s="1"/>
      <c r="L346" s="1"/>
      <c r="M346" s="1"/>
    </row>
    <row r="347" spans="2:13" x14ac:dyDescent="0.25">
      <c r="B347" s="1"/>
      <c r="C347" s="1"/>
      <c r="D347" s="1"/>
      <c r="E347" s="1"/>
      <c r="F347" s="1"/>
      <c r="G347" s="1"/>
      <c r="H347" s="1"/>
      <c r="I347" s="1"/>
      <c r="J347" s="1"/>
      <c r="K347" s="1"/>
      <c r="L347" s="1"/>
      <c r="M347" s="1"/>
    </row>
    <row r="348" spans="2:13" x14ac:dyDescent="0.25">
      <c r="B348" s="1"/>
      <c r="C348" s="1"/>
      <c r="D348" s="1"/>
      <c r="E348" s="1"/>
      <c r="F348" s="1"/>
      <c r="G348" s="1"/>
      <c r="H348" s="1"/>
      <c r="I348" s="1"/>
      <c r="J348" s="1"/>
      <c r="K348" s="1"/>
      <c r="L348" s="1"/>
      <c r="M348" s="1"/>
    </row>
    <row r="349" spans="2:13" x14ac:dyDescent="0.25">
      <c r="B349" s="1"/>
      <c r="C349" s="1"/>
      <c r="D349" s="1"/>
      <c r="E349" s="1"/>
      <c r="F349" s="1"/>
      <c r="G349" s="1"/>
      <c r="H349" s="1"/>
      <c r="I349" s="1"/>
      <c r="J349" s="1"/>
      <c r="K349" s="1"/>
      <c r="L349" s="1"/>
      <c r="M349" s="1"/>
    </row>
    <row r="350" spans="2:13" x14ac:dyDescent="0.25">
      <c r="B350" s="1"/>
      <c r="C350" s="1"/>
      <c r="D350" s="1"/>
      <c r="E350" s="1"/>
      <c r="F350" s="1"/>
      <c r="G350" s="1"/>
      <c r="H350" s="1"/>
      <c r="I350" s="1"/>
      <c r="J350" s="1"/>
      <c r="K350" s="1"/>
      <c r="L350" s="1"/>
      <c r="M350" s="1"/>
    </row>
    <row r="351" spans="2:13" x14ac:dyDescent="0.25">
      <c r="B351" s="1"/>
      <c r="C351" s="1"/>
      <c r="D351" s="1"/>
      <c r="E351" s="1"/>
      <c r="F351" s="1"/>
      <c r="G351" s="1"/>
      <c r="H351" s="1"/>
      <c r="I351" s="1"/>
      <c r="J351" s="1"/>
      <c r="K351" s="1"/>
      <c r="L351" s="1"/>
      <c r="M351" s="1"/>
    </row>
    <row r="352" spans="2:13" x14ac:dyDescent="0.25">
      <c r="B352" s="1"/>
      <c r="C352" s="1"/>
      <c r="D352" s="1"/>
      <c r="E352" s="1"/>
      <c r="F352" s="1"/>
      <c r="G352" s="1"/>
      <c r="H352" s="1"/>
      <c r="I352" s="1"/>
      <c r="J352" s="1"/>
      <c r="K352" s="1"/>
      <c r="L352" s="1"/>
      <c r="M352" s="1"/>
    </row>
    <row r="353" spans="1:13" x14ac:dyDescent="0.25">
      <c r="B353" s="1"/>
      <c r="C353" s="1"/>
      <c r="D353" s="1"/>
      <c r="E353" s="1"/>
      <c r="F353" s="1"/>
      <c r="G353" s="1"/>
      <c r="H353" s="1"/>
      <c r="I353" s="1"/>
      <c r="J353" s="1"/>
      <c r="K353" s="1"/>
      <c r="L353" s="1"/>
      <c r="M353" s="1"/>
    </row>
    <row r="354" spans="1:13" x14ac:dyDescent="0.25">
      <c r="B354" s="1"/>
      <c r="C354" s="1"/>
      <c r="D354" s="1"/>
      <c r="E354" s="1"/>
      <c r="F354" s="1"/>
      <c r="G354" s="1"/>
      <c r="H354" s="1"/>
      <c r="I354" s="1"/>
      <c r="J354" s="1"/>
      <c r="K354" s="1"/>
      <c r="L354" s="1"/>
      <c r="M354" s="1"/>
    </row>
    <row r="355" spans="1:13" x14ac:dyDescent="0.25">
      <c r="B355" s="1"/>
      <c r="C355" s="1"/>
      <c r="D355" s="1"/>
      <c r="E355" s="1"/>
      <c r="F355" s="1"/>
      <c r="G355" s="1"/>
      <c r="H355" s="1"/>
      <c r="I355" s="1"/>
      <c r="J355" s="1"/>
      <c r="K355" s="1"/>
      <c r="L355" s="1"/>
      <c r="M355" s="1"/>
    </row>
    <row r="356" spans="1:13" x14ac:dyDescent="0.25">
      <c r="B356" s="146">
        <v>2008</v>
      </c>
      <c r="C356" s="146">
        <v>2009</v>
      </c>
      <c r="D356" s="146">
        <v>2010</v>
      </c>
      <c r="E356" s="146">
        <v>2011</v>
      </c>
      <c r="F356" s="146">
        <v>2012</v>
      </c>
      <c r="G356" s="146">
        <v>2013</v>
      </c>
      <c r="H356" s="146">
        <v>2014</v>
      </c>
      <c r="I356" s="146">
        <v>2015</v>
      </c>
      <c r="J356" s="146">
        <v>2016</v>
      </c>
      <c r="K356" s="146"/>
      <c r="L356" s="146">
        <v>2018</v>
      </c>
      <c r="M356" s="146">
        <v>2017</v>
      </c>
    </row>
    <row r="357" spans="1:13" x14ac:dyDescent="0.25">
      <c r="A357" s="10" t="s">
        <v>92</v>
      </c>
      <c r="B357" s="1">
        <v>3780564</v>
      </c>
      <c r="C357" s="1">
        <v>3699656</v>
      </c>
      <c r="D357" s="1">
        <v>3163177</v>
      </c>
      <c r="E357" s="1">
        <v>3607144</v>
      </c>
      <c r="F357" s="1">
        <v>3728933</v>
      </c>
      <c r="G357" s="1">
        <v>4221458</v>
      </c>
      <c r="H357" s="1">
        <v>4730495</v>
      </c>
      <c r="I357" s="1">
        <v>4677191</v>
      </c>
      <c r="J357" s="1">
        <v>5095909</v>
      </c>
      <c r="K357" s="1"/>
      <c r="L357" s="1">
        <v>6913073</v>
      </c>
      <c r="M357" s="1">
        <v>6064257</v>
      </c>
    </row>
    <row r="358" spans="1:13" x14ac:dyDescent="0.25">
      <c r="B358" s="1"/>
      <c r="C358" s="1"/>
      <c r="D358" s="1"/>
      <c r="E358" s="1"/>
      <c r="F358" s="1"/>
      <c r="G358" s="1"/>
      <c r="H358" s="1"/>
      <c r="I358" s="1"/>
      <c r="J358" s="1"/>
      <c r="K358" s="1"/>
      <c r="L358" s="1"/>
      <c r="M358" s="1"/>
    </row>
    <row r="359" spans="1:13" x14ac:dyDescent="0.25">
      <c r="B359" s="1"/>
      <c r="C359" s="1"/>
      <c r="D359" s="1"/>
      <c r="E359" s="1"/>
      <c r="F359" s="1"/>
      <c r="G359" s="1"/>
      <c r="H359" s="1"/>
      <c r="I359" s="1"/>
      <c r="J359" s="1"/>
      <c r="K359" s="1"/>
      <c r="L359" s="1"/>
      <c r="M359" s="1"/>
    </row>
    <row r="360" spans="1:13" x14ac:dyDescent="0.25">
      <c r="B360" s="1"/>
      <c r="C360" s="1"/>
      <c r="D360" s="1"/>
      <c r="E360" s="1"/>
      <c r="F360" s="1"/>
      <c r="G360" s="1"/>
      <c r="H360" s="1"/>
      <c r="I360" s="1"/>
      <c r="J360" s="1"/>
      <c r="K360" s="1"/>
      <c r="L360" s="1"/>
      <c r="M360" s="1"/>
    </row>
    <row r="361" spans="1:13" x14ac:dyDescent="0.25">
      <c r="B361" s="1"/>
      <c r="C361" s="1"/>
      <c r="D361" s="1"/>
      <c r="E361" s="1"/>
      <c r="F361" s="1"/>
      <c r="G361" s="1"/>
      <c r="H361" s="1"/>
      <c r="I361" s="1"/>
      <c r="J361" s="1"/>
      <c r="K361" s="1"/>
      <c r="L361" s="1"/>
      <c r="M361" s="1"/>
    </row>
    <row r="362" spans="1:13" x14ac:dyDescent="0.25">
      <c r="B362" s="1"/>
      <c r="C362" s="1"/>
      <c r="D362" s="1"/>
      <c r="E362" s="1"/>
      <c r="F362" s="1"/>
      <c r="G362" s="1"/>
      <c r="H362" s="1"/>
      <c r="I362" s="1"/>
      <c r="J362" s="1"/>
      <c r="K362" s="1"/>
      <c r="L362" s="1"/>
      <c r="M362" s="1"/>
    </row>
    <row r="363" spans="1:13" x14ac:dyDescent="0.25">
      <c r="B363" s="1"/>
      <c r="C363" s="1"/>
      <c r="D363" s="1"/>
      <c r="E363" s="1"/>
      <c r="F363" s="1"/>
      <c r="G363" s="1"/>
      <c r="H363" s="1"/>
      <c r="I363" s="1"/>
      <c r="J363" s="1"/>
      <c r="K363" s="1"/>
      <c r="L363" s="1"/>
      <c r="M363" s="1"/>
    </row>
    <row r="364" spans="1:13" x14ac:dyDescent="0.25">
      <c r="B364" s="1"/>
      <c r="C364" s="1"/>
      <c r="D364" s="1"/>
      <c r="E364" s="1"/>
      <c r="F364" s="1"/>
      <c r="G364" s="1"/>
      <c r="H364" s="1"/>
      <c r="I364" s="1"/>
      <c r="J364" s="1"/>
      <c r="K364" s="1"/>
      <c r="L364" s="1"/>
      <c r="M364" s="1"/>
    </row>
    <row r="365" spans="1:13" x14ac:dyDescent="0.25">
      <c r="B365" s="1"/>
      <c r="C365" s="1"/>
      <c r="D365" s="1"/>
      <c r="E365" s="1"/>
      <c r="F365" s="1"/>
      <c r="G365" s="1"/>
      <c r="H365" s="1"/>
      <c r="I365" s="1"/>
      <c r="J365" s="1"/>
      <c r="K365" s="1"/>
      <c r="L365" s="1"/>
      <c r="M365" s="1"/>
    </row>
    <row r="366" spans="1:13" x14ac:dyDescent="0.25">
      <c r="B366" s="1"/>
      <c r="C366" s="1"/>
      <c r="D366" s="1"/>
      <c r="E366" s="1"/>
      <c r="F366" s="1"/>
      <c r="G366" s="1"/>
      <c r="H366" s="1"/>
      <c r="I366" s="1"/>
      <c r="J366" s="1"/>
      <c r="K366" s="1"/>
      <c r="L366" s="1"/>
      <c r="M366" s="1"/>
    </row>
    <row r="367" spans="1:13" x14ac:dyDescent="0.25">
      <c r="B367" s="1"/>
      <c r="C367" s="1"/>
      <c r="D367" s="1"/>
      <c r="E367" s="1"/>
      <c r="F367" s="1"/>
      <c r="G367" s="1"/>
      <c r="H367" s="1"/>
      <c r="I367" s="1"/>
      <c r="J367" s="1"/>
      <c r="K367" s="1"/>
      <c r="L367" s="1"/>
      <c r="M367" s="1"/>
    </row>
    <row r="368" spans="1:13" x14ac:dyDescent="0.25">
      <c r="B368" s="1"/>
      <c r="C368" s="1"/>
      <c r="D368" s="1"/>
      <c r="E368" s="1"/>
      <c r="F368" s="1"/>
      <c r="G368" s="1"/>
      <c r="H368" s="1"/>
      <c r="I368" s="1"/>
      <c r="J368" s="1"/>
      <c r="K368" s="1"/>
      <c r="L368" s="1"/>
      <c r="M368" s="1"/>
    </row>
    <row r="369" spans="2:13" x14ac:dyDescent="0.25">
      <c r="B369" s="1"/>
      <c r="C369" s="1"/>
      <c r="D369" s="1"/>
      <c r="E369" s="1"/>
      <c r="F369" s="1"/>
      <c r="G369" s="1"/>
      <c r="H369" s="1"/>
      <c r="I369" s="1"/>
      <c r="J369" s="1"/>
      <c r="K369" s="1"/>
      <c r="L369" s="1"/>
      <c r="M369" s="1"/>
    </row>
    <row r="370" spans="2:13" x14ac:dyDescent="0.25">
      <c r="B370" s="1"/>
      <c r="C370" s="1"/>
      <c r="D370" s="1"/>
      <c r="E370" s="1"/>
      <c r="F370" s="1"/>
      <c r="G370" s="1"/>
      <c r="H370" s="1"/>
      <c r="I370" s="1"/>
      <c r="J370" s="1"/>
      <c r="K370" s="1"/>
      <c r="L370" s="1"/>
      <c r="M370" s="1"/>
    </row>
    <row r="371" spans="2:13" x14ac:dyDescent="0.25">
      <c r="B371" s="1"/>
      <c r="C371" s="1"/>
      <c r="D371" s="1"/>
      <c r="E371" s="1"/>
      <c r="F371" s="1"/>
      <c r="G371" s="1"/>
      <c r="H371" s="1"/>
      <c r="I371" s="1"/>
      <c r="J371" s="1"/>
      <c r="K371" s="1"/>
      <c r="L371" s="1"/>
      <c r="M371" s="1"/>
    </row>
    <row r="372" spans="2:13" x14ac:dyDescent="0.25">
      <c r="B372" s="1"/>
      <c r="C372" s="1"/>
      <c r="D372" s="1"/>
      <c r="E372" s="1"/>
      <c r="F372" s="1"/>
      <c r="G372" s="1"/>
      <c r="H372" s="1"/>
      <c r="I372" s="1"/>
      <c r="J372" s="1"/>
      <c r="K372" s="1"/>
      <c r="L372" s="1"/>
      <c r="M372" s="1"/>
    </row>
    <row r="373" spans="2:13" x14ac:dyDescent="0.25">
      <c r="B373" s="1"/>
      <c r="C373" s="1"/>
      <c r="D373" s="1"/>
      <c r="E373" s="1"/>
      <c r="F373" s="1"/>
      <c r="G373" s="1"/>
      <c r="H373" s="1"/>
      <c r="I373" s="1"/>
      <c r="J373" s="1"/>
      <c r="K373" s="1"/>
      <c r="L373" s="1"/>
      <c r="M373" s="1"/>
    </row>
    <row r="374" spans="2:13" x14ac:dyDescent="0.25">
      <c r="B374" s="1"/>
      <c r="C374" s="1"/>
      <c r="D374" s="1"/>
      <c r="E374" s="1"/>
      <c r="F374" s="1"/>
      <c r="G374" s="1"/>
      <c r="H374" s="1"/>
      <c r="I374" s="1"/>
      <c r="J374" s="1"/>
      <c r="K374" s="1"/>
      <c r="L374" s="1"/>
      <c r="M374" s="1"/>
    </row>
    <row r="375" spans="2:13" x14ac:dyDescent="0.25">
      <c r="B375" s="1"/>
      <c r="C375" s="1"/>
      <c r="D375" s="1"/>
      <c r="E375" s="1"/>
      <c r="F375" s="1"/>
      <c r="G375" s="1"/>
      <c r="H375" s="1"/>
      <c r="I375" s="1"/>
      <c r="J375" s="1"/>
      <c r="K375" s="1"/>
      <c r="L375" s="1"/>
      <c r="M375" s="1"/>
    </row>
    <row r="376" spans="2:13" x14ac:dyDescent="0.25">
      <c r="B376" s="1"/>
      <c r="C376" s="1"/>
      <c r="D376" s="1"/>
      <c r="E376" s="1"/>
      <c r="F376" s="1"/>
      <c r="G376" s="1"/>
      <c r="H376" s="1"/>
      <c r="I376" s="1"/>
      <c r="J376" s="1"/>
      <c r="K376" s="1"/>
      <c r="L376" s="1"/>
      <c r="M376" s="1"/>
    </row>
    <row r="377" spans="2:13" x14ac:dyDescent="0.25">
      <c r="B377" s="1"/>
      <c r="C377" s="1"/>
      <c r="D377" s="1"/>
      <c r="E377" s="1"/>
      <c r="F377" s="1"/>
      <c r="G377" s="1"/>
      <c r="H377" s="1"/>
      <c r="I377" s="1"/>
      <c r="J377" s="1"/>
      <c r="K377" s="1"/>
      <c r="L377" s="1"/>
      <c r="M377" s="1"/>
    </row>
    <row r="378" spans="2:13" x14ac:dyDescent="0.25">
      <c r="B378" s="1"/>
      <c r="C378" s="1"/>
      <c r="D378" s="1"/>
      <c r="E378" s="1"/>
      <c r="F378" s="1"/>
      <c r="G378" s="1"/>
      <c r="H378" s="1"/>
      <c r="I378" s="1"/>
      <c r="J378" s="1"/>
      <c r="K378" s="1"/>
      <c r="L378" s="1"/>
      <c r="M378" s="1"/>
    </row>
    <row r="379" spans="2:13" x14ac:dyDescent="0.25">
      <c r="B379" s="1"/>
      <c r="C379" s="1"/>
      <c r="D379" s="1"/>
      <c r="E379" s="1"/>
      <c r="F379" s="1"/>
      <c r="G379" s="1"/>
      <c r="H379" s="1"/>
      <c r="I379" s="1"/>
      <c r="J379" s="1"/>
      <c r="K379" s="1"/>
      <c r="L379" s="1"/>
      <c r="M379" s="1"/>
    </row>
    <row r="380" spans="2:13" x14ac:dyDescent="0.25">
      <c r="B380" s="1"/>
      <c r="C380" s="1"/>
      <c r="D380" s="1"/>
      <c r="E380" s="1"/>
      <c r="F380" s="1"/>
      <c r="G380" s="1"/>
      <c r="H380" s="1"/>
      <c r="I380" s="1"/>
      <c r="J380" s="1"/>
      <c r="K380" s="1"/>
      <c r="L380" s="1"/>
      <c r="M380" s="1"/>
    </row>
    <row r="381" spans="2:13" x14ac:dyDescent="0.25">
      <c r="B381" s="1"/>
      <c r="C381" s="1"/>
      <c r="D381" s="1"/>
      <c r="E381" s="1"/>
      <c r="F381" s="1"/>
      <c r="G381" s="1"/>
      <c r="H381" s="1"/>
      <c r="I381" s="1"/>
      <c r="J381" s="1"/>
      <c r="K381" s="1"/>
      <c r="L381" s="1"/>
      <c r="M381" s="1"/>
    </row>
    <row r="382" spans="2:13" x14ac:dyDescent="0.25">
      <c r="B382" s="1"/>
      <c r="C382" s="1"/>
      <c r="D382" s="1"/>
      <c r="E382" s="1"/>
      <c r="F382" s="1"/>
      <c r="G382" s="1"/>
      <c r="H382" s="1"/>
      <c r="I382" s="1"/>
      <c r="J382" s="1"/>
      <c r="K382" s="1"/>
      <c r="L382" s="1"/>
      <c r="M382" s="1"/>
    </row>
    <row r="383" spans="2:13" x14ac:dyDescent="0.25">
      <c r="B383" s="1"/>
      <c r="C383" s="1"/>
      <c r="D383" s="1"/>
      <c r="E383" s="1"/>
      <c r="F383" s="1"/>
      <c r="G383" s="1"/>
      <c r="H383" s="1"/>
      <c r="I383" s="1"/>
      <c r="J383" s="1"/>
      <c r="K383" s="1"/>
      <c r="L383" s="1"/>
      <c r="M383" s="1"/>
    </row>
    <row r="384" spans="2:13" x14ac:dyDescent="0.25">
      <c r="B384" s="1"/>
      <c r="C384" s="1"/>
      <c r="D384" s="1"/>
      <c r="E384" s="1"/>
      <c r="F384" s="1"/>
      <c r="G384" s="1"/>
      <c r="H384" s="1"/>
      <c r="I384" s="1"/>
      <c r="J384" s="1"/>
      <c r="K384" s="1"/>
      <c r="L384" s="1"/>
      <c r="M384" s="1"/>
    </row>
    <row r="385" spans="2:13" x14ac:dyDescent="0.25">
      <c r="B385" s="1"/>
      <c r="C385" s="1"/>
      <c r="D385" s="1"/>
      <c r="E385" s="1"/>
      <c r="F385" s="1"/>
      <c r="G385" s="1"/>
      <c r="H385" s="1"/>
      <c r="I385" s="1"/>
      <c r="J385" s="1"/>
      <c r="K385" s="1"/>
      <c r="L385" s="1"/>
      <c r="M385" s="1"/>
    </row>
    <row r="386" spans="2:13" x14ac:dyDescent="0.25">
      <c r="B386" s="1"/>
      <c r="C386" s="1"/>
      <c r="D386" s="1"/>
      <c r="E386" s="1"/>
      <c r="F386" s="1"/>
      <c r="G386" s="1"/>
      <c r="H386" s="1"/>
      <c r="I386" s="1"/>
      <c r="J386" s="1"/>
      <c r="K386" s="1"/>
      <c r="L386" s="1"/>
      <c r="M386" s="1"/>
    </row>
    <row r="387" spans="2:13" x14ac:dyDescent="0.25">
      <c r="B387" s="1"/>
      <c r="C387" s="1"/>
      <c r="D387" s="1"/>
      <c r="E387" s="1"/>
      <c r="F387" s="1"/>
      <c r="G387" s="1"/>
      <c r="H387" s="1"/>
      <c r="I387" s="1"/>
      <c r="J387" s="1"/>
      <c r="K387" s="1"/>
      <c r="L387" s="1"/>
      <c r="M387" s="1"/>
    </row>
    <row r="388" spans="2:13" x14ac:dyDescent="0.25">
      <c r="B388" s="1"/>
      <c r="C388" s="1"/>
      <c r="D388" s="1"/>
      <c r="E388" s="1"/>
      <c r="F388" s="1"/>
      <c r="G388" s="1"/>
      <c r="H388" s="1"/>
      <c r="I388" s="1"/>
      <c r="J388" s="1"/>
      <c r="K388" s="1"/>
      <c r="L388" s="1"/>
      <c r="M388" s="1"/>
    </row>
    <row r="389" spans="2:13" x14ac:dyDescent="0.25">
      <c r="B389" s="1"/>
      <c r="C389" s="1"/>
      <c r="D389" s="1"/>
      <c r="E389" s="1"/>
      <c r="F389" s="1"/>
      <c r="G389" s="1"/>
      <c r="H389" s="1"/>
      <c r="I389" s="1"/>
      <c r="J389" s="1"/>
      <c r="K389" s="1"/>
      <c r="L389" s="1"/>
      <c r="M389" s="1"/>
    </row>
    <row r="390" spans="2:13" x14ac:dyDescent="0.25">
      <c r="B390" s="1"/>
      <c r="C390" s="1"/>
      <c r="D390" s="1"/>
      <c r="E390" s="1"/>
      <c r="F390" s="1"/>
      <c r="G390" s="1"/>
      <c r="H390" s="1"/>
      <c r="I390" s="1"/>
      <c r="J390" s="1"/>
      <c r="K390" s="1"/>
      <c r="L390" s="1"/>
      <c r="M390" s="1"/>
    </row>
    <row r="391" spans="2:13" x14ac:dyDescent="0.25">
      <c r="B391" s="1"/>
      <c r="C391" s="1"/>
      <c r="D391" s="1"/>
      <c r="E391" s="1"/>
      <c r="F391" s="1"/>
      <c r="G391" s="1"/>
      <c r="H391" s="1"/>
      <c r="I391" s="1"/>
      <c r="J391" s="1"/>
      <c r="K391" s="1"/>
      <c r="L391" s="1"/>
      <c r="M391" s="1"/>
    </row>
    <row r="392" spans="2:13" x14ac:dyDescent="0.25">
      <c r="B392" s="1"/>
      <c r="C392" s="1"/>
      <c r="D392" s="1"/>
      <c r="E392" s="1"/>
      <c r="F392" s="1"/>
      <c r="G392" s="1"/>
      <c r="H392" s="1"/>
      <c r="I392" s="1"/>
      <c r="J392" s="1"/>
      <c r="K392" s="1"/>
      <c r="L392" s="1"/>
      <c r="M392" s="1"/>
    </row>
    <row r="393" spans="2:13" x14ac:dyDescent="0.25">
      <c r="B393" s="1"/>
      <c r="C393" s="1"/>
      <c r="D393" s="1"/>
      <c r="E393" s="1"/>
      <c r="F393" s="1"/>
      <c r="G393" s="1"/>
      <c r="H393" s="1"/>
      <c r="I393" s="1"/>
      <c r="J393" s="1"/>
      <c r="K393" s="1"/>
      <c r="L393" s="1"/>
      <c r="M393" s="1"/>
    </row>
    <row r="394" spans="2:13" x14ac:dyDescent="0.25">
      <c r="B394" s="1"/>
      <c r="C394" s="1"/>
      <c r="D394" s="1"/>
      <c r="E394" s="1"/>
      <c r="F394" s="1"/>
      <c r="G394" s="1"/>
      <c r="H394" s="1"/>
      <c r="I394" s="1"/>
      <c r="J394" s="1"/>
      <c r="K394" s="1"/>
      <c r="L394" s="1"/>
      <c r="M394" s="1"/>
    </row>
    <row r="395" spans="2:13" x14ac:dyDescent="0.25">
      <c r="B395" s="1"/>
      <c r="C395" s="1"/>
      <c r="D395" s="1"/>
      <c r="E395" s="1"/>
      <c r="F395" s="1"/>
      <c r="G395" s="1"/>
      <c r="H395" s="1"/>
      <c r="I395" s="1"/>
      <c r="J395" s="1"/>
      <c r="K395" s="1"/>
      <c r="L395" s="1"/>
      <c r="M395" s="1"/>
    </row>
    <row r="396" spans="2:13" x14ac:dyDescent="0.25">
      <c r="B396" s="1"/>
      <c r="C396" s="1"/>
      <c r="D396" s="1"/>
      <c r="E396" s="1"/>
      <c r="F396" s="1"/>
      <c r="G396" s="1"/>
      <c r="H396" s="1"/>
      <c r="I396" s="1"/>
      <c r="J396" s="1"/>
      <c r="K396" s="1"/>
      <c r="L396" s="1"/>
      <c r="M396" s="1"/>
    </row>
  </sheetData>
  <mergeCells count="1">
    <mergeCell ref="F1:H1"/>
  </mergeCells>
  <phoneticPr fontId="14" type="noConversion"/>
  <printOptions gridLines="1"/>
  <pageMargins left="0.75" right="0.75" top="1" bottom="1" header="0.5" footer="0.5"/>
  <pageSetup scale="67" fitToHeight="0" orientation="landscape" horizontalDpi="4294967292" verticalDpi="4294967292"/>
  <headerFooter>
    <oddHeader>&amp;C&amp;"Calibri,Regular"&amp;14&amp;K000000Finance Department</oddHeader>
  </headerFooter>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CCFF"/>
  </sheetPr>
  <dimension ref="A1:X330"/>
  <sheetViews>
    <sheetView workbookViewId="0">
      <pane ySplit="4" topLeftCell="A5" activePane="bottomLeft" state="frozen"/>
      <selection pane="bottomLeft" activeCell="AD15" sqref="AD15"/>
    </sheetView>
  </sheetViews>
  <sheetFormatPr defaultColWidth="11" defaultRowHeight="15.75" x14ac:dyDescent="0.25"/>
  <cols>
    <col min="1" max="1" width="36.625" customWidth="1"/>
    <col min="2" max="2" width="15.125" bestFit="1" customWidth="1"/>
    <col min="3" max="9" width="12.5" bestFit="1" customWidth="1"/>
    <col min="10" max="10" width="13.875" customWidth="1"/>
    <col min="11" max="11" width="14.125" style="278" bestFit="1" customWidth="1"/>
    <col min="12" max="12" width="13.875" customWidth="1"/>
    <col min="13" max="13" width="15.125" hidden="1" customWidth="1"/>
    <col min="14" max="14" width="11" style="124"/>
  </cols>
  <sheetData>
    <row r="1" spans="1:23" ht="18.75" x14ac:dyDescent="0.3">
      <c r="A1" s="36" t="s">
        <v>31</v>
      </c>
      <c r="F1" s="1020" t="s">
        <v>154</v>
      </c>
      <c r="G1" s="1020"/>
      <c r="H1" s="1020"/>
      <c r="J1" s="357"/>
      <c r="K1" s="295"/>
      <c r="L1" s="357"/>
      <c r="M1" s="357"/>
    </row>
    <row r="2" spans="1:23" x14ac:dyDescent="0.25">
      <c r="A2" s="2"/>
    </row>
    <row r="3" spans="1:23" x14ac:dyDescent="0.25">
      <c r="A3" s="2"/>
      <c r="B3" s="435" t="s">
        <v>58</v>
      </c>
      <c r="C3" s="360" t="s">
        <v>58</v>
      </c>
      <c r="D3" s="360" t="s">
        <v>58</v>
      </c>
      <c r="E3" s="360" t="s">
        <v>58</v>
      </c>
      <c r="F3" s="360" t="s">
        <v>58</v>
      </c>
      <c r="G3" s="360" t="s">
        <v>58</v>
      </c>
      <c r="H3" s="360" t="s">
        <v>58</v>
      </c>
      <c r="I3" s="360" t="s">
        <v>58</v>
      </c>
      <c r="J3" s="436" t="s">
        <v>58</v>
      </c>
      <c r="K3" s="435" t="s">
        <v>58</v>
      </c>
      <c r="L3" s="441" t="s">
        <v>58</v>
      </c>
      <c r="M3" s="360" t="s">
        <v>58</v>
      </c>
    </row>
    <row r="4" spans="1:23" x14ac:dyDescent="0.25">
      <c r="B4" s="437" t="s">
        <v>55</v>
      </c>
      <c r="C4" s="205" t="s">
        <v>55</v>
      </c>
      <c r="D4" s="205" t="s">
        <v>55</v>
      </c>
      <c r="E4" s="205" t="s">
        <v>55</v>
      </c>
      <c r="F4" s="205" t="s">
        <v>55</v>
      </c>
      <c r="G4" s="205" t="s">
        <v>55</v>
      </c>
      <c r="H4" s="205" t="s">
        <v>55</v>
      </c>
      <c r="I4" s="205" t="s">
        <v>55</v>
      </c>
      <c r="J4" s="438" t="s">
        <v>55</v>
      </c>
      <c r="K4" s="437" t="s">
        <v>151</v>
      </c>
      <c r="L4" s="442" t="s">
        <v>56</v>
      </c>
      <c r="M4" s="205" t="s">
        <v>253</v>
      </c>
      <c r="O4" s="2"/>
    </row>
    <row r="5" spans="1:23" ht="16.5" thickBot="1" x14ac:dyDescent="0.3">
      <c r="B5" s="439">
        <v>2009</v>
      </c>
      <c r="C5" s="367">
        <v>2010</v>
      </c>
      <c r="D5" s="367">
        <v>2011</v>
      </c>
      <c r="E5" s="367">
        <v>2012</v>
      </c>
      <c r="F5" s="367">
        <v>2013</v>
      </c>
      <c r="G5" s="367">
        <v>2014</v>
      </c>
      <c r="H5" s="367">
        <v>2015</v>
      </c>
      <c r="I5" s="367">
        <v>2016</v>
      </c>
      <c r="J5" s="440">
        <v>2017</v>
      </c>
      <c r="K5" s="439">
        <v>2018</v>
      </c>
      <c r="L5" s="456">
        <v>2019</v>
      </c>
      <c r="M5" s="367">
        <v>2018</v>
      </c>
      <c r="O5" s="3"/>
    </row>
    <row r="6" spans="1:23" s="278" customFormat="1" ht="18.75" x14ac:dyDescent="0.3">
      <c r="A6" s="370" t="s">
        <v>333</v>
      </c>
      <c r="B6" s="378"/>
      <c r="C6" s="371"/>
      <c r="D6" s="371"/>
      <c r="E6" s="371"/>
      <c r="F6" s="371"/>
      <c r="G6" s="371"/>
      <c r="H6" s="371"/>
      <c r="I6" s="371"/>
      <c r="J6" s="379"/>
      <c r="K6" s="463"/>
      <c r="L6" s="464"/>
      <c r="M6" s="379"/>
      <c r="N6" s="126"/>
      <c r="O6" s="3"/>
    </row>
    <row r="7" spans="1:23" x14ac:dyDescent="0.25">
      <c r="A7" s="106" t="s">
        <v>92</v>
      </c>
      <c r="B7" s="380">
        <v>0</v>
      </c>
      <c r="C7" s="315">
        <v>336570</v>
      </c>
      <c r="D7" s="315">
        <v>305561</v>
      </c>
      <c r="E7" s="315">
        <v>283800</v>
      </c>
      <c r="F7" s="315">
        <v>777570</v>
      </c>
      <c r="G7" s="315">
        <f>26+830617</f>
        <v>830643</v>
      </c>
      <c r="H7" s="315">
        <v>895981</v>
      </c>
      <c r="I7" s="315">
        <v>837541</v>
      </c>
      <c r="J7" s="381">
        <v>969214</v>
      </c>
      <c r="K7" s="315">
        <v>1153480</v>
      </c>
      <c r="L7" s="372">
        <v>0</v>
      </c>
      <c r="M7" s="381">
        <v>1153480</v>
      </c>
      <c r="N7" s="121"/>
      <c r="O7" s="3"/>
    </row>
    <row r="8" spans="1:23" x14ac:dyDescent="0.25">
      <c r="A8" s="353" t="s">
        <v>88</v>
      </c>
      <c r="B8" s="380">
        <f>+B49</f>
        <v>11868938</v>
      </c>
      <c r="C8" s="315">
        <f>+C49</f>
        <v>11947462</v>
      </c>
      <c r="D8" s="315">
        <f t="shared" ref="D8:M8" si="0">+D49</f>
        <v>12232465</v>
      </c>
      <c r="E8" s="315">
        <f t="shared" si="0"/>
        <v>11649697</v>
      </c>
      <c r="F8" s="315">
        <f t="shared" si="0"/>
        <v>11990769</v>
      </c>
      <c r="G8" s="315">
        <f t="shared" si="0"/>
        <v>12055743</v>
      </c>
      <c r="H8" s="315">
        <f t="shared" si="0"/>
        <v>14171909</v>
      </c>
      <c r="I8" s="315">
        <f t="shared" si="0"/>
        <v>19371826</v>
      </c>
      <c r="J8" s="381">
        <f t="shared" si="0"/>
        <v>17478335</v>
      </c>
      <c r="K8" s="315">
        <f>+K49</f>
        <v>19105995</v>
      </c>
      <c r="L8" s="372">
        <f>+L49</f>
        <v>19602555</v>
      </c>
      <c r="M8" s="381">
        <f t="shared" si="0"/>
        <v>19105995</v>
      </c>
      <c r="N8" s="121"/>
      <c r="O8" s="3"/>
    </row>
    <row r="9" spans="1:23" x14ac:dyDescent="0.25">
      <c r="A9" s="107" t="s">
        <v>93</v>
      </c>
      <c r="B9" s="380">
        <v>0</v>
      </c>
      <c r="C9" s="315">
        <v>0</v>
      </c>
      <c r="D9" s="315">
        <v>0</v>
      </c>
      <c r="E9" s="315">
        <v>0</v>
      </c>
      <c r="F9" s="315">
        <v>0</v>
      </c>
      <c r="G9" s="315">
        <v>0</v>
      </c>
      <c r="H9" s="315">
        <v>0</v>
      </c>
      <c r="I9" s="315">
        <v>0</v>
      </c>
      <c r="J9" s="381">
        <v>0</v>
      </c>
      <c r="K9" s="315">
        <v>0</v>
      </c>
      <c r="L9" s="372">
        <v>0</v>
      </c>
      <c r="M9" s="381">
        <v>0</v>
      </c>
      <c r="N9" s="121"/>
      <c r="O9" s="3"/>
    </row>
    <row r="10" spans="1:23" x14ac:dyDescent="0.25">
      <c r="A10" s="354" t="s">
        <v>78</v>
      </c>
      <c r="B10" s="380">
        <v>0</v>
      </c>
      <c r="C10" s="315">
        <v>0</v>
      </c>
      <c r="D10" s="315">
        <v>0</v>
      </c>
      <c r="E10" s="315">
        <v>0</v>
      </c>
      <c r="F10" s="315">
        <v>0</v>
      </c>
      <c r="G10" s="315">
        <v>0</v>
      </c>
      <c r="H10" s="315">
        <v>0</v>
      </c>
      <c r="I10" s="315">
        <v>0</v>
      </c>
      <c r="J10" s="381">
        <v>0</v>
      </c>
      <c r="K10" s="315">
        <v>0</v>
      </c>
      <c r="L10" s="372">
        <v>0</v>
      </c>
      <c r="M10" s="381">
        <v>0</v>
      </c>
      <c r="N10" s="121"/>
      <c r="O10" s="2"/>
    </row>
    <row r="11" spans="1:23" ht="16.5" thickBot="1" x14ac:dyDescent="0.3">
      <c r="A11" s="108"/>
      <c r="B11" s="382"/>
      <c r="C11" s="369"/>
      <c r="D11" s="369"/>
      <c r="E11" s="369"/>
      <c r="F11" s="369"/>
      <c r="G11" s="369"/>
      <c r="H11" s="369"/>
      <c r="I11" s="369"/>
      <c r="J11" s="383"/>
      <c r="K11" s="369"/>
      <c r="L11" s="373"/>
      <c r="M11" s="383">
        <v>0</v>
      </c>
      <c r="N11" s="121"/>
      <c r="O11" s="2"/>
    </row>
    <row r="12" spans="1:23" ht="17.25" thickTop="1" thickBot="1" x14ac:dyDescent="0.3">
      <c r="A12" s="474" t="s">
        <v>100</v>
      </c>
      <c r="B12" s="475">
        <f t="shared" ref="B12:M12" si="1">SUM(B7:B11)</f>
        <v>11868938</v>
      </c>
      <c r="C12" s="476">
        <f t="shared" si="1"/>
        <v>12284032</v>
      </c>
      <c r="D12" s="476">
        <f t="shared" si="1"/>
        <v>12538026</v>
      </c>
      <c r="E12" s="476">
        <f t="shared" si="1"/>
        <v>11933497</v>
      </c>
      <c r="F12" s="476">
        <f t="shared" si="1"/>
        <v>12768339</v>
      </c>
      <c r="G12" s="476">
        <f t="shared" si="1"/>
        <v>12886386</v>
      </c>
      <c r="H12" s="476">
        <f t="shared" si="1"/>
        <v>15067890</v>
      </c>
      <c r="I12" s="476">
        <f t="shared" si="1"/>
        <v>20209367</v>
      </c>
      <c r="J12" s="477">
        <f t="shared" si="1"/>
        <v>18447549</v>
      </c>
      <c r="K12" s="476">
        <f>SUM(K7:K11)</f>
        <v>20259475</v>
      </c>
      <c r="L12" s="478">
        <f>SUM(L7:L11)</f>
        <v>19602555</v>
      </c>
      <c r="M12" s="433">
        <f t="shared" si="1"/>
        <v>20259475</v>
      </c>
      <c r="N12" s="126"/>
      <c r="O12" s="2"/>
    </row>
    <row r="13" spans="1:23" x14ac:dyDescent="0.25">
      <c r="A13" s="2"/>
      <c r="B13" s="407"/>
      <c r="C13" s="312"/>
      <c r="D13" s="312"/>
      <c r="E13" s="312"/>
      <c r="F13" s="312"/>
      <c r="G13" s="312"/>
      <c r="H13" s="312"/>
      <c r="I13" s="312"/>
      <c r="J13" s="400"/>
      <c r="K13" s="312"/>
      <c r="L13" s="444"/>
      <c r="M13" s="312"/>
      <c r="N13" s="126"/>
      <c r="O13" s="2"/>
      <c r="W13" s="19"/>
    </row>
    <row r="14" spans="1:23" ht="16.5" thickBot="1" x14ac:dyDescent="0.3">
      <c r="A14" s="75"/>
      <c r="B14" s="380"/>
      <c r="C14" s="313"/>
      <c r="D14" s="313"/>
      <c r="E14" s="313"/>
      <c r="F14" s="313"/>
      <c r="G14" s="313"/>
      <c r="H14" s="313"/>
      <c r="I14" s="313"/>
      <c r="J14" s="381"/>
      <c r="K14" s="313"/>
      <c r="L14" s="372"/>
      <c r="M14" s="313"/>
      <c r="N14" s="126"/>
      <c r="O14" s="2"/>
    </row>
    <row r="15" spans="1:23" ht="18.75" x14ac:dyDescent="0.3">
      <c r="A15" s="376" t="s">
        <v>332</v>
      </c>
      <c r="B15" s="521">
        <v>2009</v>
      </c>
      <c r="C15" s="522">
        <v>2010</v>
      </c>
      <c r="D15" s="522">
        <v>2011</v>
      </c>
      <c r="E15" s="522">
        <v>2012</v>
      </c>
      <c r="F15" s="522">
        <v>2013</v>
      </c>
      <c r="G15" s="522">
        <v>2014</v>
      </c>
      <c r="H15" s="522">
        <v>2015</v>
      </c>
      <c r="I15" s="522">
        <v>2016</v>
      </c>
      <c r="J15" s="523">
        <v>2017</v>
      </c>
      <c r="K15" s="522">
        <v>2018</v>
      </c>
      <c r="L15" s="524">
        <v>2019</v>
      </c>
      <c r="M15" s="520">
        <v>2018</v>
      </c>
      <c r="N15" s="535"/>
      <c r="O15" s="10"/>
    </row>
    <row r="16" spans="1:23" x14ac:dyDescent="0.25">
      <c r="A16" s="106" t="s">
        <v>92</v>
      </c>
      <c r="B16" s="380">
        <v>1054627</v>
      </c>
      <c r="C16" s="315">
        <v>865256</v>
      </c>
      <c r="D16" s="315">
        <v>743474</v>
      </c>
      <c r="E16" s="315">
        <v>859665</v>
      </c>
      <c r="F16" s="315">
        <v>962311</v>
      </c>
      <c r="G16" s="315">
        <v>1108001</v>
      </c>
      <c r="H16" s="315">
        <v>1136292</v>
      </c>
      <c r="I16" s="315">
        <v>1193313</v>
      </c>
      <c r="J16" s="381">
        <v>1414939</v>
      </c>
      <c r="K16" s="315">
        <v>1813328</v>
      </c>
      <c r="L16" s="372">
        <v>1839400</v>
      </c>
      <c r="M16" s="381">
        <v>1813328</v>
      </c>
      <c r="N16" s="126"/>
    </row>
    <row r="17" spans="1:24" x14ac:dyDescent="0.25">
      <c r="A17" s="353" t="s">
        <v>88</v>
      </c>
      <c r="B17" s="380">
        <f>+B57</f>
        <v>11116066</v>
      </c>
      <c r="C17" s="315">
        <f>+C57</f>
        <v>11075298</v>
      </c>
      <c r="D17" s="315">
        <f t="shared" ref="D17:E17" si="2">+D57</f>
        <v>11778659</v>
      </c>
      <c r="E17" s="315">
        <f t="shared" si="2"/>
        <v>10540253</v>
      </c>
      <c r="F17" s="315">
        <f t="shared" ref="F17:M17" si="3">+F57</f>
        <v>12678270</v>
      </c>
      <c r="G17" s="315">
        <f t="shared" si="3"/>
        <v>14080963</v>
      </c>
      <c r="H17" s="315">
        <f t="shared" si="3"/>
        <v>17722972</v>
      </c>
      <c r="I17" s="315">
        <f t="shared" si="3"/>
        <v>15894286</v>
      </c>
      <c r="J17" s="381">
        <f t="shared" si="3"/>
        <v>14351941</v>
      </c>
      <c r="K17" s="315">
        <f>+K57</f>
        <v>19015038</v>
      </c>
      <c r="L17" s="372">
        <f>+L57</f>
        <v>20299627</v>
      </c>
      <c r="M17" s="381">
        <f t="shared" si="3"/>
        <v>18900387</v>
      </c>
      <c r="N17" s="127"/>
    </row>
    <row r="18" spans="1:24" x14ac:dyDescent="0.25">
      <c r="A18" s="107" t="s">
        <v>93</v>
      </c>
      <c r="B18" s="380">
        <v>0</v>
      </c>
      <c r="C18" s="315">
        <v>0</v>
      </c>
      <c r="D18" s="315">
        <v>0</v>
      </c>
      <c r="E18" s="315">
        <v>0</v>
      </c>
      <c r="F18" s="315">
        <v>0</v>
      </c>
      <c r="G18" s="315">
        <v>0</v>
      </c>
      <c r="H18" s="315">
        <v>0</v>
      </c>
      <c r="I18" s="315">
        <v>0</v>
      </c>
      <c r="J18" s="381">
        <v>0</v>
      </c>
      <c r="K18" s="315">
        <v>0</v>
      </c>
      <c r="L18" s="372">
        <v>0</v>
      </c>
      <c r="M18" s="381">
        <v>0</v>
      </c>
      <c r="O18" s="1"/>
    </row>
    <row r="19" spans="1:24" x14ac:dyDescent="0.25">
      <c r="A19" s="354" t="s">
        <v>78</v>
      </c>
      <c r="B19" s="380">
        <v>0</v>
      </c>
      <c r="C19" s="315">
        <v>0</v>
      </c>
      <c r="D19" s="315">
        <v>0</v>
      </c>
      <c r="E19" s="315">
        <v>0</v>
      </c>
      <c r="F19" s="315">
        <v>0</v>
      </c>
      <c r="G19" s="315">
        <v>0</v>
      </c>
      <c r="H19" s="315">
        <v>0</v>
      </c>
      <c r="I19" s="315">
        <v>0</v>
      </c>
      <c r="J19" s="381">
        <v>0</v>
      </c>
      <c r="K19" s="315">
        <v>0</v>
      </c>
      <c r="L19" s="372">
        <v>0</v>
      </c>
      <c r="M19" s="381">
        <v>0</v>
      </c>
      <c r="O19" s="1"/>
      <c r="X19" t="s">
        <v>146</v>
      </c>
    </row>
    <row r="20" spans="1:24" ht="16.5" thickBot="1" x14ac:dyDescent="0.3">
      <c r="A20" s="479"/>
      <c r="B20" s="382"/>
      <c r="C20" s="369"/>
      <c r="D20" s="369"/>
      <c r="E20" s="369"/>
      <c r="F20" s="369"/>
      <c r="G20" s="369"/>
      <c r="H20" s="369"/>
      <c r="I20" s="369"/>
      <c r="J20" s="383"/>
      <c r="K20" s="369"/>
      <c r="L20" s="373"/>
      <c r="M20" s="383">
        <v>0</v>
      </c>
      <c r="N20" s="488"/>
      <c r="O20" s="1"/>
      <c r="X20" t="s">
        <v>147</v>
      </c>
    </row>
    <row r="21" spans="1:24" ht="17.25" thickTop="1" thickBot="1" x14ac:dyDescent="0.3">
      <c r="A21" s="896" t="s">
        <v>102</v>
      </c>
      <c r="B21" s="475">
        <f t="shared" ref="B21:M21" si="4">SUM(B16:B19)</f>
        <v>12170693</v>
      </c>
      <c r="C21" s="476">
        <f t="shared" si="4"/>
        <v>11940554</v>
      </c>
      <c r="D21" s="476">
        <f t="shared" si="4"/>
        <v>12522133</v>
      </c>
      <c r="E21" s="476">
        <f t="shared" si="4"/>
        <v>11399918</v>
      </c>
      <c r="F21" s="476">
        <f t="shared" si="4"/>
        <v>13640581</v>
      </c>
      <c r="G21" s="476">
        <f t="shared" si="4"/>
        <v>15188964</v>
      </c>
      <c r="H21" s="476">
        <f t="shared" si="4"/>
        <v>18859264</v>
      </c>
      <c r="I21" s="476">
        <f t="shared" si="4"/>
        <v>17087599</v>
      </c>
      <c r="J21" s="477">
        <f t="shared" si="4"/>
        <v>15766880</v>
      </c>
      <c r="K21" s="476">
        <f>SUM(K16:K19)</f>
        <v>20828366</v>
      </c>
      <c r="L21" s="478">
        <f>SUM(L16:L19)</f>
        <v>22139027</v>
      </c>
      <c r="M21" s="433">
        <f t="shared" si="4"/>
        <v>20713715</v>
      </c>
      <c r="N21" s="488"/>
      <c r="O21" s="1"/>
      <c r="X21" t="s">
        <v>148</v>
      </c>
    </row>
    <row r="22" spans="1:24" ht="18.75" x14ac:dyDescent="0.3">
      <c r="A22" s="138"/>
      <c r="B22" s="578"/>
      <c r="C22" s="579"/>
      <c r="D22" s="579"/>
      <c r="E22" s="579"/>
      <c r="F22" s="579"/>
      <c r="G22" s="579"/>
      <c r="H22" s="579"/>
      <c r="I22" s="579"/>
      <c r="J22" s="580"/>
      <c r="K22" s="579"/>
      <c r="L22" s="581"/>
      <c r="M22" s="580"/>
      <c r="N22" s="488"/>
      <c r="O22" s="1"/>
      <c r="X22" t="s">
        <v>149</v>
      </c>
    </row>
    <row r="23" spans="1:24" x14ac:dyDescent="0.25">
      <c r="B23" s="392"/>
      <c r="J23" s="393"/>
      <c r="L23" s="163"/>
      <c r="N23" s="120"/>
      <c r="O23" s="1"/>
    </row>
    <row r="24" spans="1:24" x14ac:dyDescent="0.25">
      <c r="A24" s="278"/>
      <c r="B24" s="525">
        <v>2009</v>
      </c>
      <c r="C24" s="46">
        <v>2010</v>
      </c>
      <c r="D24" s="46">
        <v>2011</v>
      </c>
      <c r="E24" s="46">
        <v>2012</v>
      </c>
      <c r="F24" s="46">
        <v>2013</v>
      </c>
      <c r="G24" s="46">
        <v>2014</v>
      </c>
      <c r="H24" s="46">
        <v>2015</v>
      </c>
      <c r="I24" s="46">
        <v>2016</v>
      </c>
      <c r="J24" s="526">
        <v>2017</v>
      </c>
      <c r="K24" s="46">
        <v>2018</v>
      </c>
      <c r="L24" s="443">
        <v>2019</v>
      </c>
      <c r="M24" s="146">
        <v>2018</v>
      </c>
      <c r="N24" s="120"/>
      <c r="O24" s="1"/>
    </row>
    <row r="25" spans="1:24" x14ac:dyDescent="0.25">
      <c r="A25" s="10" t="s">
        <v>152</v>
      </c>
      <c r="B25" s="610">
        <f t="shared" ref="B25:M25" si="5">+B16/B26</f>
        <v>16.697175516924734</v>
      </c>
      <c r="C25" s="611">
        <f t="shared" si="5"/>
        <v>12.772814502081427</v>
      </c>
      <c r="D25" s="611">
        <f t="shared" si="5"/>
        <v>10.812437282762032</v>
      </c>
      <c r="E25" s="611">
        <f t="shared" si="5"/>
        <v>12.397643529801993</v>
      </c>
      <c r="F25" s="611">
        <f t="shared" si="5"/>
        <v>13.675017763251386</v>
      </c>
      <c r="G25" s="611">
        <f t="shared" si="5"/>
        <v>15.599715601109438</v>
      </c>
      <c r="H25" s="611">
        <f t="shared" si="5"/>
        <v>15.476600381367474</v>
      </c>
      <c r="I25" s="611">
        <f t="shared" si="5"/>
        <v>16.042387578140755</v>
      </c>
      <c r="J25" s="612">
        <f t="shared" si="5"/>
        <v>18.656896097046413</v>
      </c>
      <c r="K25" s="611">
        <f t="shared" si="5"/>
        <v>23.469855815277885</v>
      </c>
      <c r="L25" s="613">
        <f t="shared" si="5"/>
        <v>23.289440364649277</v>
      </c>
      <c r="M25" s="608">
        <f t="shared" si="5"/>
        <v>23.469855815277885</v>
      </c>
      <c r="N25" s="488"/>
      <c r="O25" s="1"/>
    </row>
    <row r="26" spans="1:24" x14ac:dyDescent="0.25">
      <c r="A26" s="278" t="s">
        <v>343</v>
      </c>
      <c r="B26" s="515">
        <f>Stats!D4</f>
        <v>63162</v>
      </c>
      <c r="C26" s="125">
        <f>Stats!E4</f>
        <v>67742</v>
      </c>
      <c r="D26" s="125">
        <f>Stats!F4</f>
        <v>68761</v>
      </c>
      <c r="E26" s="125">
        <f>Stats!G4</f>
        <v>69341</v>
      </c>
      <c r="F26" s="125">
        <f>Stats!H4</f>
        <v>70370</v>
      </c>
      <c r="G26" s="125">
        <f>Stats!I4</f>
        <v>71027</v>
      </c>
      <c r="H26" s="125">
        <f>Stats!J4</f>
        <v>73420</v>
      </c>
      <c r="I26" s="125">
        <f>Stats!K4</f>
        <v>74385</v>
      </c>
      <c r="J26" s="483">
        <f>Stats!L4</f>
        <v>75840</v>
      </c>
      <c r="K26" s="125">
        <f>Stats!M4</f>
        <v>77262</v>
      </c>
      <c r="L26" s="486">
        <f>Stats!N4</f>
        <v>78980</v>
      </c>
      <c r="M26" s="404">
        <f>Stats!M4</f>
        <v>77262</v>
      </c>
      <c r="N26" s="488"/>
      <c r="O26" s="1"/>
    </row>
    <row r="27" spans="1:24" x14ac:dyDescent="0.25">
      <c r="A27" s="278"/>
      <c r="B27" s="392"/>
      <c r="C27" s="50"/>
      <c r="D27" s="50"/>
      <c r="E27" s="50"/>
      <c r="F27" s="50"/>
      <c r="G27" s="50"/>
      <c r="H27" s="50"/>
      <c r="I27" s="50"/>
      <c r="J27" s="393"/>
      <c r="K27" s="50"/>
      <c r="L27" s="163"/>
      <c r="M27" s="393"/>
      <c r="N27" s="488"/>
      <c r="O27" s="1"/>
    </row>
    <row r="28" spans="1:24" x14ac:dyDescent="0.25">
      <c r="A28" s="10" t="s">
        <v>130</v>
      </c>
      <c r="B28" s="614">
        <f t="shared" ref="B28:M28" si="6">+B16/B29</f>
        <v>105462.7</v>
      </c>
      <c r="C28" s="615">
        <f t="shared" si="6"/>
        <v>86525.6</v>
      </c>
      <c r="D28" s="615">
        <f t="shared" si="6"/>
        <v>76253.743589743593</v>
      </c>
      <c r="E28" s="615">
        <f t="shared" si="6"/>
        <v>95518.333333333328</v>
      </c>
      <c r="F28" s="615">
        <f t="shared" si="6"/>
        <v>106923.44444444444</v>
      </c>
      <c r="G28" s="615">
        <f t="shared" si="6"/>
        <v>123111.22222222222</v>
      </c>
      <c r="H28" s="615">
        <f t="shared" si="6"/>
        <v>126254.66666666667</v>
      </c>
      <c r="I28" s="615">
        <f t="shared" si="6"/>
        <v>132590.33333333334</v>
      </c>
      <c r="J28" s="616">
        <f t="shared" si="6"/>
        <v>157215.44444444444</v>
      </c>
      <c r="K28" s="615">
        <f t="shared" si="6"/>
        <v>201480.88888888888</v>
      </c>
      <c r="L28" s="617">
        <f t="shared" si="6"/>
        <v>204377.77777777778</v>
      </c>
      <c r="M28" s="609">
        <f t="shared" si="6"/>
        <v>201480.88888888888</v>
      </c>
      <c r="N28" s="488"/>
      <c r="O28" s="1"/>
    </row>
    <row r="29" spans="1:24" x14ac:dyDescent="0.25">
      <c r="A29" s="278" t="s">
        <v>344</v>
      </c>
      <c r="B29" s="515">
        <f>+B39</f>
        <v>10</v>
      </c>
      <c r="C29" s="125">
        <f t="shared" ref="C29:M29" si="7">+C39</f>
        <v>10</v>
      </c>
      <c r="D29" s="125">
        <f t="shared" si="7"/>
        <v>9.75</v>
      </c>
      <c r="E29" s="125">
        <f t="shared" si="7"/>
        <v>9</v>
      </c>
      <c r="F29" s="125">
        <f t="shared" si="7"/>
        <v>9</v>
      </c>
      <c r="G29" s="125">
        <f t="shared" si="7"/>
        <v>9</v>
      </c>
      <c r="H29" s="125">
        <f t="shared" si="7"/>
        <v>9</v>
      </c>
      <c r="I29" s="125">
        <f t="shared" si="7"/>
        <v>9</v>
      </c>
      <c r="J29" s="483">
        <f t="shared" si="7"/>
        <v>9</v>
      </c>
      <c r="K29" s="125">
        <f t="shared" ref="K29" si="8">+K39</f>
        <v>9</v>
      </c>
      <c r="L29" s="486">
        <f>+L39</f>
        <v>9</v>
      </c>
      <c r="M29" s="406">
        <f t="shared" si="7"/>
        <v>9</v>
      </c>
      <c r="N29" s="488"/>
      <c r="O29" s="1"/>
    </row>
    <row r="30" spans="1:24" s="278" customFormat="1" x14ac:dyDescent="0.25">
      <c r="A30" s="44"/>
      <c r="B30" s="622"/>
      <c r="C30" s="290"/>
      <c r="D30" s="290"/>
      <c r="E30" s="290"/>
      <c r="F30" s="290"/>
      <c r="G30" s="290"/>
      <c r="H30" s="290"/>
      <c r="I30" s="290"/>
      <c r="J30" s="627"/>
      <c r="K30" s="290"/>
      <c r="L30" s="633"/>
      <c r="M30" s="290"/>
      <c r="N30" s="120"/>
      <c r="O30" s="1"/>
    </row>
    <row r="31" spans="1:24" x14ac:dyDescent="0.25">
      <c r="A31" s="124"/>
      <c r="B31" s="408"/>
      <c r="C31" s="124"/>
      <c r="D31" s="124"/>
      <c r="E31" s="124"/>
      <c r="F31" s="124"/>
      <c r="G31" s="124"/>
      <c r="H31" s="124"/>
      <c r="I31" s="124"/>
      <c r="J31" s="410"/>
      <c r="K31" s="124"/>
      <c r="L31" s="449"/>
      <c r="M31" s="124"/>
      <c r="N31" s="120"/>
      <c r="O31" s="1"/>
    </row>
    <row r="32" spans="1:24" x14ac:dyDescent="0.25">
      <c r="A32" s="124"/>
      <c r="B32" s="408"/>
      <c r="C32" s="124"/>
      <c r="D32" s="124"/>
      <c r="E32" s="124"/>
      <c r="F32" s="124"/>
      <c r="G32" s="124"/>
      <c r="H32" s="124"/>
      <c r="I32" s="124"/>
      <c r="J32" s="410"/>
      <c r="K32" s="124"/>
      <c r="L32" s="449"/>
      <c r="M32" s="124"/>
      <c r="N32" s="120"/>
      <c r="O32" s="1"/>
    </row>
    <row r="33" spans="1:15" x14ac:dyDescent="0.25">
      <c r="A33" s="230"/>
      <c r="B33" s="416"/>
      <c r="C33" s="93"/>
      <c r="D33" s="93"/>
      <c r="E33" s="93"/>
      <c r="F33" s="93"/>
      <c r="G33" s="93"/>
      <c r="H33" s="93"/>
      <c r="I33" s="93"/>
      <c r="J33" s="417"/>
      <c r="K33" s="93"/>
      <c r="L33" s="109"/>
      <c r="M33" s="93"/>
      <c r="N33" s="120"/>
      <c r="O33" s="1"/>
    </row>
    <row r="34" spans="1:15" x14ac:dyDescent="0.25">
      <c r="A34" s="9" t="s">
        <v>60</v>
      </c>
      <c r="B34" s="413"/>
      <c r="C34" s="15"/>
      <c r="D34" s="15"/>
      <c r="E34" s="15"/>
      <c r="F34" s="15"/>
      <c r="G34" s="15"/>
      <c r="H34" s="15"/>
      <c r="I34" s="15"/>
      <c r="J34" s="415"/>
      <c r="K34" s="15"/>
      <c r="L34" s="451"/>
      <c r="M34" s="15"/>
      <c r="N34" s="120"/>
      <c r="O34" s="1"/>
    </row>
    <row r="35" spans="1:15" x14ac:dyDescent="0.25">
      <c r="A35" s="39" t="s">
        <v>172</v>
      </c>
      <c r="B35" s="960">
        <v>10</v>
      </c>
      <c r="C35" s="955">
        <v>10</v>
      </c>
      <c r="D35" s="745">
        <v>8.75</v>
      </c>
      <c r="E35" s="745">
        <v>8</v>
      </c>
      <c r="F35" s="745">
        <v>8</v>
      </c>
      <c r="G35" s="745">
        <v>8</v>
      </c>
      <c r="H35" s="745">
        <v>8</v>
      </c>
      <c r="I35" s="745">
        <v>8</v>
      </c>
      <c r="J35" s="746">
        <v>8</v>
      </c>
      <c r="K35" s="745">
        <v>8</v>
      </c>
      <c r="L35" s="794">
        <v>8</v>
      </c>
      <c r="M35" s="22">
        <v>8</v>
      </c>
      <c r="N35" s="120"/>
      <c r="O35" s="1"/>
    </row>
    <row r="36" spans="1:15" x14ac:dyDescent="0.25">
      <c r="A36" s="39" t="s">
        <v>173</v>
      </c>
      <c r="B36" s="960">
        <v>0</v>
      </c>
      <c r="C36" s="955">
        <v>0</v>
      </c>
      <c r="D36" s="745">
        <v>1</v>
      </c>
      <c r="E36" s="745">
        <v>1</v>
      </c>
      <c r="F36" s="745">
        <v>1</v>
      </c>
      <c r="G36" s="745">
        <v>1</v>
      </c>
      <c r="H36" s="745">
        <v>1</v>
      </c>
      <c r="I36" s="745">
        <v>1</v>
      </c>
      <c r="J36" s="746">
        <v>1</v>
      </c>
      <c r="K36" s="745">
        <v>1</v>
      </c>
      <c r="L36" s="794">
        <v>1</v>
      </c>
      <c r="M36" s="22">
        <v>1</v>
      </c>
      <c r="N36" s="120"/>
      <c r="O36" s="1"/>
    </row>
    <row r="37" spans="1:15" x14ac:dyDescent="0.25">
      <c r="A37" s="39" t="s">
        <v>174</v>
      </c>
      <c r="B37" s="960">
        <v>0</v>
      </c>
      <c r="C37" s="955">
        <v>0</v>
      </c>
      <c r="D37" s="745">
        <v>0</v>
      </c>
      <c r="E37" s="745">
        <v>0</v>
      </c>
      <c r="F37" s="745">
        <v>0</v>
      </c>
      <c r="G37" s="745">
        <v>0</v>
      </c>
      <c r="H37" s="745">
        <v>0</v>
      </c>
      <c r="I37" s="745">
        <v>0</v>
      </c>
      <c r="J37" s="746">
        <v>0</v>
      </c>
      <c r="K37" s="745">
        <v>0</v>
      </c>
      <c r="L37" s="794">
        <v>0</v>
      </c>
      <c r="M37" s="22">
        <v>0</v>
      </c>
      <c r="N37" s="120"/>
      <c r="O37" s="1"/>
    </row>
    <row r="38" spans="1:15" ht="16.5" thickBot="1" x14ac:dyDescent="0.3">
      <c r="A38" s="39"/>
      <c r="B38" s="585">
        <v>0</v>
      </c>
      <c r="C38" s="273">
        <v>0</v>
      </c>
      <c r="D38" s="34">
        <v>0</v>
      </c>
      <c r="E38" s="34">
        <v>0</v>
      </c>
      <c r="F38" s="34">
        <v>0</v>
      </c>
      <c r="G38" s="34">
        <v>0</v>
      </c>
      <c r="H38" s="34">
        <v>0</v>
      </c>
      <c r="I38" s="34">
        <v>0</v>
      </c>
      <c r="J38" s="499">
        <v>0</v>
      </c>
      <c r="K38" s="34">
        <v>0</v>
      </c>
      <c r="L38" s="492">
        <v>0</v>
      </c>
      <c r="M38" s="34">
        <v>0</v>
      </c>
      <c r="N38" s="120"/>
      <c r="O38" s="1"/>
    </row>
    <row r="39" spans="1:15" x14ac:dyDescent="0.25">
      <c r="A39" s="45" t="s">
        <v>335</v>
      </c>
      <c r="B39" s="941">
        <f t="shared" ref="B39:M39" si="9">SUM(B35:B38)</f>
        <v>10</v>
      </c>
      <c r="C39" s="942">
        <f t="shared" si="9"/>
        <v>10</v>
      </c>
      <c r="D39" s="290">
        <f t="shared" si="9"/>
        <v>9.75</v>
      </c>
      <c r="E39" s="290">
        <f t="shared" si="9"/>
        <v>9</v>
      </c>
      <c r="F39" s="290">
        <f t="shared" si="9"/>
        <v>9</v>
      </c>
      <c r="G39" s="290">
        <f t="shared" si="9"/>
        <v>9</v>
      </c>
      <c r="H39" s="290">
        <f t="shared" si="9"/>
        <v>9</v>
      </c>
      <c r="I39" s="290">
        <f t="shared" si="9"/>
        <v>9</v>
      </c>
      <c r="J39" s="627">
        <f t="shared" si="9"/>
        <v>9</v>
      </c>
      <c r="K39" s="290">
        <f t="shared" ref="K39" si="10">SUM(K35:K38)</f>
        <v>9</v>
      </c>
      <c r="L39" s="633">
        <f>SUM(L35:L38)</f>
        <v>9</v>
      </c>
      <c r="M39" s="33">
        <f t="shared" si="9"/>
        <v>9</v>
      </c>
      <c r="N39" s="120"/>
      <c r="O39" s="1"/>
    </row>
    <row r="40" spans="1:15" x14ac:dyDescent="0.25">
      <c r="A40" s="210"/>
      <c r="B40" s="416"/>
      <c r="C40" s="93"/>
      <c r="D40" s="93"/>
      <c r="E40" s="93"/>
      <c r="F40" s="93"/>
      <c r="G40" s="93"/>
      <c r="H40" s="93"/>
      <c r="I40" s="93"/>
      <c r="J40" s="417"/>
      <c r="K40" s="93"/>
      <c r="L40" s="465"/>
      <c r="M40" s="93"/>
      <c r="N40" s="120"/>
      <c r="O40" s="1"/>
    </row>
    <row r="41" spans="1:15" x14ac:dyDescent="0.25">
      <c r="A41" s="201" t="s">
        <v>210</v>
      </c>
      <c r="B41" s="962">
        <v>4</v>
      </c>
      <c r="C41" s="963">
        <v>4</v>
      </c>
      <c r="D41" s="816">
        <v>4</v>
      </c>
      <c r="E41" s="816">
        <v>4</v>
      </c>
      <c r="F41" s="816">
        <v>4</v>
      </c>
      <c r="G41" s="816">
        <v>4</v>
      </c>
      <c r="H41" s="816">
        <v>4</v>
      </c>
      <c r="I41" s="816">
        <v>4</v>
      </c>
      <c r="J41" s="815">
        <v>4</v>
      </c>
      <c r="K41" s="816">
        <v>5</v>
      </c>
      <c r="L41" s="817">
        <v>5</v>
      </c>
      <c r="M41" s="277">
        <v>5</v>
      </c>
      <c r="N41" s="120"/>
      <c r="O41" s="1"/>
    </row>
    <row r="42" spans="1:15" x14ac:dyDescent="0.25">
      <c r="A42" s="232"/>
      <c r="B42" s="425">
        <f>+B39+B41</f>
        <v>14</v>
      </c>
      <c r="C42" s="304">
        <f t="shared" ref="C42:M42" si="11">+C39+C41</f>
        <v>14</v>
      </c>
      <c r="D42" s="304">
        <f t="shared" si="11"/>
        <v>13.75</v>
      </c>
      <c r="E42" s="304">
        <f t="shared" si="11"/>
        <v>13</v>
      </c>
      <c r="F42" s="304">
        <f t="shared" si="11"/>
        <v>13</v>
      </c>
      <c r="G42" s="304">
        <f t="shared" si="11"/>
        <v>13</v>
      </c>
      <c r="H42" s="304">
        <f t="shared" si="11"/>
        <v>13</v>
      </c>
      <c r="I42" s="304">
        <f t="shared" si="11"/>
        <v>13</v>
      </c>
      <c r="J42" s="426">
        <f t="shared" si="11"/>
        <v>13</v>
      </c>
      <c r="K42" s="304">
        <f t="shared" ref="K42" si="12">+K39+K41</f>
        <v>14</v>
      </c>
      <c r="L42" s="634">
        <f>+L39+L41</f>
        <v>14</v>
      </c>
      <c r="M42" s="304">
        <f t="shared" si="11"/>
        <v>14</v>
      </c>
      <c r="N42" s="120"/>
      <c r="O42" s="1"/>
    </row>
    <row r="43" spans="1:15" x14ac:dyDescent="0.25">
      <c r="A43" s="233"/>
      <c r="B43" s="416"/>
      <c r="C43" s="93"/>
      <c r="D43" s="93"/>
      <c r="E43" s="93"/>
      <c r="F43" s="93"/>
      <c r="G43" s="93"/>
      <c r="H43" s="93"/>
      <c r="I43" s="93"/>
      <c r="J43" s="417"/>
      <c r="K43" s="93"/>
      <c r="L43" s="109"/>
      <c r="M43" s="93"/>
      <c r="N43" s="120"/>
      <c r="O43" s="1"/>
    </row>
    <row r="44" spans="1:15" x14ac:dyDescent="0.25">
      <c r="A44" s="287" t="s">
        <v>208</v>
      </c>
      <c r="B44" s="510"/>
      <c r="C44" s="180"/>
      <c r="D44" s="180"/>
      <c r="E44" s="180"/>
      <c r="F44" s="180"/>
      <c r="G44" s="180"/>
      <c r="H44" s="180"/>
      <c r="I44" s="180"/>
      <c r="J44" s="628"/>
      <c r="K44" s="180"/>
      <c r="L44" s="181"/>
      <c r="M44" s="180"/>
      <c r="N44" s="120"/>
      <c r="O44" s="1"/>
    </row>
    <row r="45" spans="1:15" x14ac:dyDescent="0.25">
      <c r="A45" s="287" t="s">
        <v>205</v>
      </c>
      <c r="B45" s="510"/>
      <c r="C45" s="180"/>
      <c r="D45" s="180"/>
      <c r="E45" s="180"/>
      <c r="F45" s="180"/>
      <c r="G45" s="180"/>
      <c r="H45" s="180"/>
      <c r="I45" s="180"/>
      <c r="J45" s="628"/>
      <c r="K45" s="180"/>
      <c r="L45" s="181"/>
      <c r="M45" s="180"/>
      <c r="N45" s="120"/>
      <c r="O45" s="1"/>
    </row>
    <row r="46" spans="1:15" x14ac:dyDescent="0.25">
      <c r="A46" s="201" t="s">
        <v>206</v>
      </c>
      <c r="B46" s="623">
        <v>2327974</v>
      </c>
      <c r="C46" s="306">
        <v>2626405</v>
      </c>
      <c r="D46" s="306">
        <v>2685488</v>
      </c>
      <c r="E46" s="306">
        <v>2147262</v>
      </c>
      <c r="F46" s="306">
        <v>2184513</v>
      </c>
      <c r="G46" s="306">
        <v>2332507</v>
      </c>
      <c r="H46" s="306">
        <v>2491784</v>
      </c>
      <c r="I46" s="306">
        <v>2286443</v>
      </c>
      <c r="J46" s="629">
        <v>2925907</v>
      </c>
      <c r="K46" s="306">
        <v>3203483</v>
      </c>
      <c r="L46" s="635">
        <v>3081930</v>
      </c>
      <c r="M46" s="306">
        <v>3203483</v>
      </c>
      <c r="N46" s="120"/>
      <c r="O46" s="1"/>
    </row>
    <row r="47" spans="1:15" x14ac:dyDescent="0.25">
      <c r="A47" s="201" t="s">
        <v>207</v>
      </c>
      <c r="B47" s="623">
        <v>9540964</v>
      </c>
      <c r="C47" s="306">
        <v>9321057</v>
      </c>
      <c r="D47" s="306">
        <v>9546977</v>
      </c>
      <c r="E47" s="306">
        <v>9502435</v>
      </c>
      <c r="F47" s="306">
        <v>9806256</v>
      </c>
      <c r="G47" s="306">
        <v>9723236</v>
      </c>
      <c r="H47" s="306">
        <v>11680125</v>
      </c>
      <c r="I47" s="306">
        <v>17085383</v>
      </c>
      <c r="J47" s="629">
        <v>14552428</v>
      </c>
      <c r="K47" s="306">
        <v>15902512</v>
      </c>
      <c r="L47" s="635">
        <v>16520625</v>
      </c>
      <c r="M47" s="306">
        <v>15902512</v>
      </c>
      <c r="N47" s="120"/>
      <c r="O47" s="1"/>
    </row>
    <row r="48" spans="1:15" x14ac:dyDescent="0.25">
      <c r="B48" s="624"/>
      <c r="C48" s="289"/>
      <c r="D48" s="289"/>
      <c r="E48" s="289"/>
      <c r="F48" s="289"/>
      <c r="G48" s="289"/>
      <c r="H48" s="289"/>
      <c r="I48" s="289"/>
      <c r="J48" s="630"/>
      <c r="K48" s="289"/>
      <c r="L48" s="636"/>
      <c r="M48" s="289"/>
      <c r="N48" s="120"/>
      <c r="O48" s="1"/>
    </row>
    <row r="49" spans="1:15" x14ac:dyDescent="0.25">
      <c r="A49" s="210"/>
      <c r="B49" s="510">
        <f>SUM(B46:B48)</f>
        <v>11868938</v>
      </c>
      <c r="C49" s="180">
        <f t="shared" ref="C49:M49" si="13">SUM(C46:C48)</f>
        <v>11947462</v>
      </c>
      <c r="D49" s="180">
        <f t="shared" si="13"/>
        <v>12232465</v>
      </c>
      <c r="E49" s="180">
        <f t="shared" si="13"/>
        <v>11649697</v>
      </c>
      <c r="F49" s="180">
        <f t="shared" si="13"/>
        <v>11990769</v>
      </c>
      <c r="G49" s="180">
        <f t="shared" si="13"/>
        <v>12055743</v>
      </c>
      <c r="H49" s="180">
        <f t="shared" si="13"/>
        <v>14171909</v>
      </c>
      <c r="I49" s="180">
        <f t="shared" si="13"/>
        <v>19371826</v>
      </c>
      <c r="J49" s="628">
        <f t="shared" si="13"/>
        <v>17478335</v>
      </c>
      <c r="K49" s="180">
        <f t="shared" ref="K49" si="14">SUM(K46:K48)</f>
        <v>19105995</v>
      </c>
      <c r="L49" s="181">
        <f>SUM(L46:L48)</f>
        <v>19602555</v>
      </c>
      <c r="M49" s="180">
        <f t="shared" si="13"/>
        <v>19105995</v>
      </c>
      <c r="N49" s="120"/>
      <c r="O49" s="1"/>
    </row>
    <row r="50" spans="1:15" x14ac:dyDescent="0.25">
      <c r="A50" s="114"/>
      <c r="B50" s="510"/>
      <c r="C50" s="180"/>
      <c r="D50" s="180"/>
      <c r="E50" s="180"/>
      <c r="F50" s="180"/>
      <c r="G50" s="180"/>
      <c r="H50" s="180"/>
      <c r="I50" s="180"/>
      <c r="J50" s="628"/>
      <c r="K50" s="180"/>
      <c r="L50" s="181"/>
      <c r="M50" s="180"/>
      <c r="N50" s="120"/>
      <c r="O50" s="1"/>
    </row>
    <row r="51" spans="1:15" x14ac:dyDescent="0.25">
      <c r="A51" s="198"/>
      <c r="B51" s="625"/>
      <c r="C51" s="220"/>
      <c r="D51" s="220"/>
      <c r="E51" s="220"/>
      <c r="F51" s="220"/>
      <c r="G51" s="220"/>
      <c r="H51" s="220"/>
      <c r="I51" s="220"/>
      <c r="J51" s="631"/>
      <c r="K51" s="220"/>
      <c r="L51" s="637"/>
      <c r="M51" s="220"/>
      <c r="N51" s="120"/>
      <c r="O51" s="1"/>
    </row>
    <row r="52" spans="1:15" x14ac:dyDescent="0.25">
      <c r="A52" s="288" t="s">
        <v>209</v>
      </c>
      <c r="B52" s="625"/>
      <c r="C52" s="220"/>
      <c r="D52" s="220"/>
      <c r="E52" s="220"/>
      <c r="F52" s="220"/>
      <c r="G52" s="220"/>
      <c r="H52" s="220"/>
      <c r="I52" s="220"/>
      <c r="J52" s="631"/>
      <c r="K52" s="220"/>
      <c r="L52" s="637"/>
      <c r="M52" s="220"/>
      <c r="N52" s="120"/>
      <c r="O52" s="1"/>
    </row>
    <row r="53" spans="1:15" x14ac:dyDescent="0.25">
      <c r="A53" s="287" t="s">
        <v>205</v>
      </c>
      <c r="B53" s="625"/>
      <c r="C53" s="220"/>
      <c r="D53" s="220"/>
      <c r="E53" s="220"/>
      <c r="F53" s="220"/>
      <c r="G53" s="220"/>
      <c r="H53" s="220"/>
      <c r="I53" s="220"/>
      <c r="J53" s="631"/>
      <c r="K53" s="220"/>
      <c r="L53" s="637"/>
      <c r="M53" s="220"/>
      <c r="N53" s="120"/>
      <c r="O53" s="1"/>
    </row>
    <row r="54" spans="1:15" x14ac:dyDescent="0.25">
      <c r="A54" s="201" t="s">
        <v>206</v>
      </c>
      <c r="B54" s="626">
        <v>2023038</v>
      </c>
      <c r="C54" s="307">
        <v>2280665</v>
      </c>
      <c r="D54" s="307">
        <v>2099496</v>
      </c>
      <c r="E54" s="307">
        <v>1955888</v>
      </c>
      <c r="F54" s="307">
        <v>2235655</v>
      </c>
      <c r="G54" s="307">
        <v>2043563</v>
      </c>
      <c r="H54" s="307">
        <v>2819625</v>
      </c>
      <c r="I54" s="307">
        <v>2273315</v>
      </c>
      <c r="J54" s="632">
        <v>2594629</v>
      </c>
      <c r="K54" s="307">
        <v>3258828</v>
      </c>
      <c r="L54" s="638">
        <v>2986577</v>
      </c>
      <c r="M54" s="307">
        <v>3153537</v>
      </c>
      <c r="N54" s="120"/>
      <c r="O54" s="1"/>
    </row>
    <row r="55" spans="1:15" x14ac:dyDescent="0.25">
      <c r="A55" s="201" t="s">
        <v>207</v>
      </c>
      <c r="B55" s="623">
        <v>9093028</v>
      </c>
      <c r="C55" s="306">
        <v>8794633</v>
      </c>
      <c r="D55" s="306">
        <v>9679163</v>
      </c>
      <c r="E55" s="306">
        <v>8584365</v>
      </c>
      <c r="F55" s="306">
        <v>10442615</v>
      </c>
      <c r="G55" s="306">
        <v>12037400</v>
      </c>
      <c r="H55" s="306">
        <v>14903347</v>
      </c>
      <c r="I55" s="306">
        <v>13620971</v>
      </c>
      <c r="J55" s="629">
        <v>11757312</v>
      </c>
      <c r="K55" s="306">
        <v>15756210</v>
      </c>
      <c r="L55" s="635">
        <v>17313050</v>
      </c>
      <c r="M55" s="306">
        <v>15746850</v>
      </c>
      <c r="N55" s="120"/>
      <c r="O55" s="1"/>
    </row>
    <row r="56" spans="1:15" x14ac:dyDescent="0.25">
      <c r="B56" s="624"/>
      <c r="C56" s="289"/>
      <c r="D56" s="289"/>
      <c r="E56" s="289"/>
      <c r="F56" s="289"/>
      <c r="G56" s="289"/>
      <c r="H56" s="289"/>
      <c r="I56" s="289"/>
      <c r="J56" s="630"/>
      <c r="K56" s="289"/>
      <c r="L56" s="636"/>
      <c r="M56" s="289"/>
      <c r="N56" s="120"/>
      <c r="O56" s="1"/>
    </row>
    <row r="57" spans="1:15" x14ac:dyDescent="0.25">
      <c r="A57" s="114"/>
      <c r="B57" s="510">
        <f>SUM(B54:B56)</f>
        <v>11116066</v>
      </c>
      <c r="C57" s="180">
        <f t="shared" ref="C57:M57" si="15">SUM(C54:C56)</f>
        <v>11075298</v>
      </c>
      <c r="D57" s="180">
        <f t="shared" si="15"/>
        <v>11778659</v>
      </c>
      <c r="E57" s="180">
        <f t="shared" si="15"/>
        <v>10540253</v>
      </c>
      <c r="F57" s="180">
        <f t="shared" si="15"/>
        <v>12678270</v>
      </c>
      <c r="G57" s="180">
        <f t="shared" si="15"/>
        <v>14080963</v>
      </c>
      <c r="H57" s="180">
        <f t="shared" si="15"/>
        <v>17722972</v>
      </c>
      <c r="I57" s="180">
        <f t="shared" si="15"/>
        <v>15894286</v>
      </c>
      <c r="J57" s="628">
        <f t="shared" si="15"/>
        <v>14351941</v>
      </c>
      <c r="K57" s="180">
        <f t="shared" ref="K57" si="16">SUM(K54:K56)</f>
        <v>19015038</v>
      </c>
      <c r="L57" s="181">
        <f>SUM(L54:L56)</f>
        <v>20299627</v>
      </c>
      <c r="M57" s="180">
        <f t="shared" si="15"/>
        <v>18900387</v>
      </c>
      <c r="N57" s="120"/>
      <c r="O57" s="1"/>
    </row>
    <row r="58" spans="1:15" x14ac:dyDescent="0.25">
      <c r="A58" s="114"/>
      <c r="B58" s="510"/>
      <c r="C58" s="180"/>
      <c r="D58" s="180"/>
      <c r="E58" s="180"/>
      <c r="F58" s="180"/>
      <c r="G58" s="180"/>
      <c r="H58" s="180"/>
      <c r="I58" s="180"/>
      <c r="J58" s="628"/>
      <c r="K58" s="180"/>
      <c r="L58" s="181"/>
      <c r="M58" s="180"/>
      <c r="N58" s="120"/>
      <c r="O58" s="1"/>
    </row>
    <row r="59" spans="1:15" x14ac:dyDescent="0.25">
      <c r="A59" s="199"/>
      <c r="B59" s="510"/>
      <c r="C59" s="180"/>
      <c r="D59" s="180"/>
      <c r="E59" s="180"/>
      <c r="F59" s="180"/>
      <c r="G59" s="180"/>
      <c r="H59" s="180"/>
      <c r="I59" s="180"/>
      <c r="J59" s="628"/>
      <c r="K59" s="180"/>
      <c r="L59" s="181"/>
      <c r="M59" s="180"/>
      <c r="N59" s="120"/>
      <c r="O59" s="1"/>
    </row>
    <row r="60" spans="1:15" x14ac:dyDescent="0.25">
      <c r="A60" s="199"/>
      <c r="B60" s="416"/>
      <c r="C60" s="93"/>
      <c r="D60" s="93"/>
      <c r="E60" s="93"/>
      <c r="F60" s="93"/>
      <c r="G60" s="93"/>
      <c r="H60" s="93"/>
      <c r="I60" s="93"/>
      <c r="J60" s="417"/>
      <c r="K60" s="93"/>
      <c r="L60" s="109"/>
      <c r="M60" s="93"/>
      <c r="N60" s="120"/>
      <c r="O60" s="1"/>
    </row>
    <row r="61" spans="1:15" x14ac:dyDescent="0.25">
      <c r="A61" s="199"/>
      <c r="B61" s="576"/>
      <c r="C61" s="200"/>
      <c r="D61" s="200"/>
      <c r="E61" s="200"/>
      <c r="F61" s="200"/>
      <c r="G61" s="200"/>
      <c r="H61" s="200"/>
      <c r="I61" s="200"/>
      <c r="J61" s="459"/>
      <c r="K61" s="200"/>
      <c r="L61" s="468"/>
      <c r="M61" s="200"/>
    </row>
    <row r="62" spans="1:15" x14ac:dyDescent="0.25">
      <c r="A62" s="201"/>
      <c r="B62" s="577"/>
      <c r="C62" s="202"/>
      <c r="D62" s="202"/>
      <c r="E62" s="202"/>
      <c r="F62" s="202"/>
      <c r="G62" s="202"/>
      <c r="H62" s="202"/>
      <c r="I62" s="202"/>
      <c r="J62" s="460"/>
      <c r="K62" s="202"/>
      <c r="L62" s="469"/>
      <c r="M62" s="202"/>
      <c r="N62" s="120"/>
      <c r="O62" s="1"/>
    </row>
    <row r="63" spans="1:15" x14ac:dyDescent="0.25">
      <c r="A63" s="201"/>
      <c r="B63" s="577"/>
      <c r="C63" s="202"/>
      <c r="D63" s="202"/>
      <c r="E63" s="202"/>
      <c r="F63" s="202"/>
      <c r="G63" s="202"/>
      <c r="H63" s="202"/>
      <c r="I63" s="202"/>
      <c r="J63" s="460"/>
      <c r="K63" s="202"/>
      <c r="L63" s="469"/>
      <c r="M63" s="202"/>
      <c r="N63" s="120"/>
      <c r="O63" s="1"/>
    </row>
    <row r="64" spans="1:15" x14ac:dyDescent="0.25">
      <c r="A64" s="201"/>
      <c r="B64" s="577"/>
      <c r="C64" s="202"/>
      <c r="D64" s="202"/>
      <c r="E64" s="202"/>
      <c r="F64" s="202"/>
      <c r="G64" s="202"/>
      <c r="H64" s="202"/>
      <c r="I64" s="202"/>
      <c r="J64" s="460"/>
      <c r="K64" s="202"/>
      <c r="L64" s="469"/>
      <c r="M64" s="202"/>
      <c r="N64" s="120"/>
      <c r="O64" s="1"/>
    </row>
    <row r="65" spans="1:15" x14ac:dyDescent="0.25">
      <c r="A65" s="201"/>
      <c r="B65" s="577"/>
      <c r="C65" s="202"/>
      <c r="D65" s="202"/>
      <c r="E65" s="202"/>
      <c r="F65" s="202"/>
      <c r="G65" s="202"/>
      <c r="H65" s="202"/>
      <c r="I65" s="202"/>
      <c r="J65" s="460"/>
      <c r="K65" s="202"/>
      <c r="L65" s="469"/>
      <c r="M65" s="202"/>
      <c r="N65" s="120"/>
      <c r="O65" s="1"/>
    </row>
    <row r="66" spans="1:15" x14ac:dyDescent="0.25">
      <c r="A66" s="114"/>
      <c r="B66" s="418"/>
      <c r="C66" s="114"/>
      <c r="D66" s="114"/>
      <c r="E66" s="114"/>
      <c r="F66" s="114"/>
      <c r="G66" s="114"/>
      <c r="H66" s="114"/>
      <c r="I66" s="114"/>
      <c r="J66" s="419"/>
      <c r="K66" s="114"/>
      <c r="L66" s="455"/>
      <c r="M66" s="114"/>
      <c r="N66" s="120"/>
      <c r="O66" s="1"/>
    </row>
    <row r="67" spans="1:15" x14ac:dyDescent="0.25">
      <c r="A67" s="205"/>
      <c r="B67" s="200"/>
      <c r="C67" s="140"/>
      <c r="D67" s="140"/>
      <c r="E67" s="140"/>
      <c r="F67" s="140"/>
      <c r="G67" s="140"/>
      <c r="H67" s="140"/>
      <c r="I67" s="140"/>
      <c r="J67" s="140"/>
      <c r="K67" s="140"/>
      <c r="L67" s="140"/>
      <c r="M67" s="140"/>
      <c r="N67" s="26"/>
      <c r="O67" s="1"/>
    </row>
    <row r="68" spans="1:15" s="17" customFormat="1" x14ac:dyDescent="0.25">
      <c r="A68" s="141"/>
      <c r="B68" s="200"/>
      <c r="C68" s="140"/>
      <c r="D68" s="140"/>
      <c r="E68" s="140"/>
      <c r="F68" s="140"/>
      <c r="G68" s="140"/>
      <c r="H68" s="140"/>
      <c r="I68" s="140"/>
      <c r="J68" s="140"/>
      <c r="K68" s="140"/>
      <c r="L68" s="140"/>
      <c r="M68" s="140"/>
      <c r="N68" s="68"/>
      <c r="O68" s="32"/>
    </row>
    <row r="69" spans="1:15" x14ac:dyDescent="0.25">
      <c r="A69" s="199"/>
      <c r="B69" s="200"/>
      <c r="C69" s="200"/>
      <c r="D69" s="200"/>
      <c r="E69" s="200"/>
      <c r="F69" s="200"/>
      <c r="G69" s="200"/>
      <c r="H69" s="200"/>
      <c r="I69" s="200"/>
      <c r="J69" s="200"/>
      <c r="K69" s="200"/>
      <c r="L69" s="200"/>
      <c r="M69" s="200"/>
      <c r="N69" s="26"/>
      <c r="O69" s="1"/>
    </row>
    <row r="70" spans="1:15" x14ac:dyDescent="0.25">
      <c r="A70" s="201"/>
      <c r="B70" s="202"/>
      <c r="C70" s="202"/>
      <c r="D70" s="202"/>
      <c r="E70" s="202"/>
      <c r="F70" s="202"/>
      <c r="G70" s="202"/>
      <c r="H70" s="202"/>
      <c r="I70" s="202"/>
      <c r="J70" s="202"/>
      <c r="K70" s="202"/>
      <c r="L70" s="202"/>
      <c r="M70" s="202"/>
      <c r="N70" s="26"/>
      <c r="O70" s="1"/>
    </row>
    <row r="71" spans="1:15" x14ac:dyDescent="0.25">
      <c r="A71" s="201"/>
      <c r="B71" s="202"/>
      <c r="C71" s="202"/>
      <c r="D71" s="202"/>
      <c r="E71" s="202"/>
      <c r="F71" s="202"/>
      <c r="G71" s="202"/>
      <c r="H71" s="202"/>
      <c r="I71" s="202"/>
      <c r="J71" s="202"/>
      <c r="K71" s="202"/>
      <c r="L71" s="202"/>
      <c r="M71" s="202"/>
      <c r="N71" s="26"/>
      <c r="O71" s="1"/>
    </row>
    <row r="72" spans="1:15" x14ac:dyDescent="0.25">
      <c r="A72" s="201"/>
      <c r="B72" s="202"/>
      <c r="C72" s="202"/>
      <c r="D72" s="202"/>
      <c r="E72" s="202"/>
      <c r="F72" s="202"/>
      <c r="G72" s="202"/>
      <c r="H72" s="202"/>
      <c r="I72" s="202"/>
      <c r="J72" s="202"/>
      <c r="K72" s="202"/>
      <c r="L72" s="202"/>
      <c r="M72" s="202"/>
      <c r="N72" s="26"/>
      <c r="O72" s="1"/>
    </row>
    <row r="73" spans="1:15" x14ac:dyDescent="0.25">
      <c r="A73" s="201"/>
      <c r="B73" s="202"/>
      <c r="C73" s="202"/>
      <c r="D73" s="202"/>
      <c r="E73" s="202"/>
      <c r="F73" s="202"/>
      <c r="G73" s="202"/>
      <c r="H73" s="202"/>
      <c r="I73" s="202"/>
      <c r="J73" s="202"/>
      <c r="K73" s="202"/>
      <c r="L73" s="202"/>
      <c r="M73" s="202"/>
      <c r="N73" s="26"/>
      <c r="O73" s="1"/>
    </row>
    <row r="74" spans="1:15" x14ac:dyDescent="0.25">
      <c r="A74" s="203"/>
      <c r="B74" s="204"/>
      <c r="C74" s="204"/>
      <c r="D74" s="204"/>
      <c r="E74" s="204"/>
      <c r="F74" s="204"/>
      <c r="G74" s="204"/>
      <c r="H74" s="204"/>
      <c r="I74" s="204"/>
      <c r="J74" s="204"/>
      <c r="K74" s="204"/>
      <c r="L74" s="204"/>
      <c r="M74" s="204"/>
      <c r="N74" s="26"/>
      <c r="O74" s="1"/>
    </row>
    <row r="75" spans="1:15" x14ac:dyDescent="0.25">
      <c r="A75" s="205"/>
      <c r="B75" s="200"/>
      <c r="C75" s="140"/>
      <c r="D75" s="140"/>
      <c r="E75" s="140"/>
      <c r="F75" s="140"/>
      <c r="G75" s="140"/>
      <c r="H75" s="140"/>
      <c r="I75" s="140"/>
      <c r="J75" s="140"/>
      <c r="K75" s="140"/>
      <c r="L75" s="140"/>
      <c r="M75" s="140"/>
      <c r="N75" s="26"/>
      <c r="O75" s="1"/>
    </row>
    <row r="76" spans="1:15" x14ac:dyDescent="0.25">
      <c r="A76" s="141"/>
      <c r="B76" s="200"/>
      <c r="C76" s="140"/>
      <c r="D76" s="140"/>
      <c r="E76" s="140"/>
      <c r="F76" s="140"/>
      <c r="G76" s="140"/>
      <c r="H76" s="140"/>
      <c r="I76" s="140"/>
      <c r="J76" s="112"/>
      <c r="K76" s="112"/>
      <c r="L76" s="112"/>
      <c r="M76" s="112"/>
      <c r="N76" s="26"/>
      <c r="O76" s="1"/>
    </row>
    <row r="77" spans="1:15" x14ac:dyDescent="0.25">
      <c r="A77" s="114"/>
      <c r="B77" s="93"/>
      <c r="C77" s="93"/>
      <c r="D77" s="93"/>
      <c r="E77" s="93"/>
      <c r="F77" s="93"/>
      <c r="G77" s="93"/>
      <c r="H77" s="93"/>
      <c r="I77" s="93"/>
      <c r="J77" s="93"/>
      <c r="K77" s="93"/>
      <c r="L77" s="93"/>
      <c r="M77" s="93"/>
      <c r="N77" s="26"/>
      <c r="O77" s="1"/>
    </row>
    <row r="78" spans="1:15" ht="18.75" x14ac:dyDescent="0.3">
      <c r="A78" s="206"/>
      <c r="B78" s="215"/>
      <c r="C78" s="215"/>
      <c r="D78" s="215"/>
      <c r="E78" s="215"/>
      <c r="F78" s="215"/>
      <c r="G78" s="215"/>
      <c r="H78" s="215"/>
      <c r="I78" s="215"/>
      <c r="J78" s="215"/>
      <c r="K78" s="215"/>
      <c r="L78" s="215"/>
      <c r="M78" s="215"/>
      <c r="N78" s="26"/>
      <c r="O78" s="1"/>
    </row>
    <row r="79" spans="1:15" x14ac:dyDescent="0.25">
      <c r="A79" s="116"/>
      <c r="B79" s="207"/>
      <c r="C79" s="207"/>
      <c r="D79" s="207"/>
      <c r="E79" s="207"/>
      <c r="F79" s="207"/>
      <c r="G79" s="207"/>
      <c r="H79" s="207"/>
      <c r="I79" s="207"/>
      <c r="J79" s="207"/>
      <c r="K79" s="207"/>
      <c r="L79" s="207"/>
      <c r="M79" s="207"/>
      <c r="N79" s="26"/>
      <c r="O79" s="1"/>
    </row>
    <row r="80" spans="1:15" x14ac:dyDescent="0.25">
      <c r="A80" s="114"/>
      <c r="B80" s="93"/>
      <c r="C80" s="93"/>
      <c r="D80" s="93"/>
      <c r="E80" s="93"/>
      <c r="F80" s="93"/>
      <c r="G80" s="93"/>
      <c r="H80" s="93"/>
      <c r="I80" s="93"/>
      <c r="J80" s="93"/>
      <c r="K80" s="93"/>
      <c r="L80" s="93"/>
      <c r="M80" s="93"/>
      <c r="N80" s="26"/>
      <c r="O80" s="1"/>
    </row>
    <row r="81" spans="1:15" x14ac:dyDescent="0.25">
      <c r="A81" s="114"/>
      <c r="B81" s="93"/>
      <c r="C81" s="93"/>
      <c r="D81" s="93"/>
      <c r="E81" s="93"/>
      <c r="F81" s="93"/>
      <c r="G81" s="93"/>
      <c r="H81" s="93"/>
      <c r="I81" s="93"/>
      <c r="J81" s="93"/>
      <c r="K81" s="93"/>
      <c r="L81" s="93"/>
      <c r="M81" s="93"/>
      <c r="N81" s="26"/>
      <c r="O81" s="1"/>
    </row>
    <row r="82" spans="1:15" x14ac:dyDescent="0.25">
      <c r="A82" s="201"/>
      <c r="B82" s="93"/>
      <c r="C82" s="93"/>
      <c r="D82" s="93"/>
      <c r="E82" s="93"/>
      <c r="F82" s="93"/>
      <c r="G82" s="93"/>
      <c r="H82" s="93"/>
      <c r="I82" s="93"/>
      <c r="J82" s="93"/>
      <c r="K82" s="93"/>
      <c r="L82" s="93"/>
      <c r="M82" s="93"/>
      <c r="N82" s="26"/>
      <c r="O82" s="1"/>
    </row>
    <row r="83" spans="1:15" x14ac:dyDescent="0.25">
      <c r="A83" s="201"/>
      <c r="B83" s="93"/>
      <c r="C83" s="93"/>
      <c r="D83" s="93"/>
      <c r="E83" s="93"/>
      <c r="F83" s="93"/>
      <c r="G83" s="93"/>
      <c r="H83" s="93"/>
      <c r="I83" s="93"/>
      <c r="J83" s="93"/>
      <c r="K83" s="93"/>
      <c r="L83" s="93"/>
      <c r="M83" s="93"/>
      <c r="N83" s="26"/>
      <c r="O83" s="1"/>
    </row>
    <row r="84" spans="1:15" x14ac:dyDescent="0.25">
      <c r="A84" s="201"/>
      <c r="B84" s="93"/>
      <c r="C84" s="93"/>
      <c r="D84" s="93"/>
      <c r="E84" s="93"/>
      <c r="F84" s="93"/>
      <c r="G84" s="93"/>
      <c r="H84" s="93"/>
      <c r="I84" s="93"/>
      <c r="J84" s="93"/>
      <c r="K84" s="93"/>
      <c r="L84" s="93"/>
      <c r="M84" s="93"/>
      <c r="N84" s="26"/>
      <c r="O84" s="1"/>
    </row>
    <row r="85" spans="1:15" x14ac:dyDescent="0.25">
      <c r="A85" s="201"/>
      <c r="B85" s="93"/>
      <c r="C85" s="93"/>
      <c r="D85" s="93"/>
      <c r="E85" s="93"/>
      <c r="F85" s="93"/>
      <c r="G85" s="93"/>
      <c r="H85" s="93"/>
      <c r="I85" s="93"/>
      <c r="J85" s="93"/>
      <c r="K85" s="93"/>
      <c r="L85" s="93"/>
      <c r="M85" s="93"/>
      <c r="N85" s="26"/>
      <c r="O85" s="1"/>
    </row>
    <row r="86" spans="1:15" x14ac:dyDescent="0.25">
      <c r="A86" s="199"/>
      <c r="B86" s="93"/>
      <c r="C86" s="93"/>
      <c r="D86" s="93"/>
      <c r="E86" s="93"/>
      <c r="F86" s="93"/>
      <c r="G86" s="93"/>
      <c r="H86" s="93"/>
      <c r="I86" s="93"/>
      <c r="J86" s="93"/>
      <c r="K86" s="93"/>
      <c r="L86" s="93"/>
      <c r="M86" s="93"/>
      <c r="N86" s="26"/>
      <c r="O86" s="1"/>
    </row>
    <row r="87" spans="1:15" x14ac:dyDescent="0.25">
      <c r="A87" s="114"/>
      <c r="B87" s="93"/>
      <c r="C87" s="93"/>
      <c r="D87" s="93"/>
      <c r="E87" s="93"/>
      <c r="F87" s="93"/>
      <c r="G87" s="93"/>
      <c r="H87" s="93"/>
      <c r="I87" s="93"/>
      <c r="J87" s="93"/>
      <c r="K87" s="93"/>
      <c r="L87" s="93"/>
      <c r="M87" s="93"/>
      <c r="N87" s="26"/>
      <c r="O87" s="1"/>
    </row>
    <row r="88" spans="1:15" x14ac:dyDescent="0.25">
      <c r="A88" s="114"/>
      <c r="B88" s="215"/>
      <c r="C88" s="215"/>
      <c r="D88" s="215"/>
      <c r="E88" s="215"/>
      <c r="F88" s="215"/>
      <c r="G88" s="215"/>
      <c r="H88" s="215"/>
      <c r="I88" s="215"/>
      <c r="J88" s="215"/>
      <c r="K88" s="215"/>
      <c r="L88" s="215"/>
      <c r="M88" s="215"/>
      <c r="N88" s="26"/>
      <c r="O88" s="1"/>
    </row>
    <row r="89" spans="1:15" x14ac:dyDescent="0.25">
      <c r="A89" s="114"/>
      <c r="B89" s="112"/>
      <c r="C89" s="112"/>
      <c r="D89" s="112"/>
      <c r="E89" s="112"/>
      <c r="F89" s="112"/>
      <c r="G89" s="112"/>
      <c r="H89" s="112"/>
      <c r="I89" s="112"/>
      <c r="J89" s="112"/>
      <c r="K89" s="112"/>
      <c r="L89" s="112"/>
      <c r="M89" s="112"/>
      <c r="N89" s="26"/>
      <c r="O89" s="1"/>
    </row>
    <row r="90" spans="1:15" x14ac:dyDescent="0.25">
      <c r="A90" s="114"/>
      <c r="B90" s="112"/>
      <c r="C90" s="112"/>
      <c r="D90" s="112"/>
      <c r="E90" s="112"/>
      <c r="F90" s="112"/>
      <c r="G90" s="112"/>
      <c r="H90" s="112"/>
      <c r="I90" s="112"/>
      <c r="J90" s="112"/>
      <c r="K90" s="112"/>
      <c r="L90" s="112"/>
      <c r="M90" s="112"/>
      <c r="N90" s="26"/>
      <c r="O90" s="1"/>
    </row>
    <row r="91" spans="1:15" x14ac:dyDescent="0.25">
      <c r="A91" s="114"/>
      <c r="B91" s="93"/>
      <c r="C91" s="93"/>
      <c r="D91" s="93"/>
      <c r="E91" s="93"/>
      <c r="F91" s="93"/>
      <c r="G91" s="93"/>
      <c r="H91" s="93"/>
      <c r="I91" s="93"/>
      <c r="J91" s="93"/>
      <c r="K91" s="93"/>
      <c r="L91" s="93"/>
      <c r="M91" s="93"/>
      <c r="N91" s="26"/>
      <c r="O91" s="1"/>
    </row>
    <row r="92" spans="1:15" x14ac:dyDescent="0.25">
      <c r="A92" s="114"/>
      <c r="B92" s="93"/>
      <c r="C92" s="93"/>
      <c r="D92" s="93"/>
      <c r="E92" s="93"/>
      <c r="F92" s="93"/>
      <c r="G92" s="93"/>
      <c r="H92" s="93"/>
      <c r="I92" s="93"/>
      <c r="J92" s="93"/>
      <c r="K92" s="93"/>
      <c r="L92" s="93"/>
      <c r="M92" s="93"/>
      <c r="N92" s="26"/>
      <c r="O92" s="1"/>
    </row>
    <row r="93" spans="1:15" x14ac:dyDescent="0.25">
      <c r="A93" s="114"/>
      <c r="B93" s="93"/>
      <c r="C93" s="93"/>
      <c r="D93" s="93"/>
      <c r="E93" s="93"/>
      <c r="F93" s="93"/>
      <c r="G93" s="93"/>
      <c r="H93" s="93"/>
      <c r="I93" s="93"/>
      <c r="J93" s="93"/>
      <c r="K93" s="93"/>
      <c r="L93" s="93"/>
      <c r="M93" s="93"/>
      <c r="N93" s="26"/>
      <c r="O93" s="1"/>
    </row>
    <row r="94" spans="1:15" x14ac:dyDescent="0.25">
      <c r="A94" s="114"/>
      <c r="B94" s="93"/>
      <c r="C94" s="93"/>
      <c r="D94" s="93"/>
      <c r="E94" s="93"/>
      <c r="F94" s="93"/>
      <c r="G94" s="93"/>
      <c r="H94" s="93"/>
      <c r="I94" s="93"/>
      <c r="J94" s="93"/>
      <c r="K94" s="93"/>
      <c r="L94" s="93"/>
      <c r="M94" s="93"/>
      <c r="N94" s="26"/>
      <c r="O94" s="1"/>
    </row>
    <row r="95" spans="1:15" x14ac:dyDescent="0.25">
      <c r="A95" s="114"/>
      <c r="B95" s="93"/>
      <c r="C95" s="93"/>
      <c r="D95" s="93"/>
      <c r="E95" s="93"/>
      <c r="F95" s="93"/>
      <c r="G95" s="93"/>
      <c r="H95" s="93"/>
      <c r="I95" s="93"/>
      <c r="J95" s="93"/>
      <c r="K95" s="93"/>
      <c r="L95" s="93"/>
      <c r="M95" s="93"/>
      <c r="N95" s="26"/>
      <c r="O95" s="1"/>
    </row>
    <row r="96" spans="1:15" x14ac:dyDescent="0.25">
      <c r="A96" s="114"/>
      <c r="B96" s="93"/>
      <c r="C96" s="93"/>
      <c r="D96" s="93"/>
      <c r="E96" s="93"/>
      <c r="F96" s="93"/>
      <c r="G96" s="93"/>
      <c r="H96" s="93"/>
      <c r="I96" s="93"/>
      <c r="J96" s="93"/>
      <c r="K96" s="93"/>
      <c r="L96" s="93"/>
      <c r="M96" s="93"/>
      <c r="N96" s="26"/>
      <c r="O96" s="1"/>
    </row>
    <row r="97" spans="1:15" x14ac:dyDescent="0.25">
      <c r="A97" s="114"/>
      <c r="B97" s="93"/>
      <c r="C97" s="93"/>
      <c r="D97" s="93"/>
      <c r="E97" s="93"/>
      <c r="F97" s="93"/>
      <c r="G97" s="93"/>
      <c r="H97" s="93"/>
      <c r="I97" s="93"/>
      <c r="J97" s="93"/>
      <c r="K97" s="93"/>
      <c r="L97" s="93"/>
      <c r="M97" s="93"/>
      <c r="N97" s="26"/>
      <c r="O97" s="1"/>
    </row>
    <row r="98" spans="1:15" x14ac:dyDescent="0.25">
      <c r="A98" s="114"/>
      <c r="B98" s="93"/>
      <c r="C98" s="93"/>
      <c r="D98" s="93"/>
      <c r="E98" s="93"/>
      <c r="F98" s="93"/>
      <c r="G98" s="93"/>
      <c r="H98" s="93"/>
      <c r="I98" s="93"/>
      <c r="J98" s="93"/>
      <c r="K98" s="93"/>
      <c r="L98" s="93"/>
      <c r="M98" s="93"/>
      <c r="N98" s="26"/>
      <c r="O98" s="1"/>
    </row>
    <row r="99" spans="1:15" x14ac:dyDescent="0.25">
      <c r="A99" s="114"/>
      <c r="B99" s="93"/>
      <c r="C99" s="93"/>
      <c r="D99" s="93"/>
      <c r="E99" s="93"/>
      <c r="F99" s="93"/>
      <c r="G99" s="93"/>
      <c r="H99" s="93"/>
      <c r="I99" s="93"/>
      <c r="J99" s="93"/>
      <c r="K99" s="93"/>
      <c r="L99" s="93"/>
      <c r="M99" s="93"/>
      <c r="N99" s="26"/>
      <c r="O99" s="1"/>
    </row>
    <row r="100" spans="1:15" x14ac:dyDescent="0.25">
      <c r="A100" s="114"/>
      <c r="B100" s="114"/>
      <c r="C100" s="114"/>
      <c r="D100" s="114"/>
      <c r="E100" s="114"/>
      <c r="F100" s="114"/>
      <c r="G100" s="114"/>
      <c r="H100" s="114"/>
      <c r="I100" s="114"/>
      <c r="J100" s="114"/>
      <c r="K100" s="114"/>
      <c r="L100" s="114"/>
      <c r="M100" s="114"/>
      <c r="N100" s="26"/>
      <c r="O100" s="1"/>
    </row>
    <row r="101" spans="1:15" x14ac:dyDescent="0.25">
      <c r="A101" s="114"/>
      <c r="B101" s="114"/>
      <c r="C101" s="114"/>
      <c r="D101" s="114"/>
      <c r="E101" s="114"/>
      <c r="F101" s="114"/>
      <c r="G101" s="114"/>
      <c r="H101" s="114"/>
      <c r="I101" s="114"/>
      <c r="J101" s="114"/>
      <c r="K101" s="114"/>
      <c r="L101" s="114"/>
      <c r="M101" s="114"/>
      <c r="N101" s="26"/>
      <c r="O101" s="1"/>
    </row>
    <row r="102" spans="1:15" x14ac:dyDescent="0.25">
      <c r="A102" s="114"/>
      <c r="B102" s="114"/>
      <c r="C102" s="114"/>
      <c r="D102" s="114"/>
      <c r="E102" s="114"/>
      <c r="F102" s="114"/>
      <c r="G102" s="114"/>
      <c r="H102" s="114"/>
      <c r="I102" s="114"/>
      <c r="J102" s="114"/>
      <c r="K102" s="114"/>
      <c r="L102" s="114"/>
      <c r="M102" s="114"/>
      <c r="N102" s="26"/>
      <c r="O102" s="1"/>
    </row>
    <row r="103" spans="1:15" x14ac:dyDescent="0.25">
      <c r="A103" s="114"/>
      <c r="B103" s="114"/>
      <c r="C103" s="114"/>
      <c r="D103" s="114"/>
      <c r="E103" s="114"/>
      <c r="F103" s="114"/>
      <c r="G103" s="114"/>
      <c r="H103" s="114"/>
      <c r="I103" s="114"/>
      <c r="J103" s="114"/>
      <c r="K103" s="114"/>
      <c r="L103" s="114"/>
      <c r="M103" s="114"/>
      <c r="N103" s="26"/>
      <c r="O103" s="1"/>
    </row>
    <row r="104" spans="1:15" x14ac:dyDescent="0.25">
      <c r="A104" s="114"/>
      <c r="B104" s="114"/>
      <c r="C104" s="114"/>
      <c r="D104" s="114"/>
      <c r="E104" s="114"/>
      <c r="F104" s="114"/>
      <c r="G104" s="114"/>
      <c r="H104" s="114"/>
      <c r="I104" s="114"/>
      <c r="J104" s="114"/>
      <c r="K104" s="114"/>
      <c r="L104" s="114"/>
      <c r="M104" s="114"/>
      <c r="N104" s="26"/>
      <c r="O104" s="1"/>
    </row>
    <row r="105" spans="1:15" x14ac:dyDescent="0.25">
      <c r="A105" s="114"/>
      <c r="B105" s="114"/>
      <c r="C105" s="114"/>
      <c r="D105" s="114"/>
      <c r="E105" s="114"/>
      <c r="F105" s="114"/>
      <c r="G105" s="114"/>
      <c r="H105" s="114"/>
      <c r="I105" s="114"/>
      <c r="J105" s="114"/>
      <c r="K105" s="114"/>
      <c r="L105" s="114"/>
      <c r="M105" s="114"/>
      <c r="N105" s="26"/>
      <c r="O105" s="1"/>
    </row>
    <row r="106" spans="1:15" x14ac:dyDescent="0.25">
      <c r="A106" s="114"/>
      <c r="B106" s="114"/>
      <c r="C106" s="114"/>
      <c r="D106" s="114"/>
      <c r="E106" s="114"/>
      <c r="F106" s="114"/>
      <c r="G106" s="114"/>
      <c r="H106" s="114"/>
      <c r="I106" s="114"/>
      <c r="J106" s="114"/>
      <c r="K106" s="114"/>
      <c r="L106" s="114"/>
      <c r="M106" s="114"/>
      <c r="N106" s="26"/>
      <c r="O106" s="1"/>
    </row>
    <row r="107" spans="1:15" x14ac:dyDescent="0.25">
      <c r="A107" s="114"/>
      <c r="B107" s="114"/>
      <c r="C107" s="114"/>
      <c r="D107" s="114"/>
      <c r="E107" s="114"/>
      <c r="F107" s="114"/>
      <c r="G107" s="114"/>
      <c r="H107" s="114"/>
      <c r="I107" s="114"/>
      <c r="J107" s="114"/>
      <c r="K107" s="114"/>
      <c r="L107" s="114"/>
      <c r="M107" s="114"/>
      <c r="N107" s="26"/>
      <c r="O107" s="1"/>
    </row>
    <row r="108" spans="1:15" x14ac:dyDescent="0.25">
      <c r="A108" s="114"/>
      <c r="B108" s="93"/>
      <c r="C108" s="93"/>
      <c r="D108" s="93"/>
      <c r="E108" s="93"/>
      <c r="F108" s="93"/>
      <c r="G108" s="93"/>
      <c r="H108" s="93"/>
      <c r="I108" s="93"/>
      <c r="J108" s="93"/>
      <c r="K108" s="93"/>
      <c r="L108" s="93"/>
      <c r="M108" s="93"/>
      <c r="N108" s="26"/>
      <c r="O108" s="1"/>
    </row>
    <row r="109" spans="1:15" x14ac:dyDescent="0.25">
      <c r="A109" s="114"/>
      <c r="B109" s="93"/>
      <c r="C109" s="93"/>
      <c r="D109" s="93"/>
      <c r="E109" s="93"/>
      <c r="F109" s="93"/>
      <c r="G109" s="93"/>
      <c r="H109" s="93"/>
      <c r="I109" s="93"/>
      <c r="J109" s="93"/>
      <c r="K109" s="93"/>
      <c r="L109" s="93"/>
      <c r="M109" s="93"/>
      <c r="N109" s="26"/>
      <c r="O109" s="1"/>
    </row>
    <row r="110" spans="1:15" x14ac:dyDescent="0.25">
      <c r="A110" s="114"/>
      <c r="B110" s="93"/>
      <c r="C110" s="93"/>
      <c r="D110" s="93"/>
      <c r="E110" s="93"/>
      <c r="F110" s="93"/>
      <c r="G110" s="93"/>
      <c r="H110" s="93"/>
      <c r="I110" s="93"/>
      <c r="J110" s="93"/>
      <c r="K110" s="93"/>
      <c r="L110" s="93"/>
      <c r="M110" s="93"/>
      <c r="N110" s="26"/>
      <c r="O110" s="1"/>
    </row>
    <row r="111" spans="1:15" x14ac:dyDescent="0.25">
      <c r="A111" s="114"/>
      <c r="B111" s="93"/>
      <c r="C111" s="93"/>
      <c r="D111" s="93"/>
      <c r="E111" s="93"/>
      <c r="F111" s="93"/>
      <c r="G111" s="93"/>
      <c r="H111" s="93"/>
      <c r="I111" s="93"/>
      <c r="J111" s="93"/>
      <c r="K111" s="93"/>
      <c r="L111" s="93"/>
      <c r="M111" s="93"/>
      <c r="N111" s="26"/>
      <c r="O111" s="1"/>
    </row>
    <row r="112" spans="1:15" x14ac:dyDescent="0.25">
      <c r="A112" s="114"/>
      <c r="B112" s="93"/>
      <c r="C112" s="93"/>
      <c r="D112" s="93"/>
      <c r="E112" s="93"/>
      <c r="F112" s="93"/>
      <c r="G112" s="93"/>
      <c r="H112" s="93"/>
      <c r="I112" s="93"/>
      <c r="J112" s="93"/>
      <c r="K112" s="93"/>
      <c r="L112" s="93"/>
      <c r="M112" s="93"/>
      <c r="N112" s="26"/>
      <c r="O112" s="1"/>
    </row>
    <row r="113" spans="1:15" x14ac:dyDescent="0.25">
      <c r="A113" s="114"/>
      <c r="B113" s="93"/>
      <c r="C113" s="93"/>
      <c r="D113" s="93"/>
      <c r="E113" s="93"/>
      <c r="F113" s="93"/>
      <c r="G113" s="93"/>
      <c r="H113" s="93"/>
      <c r="I113" s="93"/>
      <c r="J113" s="93"/>
      <c r="K113" s="93"/>
      <c r="L113" s="93"/>
      <c r="M113" s="93"/>
      <c r="N113" s="26"/>
      <c r="O113" s="1"/>
    </row>
    <row r="114" spans="1:15" x14ac:dyDescent="0.25">
      <c r="A114" s="114"/>
      <c r="B114" s="93"/>
      <c r="C114" s="93"/>
      <c r="D114" s="93"/>
      <c r="E114" s="93"/>
      <c r="F114" s="93"/>
      <c r="G114" s="93"/>
      <c r="H114" s="93"/>
      <c r="I114" s="93"/>
      <c r="J114" s="93"/>
      <c r="K114" s="93"/>
      <c r="L114" s="93"/>
      <c r="M114" s="93"/>
      <c r="N114" s="26"/>
      <c r="O114" s="1"/>
    </row>
    <row r="115" spans="1:15" x14ac:dyDescent="0.25">
      <c r="A115" s="114"/>
      <c r="B115" s="93"/>
      <c r="C115" s="93"/>
      <c r="D115" s="93"/>
      <c r="E115" s="93"/>
      <c r="F115" s="93"/>
      <c r="G115" s="93"/>
      <c r="H115" s="93"/>
      <c r="I115" s="93"/>
      <c r="J115" s="93"/>
      <c r="K115" s="93"/>
      <c r="L115" s="93"/>
      <c r="M115" s="93"/>
      <c r="N115" s="26"/>
      <c r="O115" s="1"/>
    </row>
    <row r="116" spans="1:15" x14ac:dyDescent="0.25">
      <c r="A116" s="114"/>
      <c r="B116" s="93"/>
      <c r="C116" s="93"/>
      <c r="D116" s="93"/>
      <c r="E116" s="93"/>
      <c r="F116" s="93"/>
      <c r="G116" s="93"/>
      <c r="H116" s="93"/>
      <c r="I116" s="93"/>
      <c r="J116" s="93"/>
      <c r="K116" s="93"/>
      <c r="L116" s="93"/>
      <c r="M116" s="93"/>
      <c r="N116" s="26"/>
      <c r="O116" s="1"/>
    </row>
    <row r="117" spans="1:15" x14ac:dyDescent="0.25">
      <c r="A117" s="114"/>
      <c r="B117" s="93"/>
      <c r="C117" s="93"/>
      <c r="D117" s="93"/>
      <c r="E117" s="93"/>
      <c r="F117" s="93"/>
      <c r="G117" s="93"/>
      <c r="H117" s="93"/>
      <c r="I117" s="93"/>
      <c r="J117" s="93"/>
      <c r="K117" s="93"/>
      <c r="L117" s="93"/>
      <c r="M117" s="93"/>
      <c r="N117" s="26"/>
      <c r="O117" s="1"/>
    </row>
    <row r="118" spans="1:15" x14ac:dyDescent="0.25">
      <c r="A118" s="114"/>
      <c r="B118" s="93"/>
      <c r="C118" s="93"/>
      <c r="D118" s="93"/>
      <c r="E118" s="93"/>
      <c r="F118" s="93"/>
      <c r="G118" s="93"/>
      <c r="H118" s="93"/>
      <c r="I118" s="93"/>
      <c r="J118" s="93"/>
      <c r="K118" s="93"/>
      <c r="L118" s="93"/>
      <c r="M118" s="93"/>
      <c r="N118" s="26"/>
      <c r="O118" s="1"/>
    </row>
    <row r="119" spans="1:15" x14ac:dyDescent="0.25">
      <c r="A119" s="114"/>
      <c r="B119" s="93"/>
      <c r="C119" s="93"/>
      <c r="D119" s="93"/>
      <c r="E119" s="93"/>
      <c r="F119" s="93"/>
      <c r="G119" s="93"/>
      <c r="H119" s="93"/>
      <c r="I119" s="93"/>
      <c r="J119" s="93"/>
      <c r="K119" s="93"/>
      <c r="L119" s="93"/>
      <c r="M119" s="93"/>
      <c r="N119" s="26"/>
      <c r="O119" s="1"/>
    </row>
    <row r="120" spans="1:15" x14ac:dyDescent="0.25">
      <c r="A120" s="114"/>
      <c r="B120" s="93"/>
      <c r="C120" s="93"/>
      <c r="D120" s="93"/>
      <c r="E120" s="93"/>
      <c r="F120" s="93"/>
      <c r="G120" s="93"/>
      <c r="H120" s="93"/>
      <c r="I120" s="93"/>
      <c r="J120" s="93"/>
      <c r="K120" s="93"/>
      <c r="L120" s="93"/>
      <c r="M120" s="93"/>
      <c r="N120" s="26"/>
      <c r="O120" s="1"/>
    </row>
    <row r="121" spans="1:15" x14ac:dyDescent="0.25">
      <c r="A121" s="114"/>
      <c r="B121" s="93"/>
      <c r="C121" s="93"/>
      <c r="D121" s="93"/>
      <c r="E121" s="93"/>
      <c r="F121" s="93"/>
      <c r="G121" s="93"/>
      <c r="H121" s="93"/>
      <c r="I121" s="93"/>
      <c r="J121" s="93"/>
      <c r="K121" s="93"/>
      <c r="L121" s="93"/>
      <c r="M121" s="93"/>
      <c r="N121" s="26"/>
      <c r="O121" s="1"/>
    </row>
    <row r="122" spans="1:15" x14ac:dyDescent="0.25">
      <c r="A122" s="114"/>
      <c r="B122" s="93"/>
      <c r="C122" s="93"/>
      <c r="D122" s="93"/>
      <c r="E122" s="93"/>
      <c r="F122" s="93"/>
      <c r="G122" s="93"/>
      <c r="H122" s="93"/>
      <c r="I122" s="93"/>
      <c r="J122" s="93"/>
      <c r="K122" s="93"/>
      <c r="L122" s="93"/>
      <c r="M122" s="93"/>
      <c r="N122" s="26"/>
      <c r="O122" s="1"/>
    </row>
    <row r="123" spans="1:15" x14ac:dyDescent="0.25">
      <c r="A123" s="114"/>
      <c r="B123" s="93"/>
      <c r="C123" s="93"/>
      <c r="D123" s="93"/>
      <c r="E123" s="93"/>
      <c r="F123" s="93"/>
      <c r="G123" s="93"/>
      <c r="H123" s="93"/>
      <c r="I123" s="93"/>
      <c r="J123" s="93"/>
      <c r="K123" s="93"/>
      <c r="L123" s="93"/>
      <c r="M123" s="93"/>
      <c r="N123" s="26"/>
      <c r="O123" s="1"/>
    </row>
    <row r="124" spans="1:15" x14ac:dyDescent="0.25">
      <c r="A124" s="114"/>
      <c r="B124" s="93"/>
      <c r="C124" s="93"/>
      <c r="D124" s="93"/>
      <c r="E124" s="93"/>
      <c r="F124" s="93"/>
      <c r="G124" s="93"/>
      <c r="H124" s="93"/>
      <c r="I124" s="93"/>
      <c r="J124" s="93"/>
      <c r="K124" s="93"/>
      <c r="L124" s="93"/>
      <c r="M124" s="93"/>
      <c r="N124" s="26"/>
      <c r="O124" s="1"/>
    </row>
    <row r="125" spans="1:15" x14ac:dyDescent="0.25">
      <c r="A125" s="114"/>
      <c r="B125" s="93"/>
      <c r="C125" s="93"/>
      <c r="D125" s="93"/>
      <c r="E125" s="93"/>
      <c r="F125" s="93"/>
      <c r="G125" s="93"/>
      <c r="H125" s="93"/>
      <c r="I125" s="93"/>
      <c r="J125" s="93"/>
      <c r="K125" s="93"/>
      <c r="L125" s="93"/>
      <c r="M125" s="93"/>
      <c r="N125" s="26"/>
      <c r="O125" s="1"/>
    </row>
    <row r="126" spans="1:15" x14ac:dyDescent="0.25">
      <c r="A126" s="114"/>
      <c r="B126" s="93"/>
      <c r="C126" s="93"/>
      <c r="D126" s="93"/>
      <c r="E126" s="93"/>
      <c r="F126" s="93"/>
      <c r="G126" s="93"/>
      <c r="H126" s="93"/>
      <c r="I126" s="93"/>
      <c r="J126" s="93"/>
      <c r="K126" s="93"/>
      <c r="L126" s="93"/>
      <c r="M126" s="93"/>
      <c r="N126" s="26"/>
      <c r="O126" s="1"/>
    </row>
    <row r="127" spans="1:15" x14ac:dyDescent="0.25">
      <c r="A127" s="114"/>
      <c r="B127" s="93"/>
      <c r="C127" s="93"/>
      <c r="D127" s="93"/>
      <c r="E127" s="93"/>
      <c r="F127" s="93"/>
      <c r="G127" s="93"/>
      <c r="H127" s="93"/>
      <c r="I127" s="93"/>
      <c r="J127" s="93"/>
      <c r="K127" s="93"/>
      <c r="L127" s="93"/>
      <c r="M127" s="93"/>
      <c r="N127" s="26"/>
      <c r="O127" s="1"/>
    </row>
    <row r="128" spans="1:15" x14ac:dyDescent="0.25">
      <c r="A128" s="114"/>
      <c r="B128" s="93"/>
      <c r="C128" s="93"/>
      <c r="D128" s="93"/>
      <c r="E128" s="93"/>
      <c r="F128" s="93"/>
      <c r="G128" s="93"/>
      <c r="H128" s="93"/>
      <c r="I128" s="93"/>
      <c r="J128" s="93"/>
      <c r="K128" s="93"/>
      <c r="L128" s="93"/>
      <c r="M128" s="93"/>
      <c r="N128" s="26"/>
      <c r="O128" s="1"/>
    </row>
    <row r="129" spans="1:15" x14ac:dyDescent="0.25">
      <c r="A129" s="114"/>
      <c r="B129" s="93"/>
      <c r="C129" s="93"/>
      <c r="D129" s="93"/>
      <c r="E129" s="93"/>
      <c r="F129" s="93"/>
      <c r="G129" s="93"/>
      <c r="H129" s="93"/>
      <c r="I129" s="93"/>
      <c r="J129" s="93"/>
      <c r="K129" s="93"/>
      <c r="L129" s="93"/>
      <c r="M129" s="93"/>
      <c r="N129" s="26"/>
      <c r="O129" s="1"/>
    </row>
    <row r="130" spans="1:15" x14ac:dyDescent="0.25">
      <c r="A130" s="114"/>
      <c r="B130" s="93"/>
      <c r="C130" s="93"/>
      <c r="D130" s="93"/>
      <c r="E130" s="93"/>
      <c r="F130" s="93"/>
      <c r="G130" s="93"/>
      <c r="H130" s="93"/>
      <c r="I130" s="93"/>
      <c r="J130" s="93"/>
      <c r="K130" s="93"/>
      <c r="L130" s="93"/>
      <c r="M130" s="93"/>
      <c r="N130" s="26"/>
      <c r="O130" s="1"/>
    </row>
    <row r="131" spans="1:15" x14ac:dyDescent="0.25">
      <c r="A131" s="114"/>
      <c r="B131" s="93"/>
      <c r="C131" s="93"/>
      <c r="D131" s="93"/>
      <c r="E131" s="93"/>
      <c r="F131" s="93"/>
      <c r="G131" s="93"/>
      <c r="H131" s="93"/>
      <c r="I131" s="93"/>
      <c r="J131" s="93"/>
      <c r="K131" s="93"/>
      <c r="L131" s="93"/>
      <c r="M131" s="93"/>
      <c r="N131" s="26"/>
      <c r="O131" s="1"/>
    </row>
    <row r="132" spans="1:15" x14ac:dyDescent="0.25">
      <c r="A132" s="114"/>
      <c r="B132" s="93"/>
      <c r="C132" s="93"/>
      <c r="D132" s="93"/>
      <c r="E132" s="93"/>
      <c r="F132" s="93"/>
      <c r="G132" s="93"/>
      <c r="H132" s="93"/>
      <c r="I132" s="93"/>
      <c r="J132" s="93"/>
      <c r="K132" s="93"/>
      <c r="L132" s="93"/>
      <c r="M132" s="93"/>
      <c r="N132" s="26"/>
      <c r="O132" s="1"/>
    </row>
    <row r="133" spans="1:15" x14ac:dyDescent="0.25">
      <c r="A133" s="114"/>
      <c r="B133" s="93"/>
      <c r="C133" s="93"/>
      <c r="D133" s="93"/>
      <c r="E133" s="93"/>
      <c r="F133" s="93"/>
      <c r="G133" s="93"/>
      <c r="H133" s="93"/>
      <c r="I133" s="93"/>
      <c r="J133" s="93"/>
      <c r="K133" s="93"/>
      <c r="L133" s="93"/>
      <c r="M133" s="93"/>
      <c r="N133" s="26"/>
      <c r="O133" s="1"/>
    </row>
    <row r="134" spans="1:15" x14ac:dyDescent="0.25">
      <c r="A134" s="114"/>
      <c r="B134" s="93"/>
      <c r="C134" s="93"/>
      <c r="D134" s="93"/>
      <c r="E134" s="93"/>
      <c r="F134" s="93"/>
      <c r="G134" s="93"/>
      <c r="H134" s="93"/>
      <c r="I134" s="93"/>
      <c r="J134" s="93"/>
      <c r="K134" s="93"/>
      <c r="L134" s="93"/>
      <c r="M134" s="93"/>
      <c r="N134" s="26"/>
      <c r="O134" s="1"/>
    </row>
    <row r="135" spans="1:15" x14ac:dyDescent="0.25">
      <c r="A135" s="114"/>
      <c r="B135" s="93"/>
      <c r="C135" s="93"/>
      <c r="D135" s="93"/>
      <c r="E135" s="93"/>
      <c r="F135" s="93"/>
      <c r="G135" s="93"/>
      <c r="H135" s="93"/>
      <c r="I135" s="93"/>
      <c r="J135" s="93"/>
      <c r="K135" s="93"/>
      <c r="L135" s="93"/>
      <c r="M135" s="93"/>
      <c r="N135" s="26"/>
      <c r="O135" s="1"/>
    </row>
    <row r="136" spans="1:15" x14ac:dyDescent="0.25">
      <c r="A136" s="114"/>
      <c r="B136" s="93"/>
      <c r="C136" s="93"/>
      <c r="D136" s="93"/>
      <c r="E136" s="93"/>
      <c r="F136" s="93"/>
      <c r="G136" s="93"/>
      <c r="H136" s="93"/>
      <c r="I136" s="93"/>
      <c r="J136" s="93"/>
      <c r="K136" s="93"/>
      <c r="L136" s="93"/>
      <c r="M136" s="93"/>
      <c r="N136" s="26"/>
      <c r="O136" s="1"/>
    </row>
    <row r="137" spans="1:15" x14ac:dyDescent="0.25">
      <c r="A137" s="114"/>
      <c r="B137" s="93"/>
      <c r="C137" s="93"/>
      <c r="D137" s="93"/>
      <c r="E137" s="93"/>
      <c r="F137" s="93"/>
      <c r="G137" s="93"/>
      <c r="H137" s="93"/>
      <c r="I137" s="93"/>
      <c r="J137" s="93"/>
      <c r="K137" s="93"/>
      <c r="L137" s="93"/>
      <c r="M137" s="93"/>
      <c r="N137" s="26"/>
      <c r="O137" s="1"/>
    </row>
    <row r="138" spans="1:15" x14ac:dyDescent="0.25">
      <c r="A138" s="114"/>
      <c r="B138" s="93"/>
      <c r="C138" s="93"/>
      <c r="D138" s="93"/>
      <c r="E138" s="93"/>
      <c r="F138" s="93"/>
      <c r="G138" s="93"/>
      <c r="H138" s="93"/>
      <c r="I138" s="93"/>
      <c r="J138" s="93"/>
      <c r="K138" s="93"/>
      <c r="L138" s="93"/>
      <c r="M138" s="93"/>
      <c r="N138" s="26"/>
      <c r="O138" s="1"/>
    </row>
    <row r="139" spans="1:15" x14ac:dyDescent="0.25">
      <c r="A139" s="114"/>
      <c r="B139" s="93"/>
      <c r="C139" s="93"/>
      <c r="D139" s="93"/>
      <c r="E139" s="93"/>
      <c r="F139" s="93"/>
      <c r="G139" s="93"/>
      <c r="H139" s="93"/>
      <c r="I139" s="93"/>
      <c r="J139" s="93"/>
      <c r="K139" s="93"/>
      <c r="L139" s="93"/>
      <c r="M139" s="93"/>
      <c r="N139" s="26"/>
      <c r="O139" s="1"/>
    </row>
    <row r="140" spans="1:15" x14ac:dyDescent="0.25">
      <c r="A140" s="114"/>
      <c r="B140" s="93"/>
      <c r="C140" s="93"/>
      <c r="D140" s="93"/>
      <c r="E140" s="93"/>
      <c r="F140" s="93"/>
      <c r="G140" s="93"/>
      <c r="H140" s="93"/>
      <c r="I140" s="93"/>
      <c r="J140" s="93"/>
      <c r="K140" s="93"/>
      <c r="L140" s="93"/>
      <c r="M140" s="93"/>
      <c r="N140" s="26"/>
      <c r="O140" s="1"/>
    </row>
    <row r="141" spans="1:15" x14ac:dyDescent="0.25">
      <c r="A141" s="114"/>
      <c r="B141" s="93"/>
      <c r="C141" s="93"/>
      <c r="D141" s="93"/>
      <c r="E141" s="93"/>
      <c r="F141" s="93"/>
      <c r="G141" s="93"/>
      <c r="H141" s="93"/>
      <c r="I141" s="93"/>
      <c r="J141" s="93"/>
      <c r="K141" s="93"/>
      <c r="L141" s="93"/>
      <c r="M141" s="93"/>
      <c r="N141" s="26"/>
      <c r="O141" s="1"/>
    </row>
    <row r="142" spans="1:15" x14ac:dyDescent="0.25">
      <c r="A142" s="114"/>
      <c r="B142" s="93"/>
      <c r="C142" s="93"/>
      <c r="D142" s="93"/>
      <c r="E142" s="93"/>
      <c r="F142" s="93"/>
      <c r="G142" s="93"/>
      <c r="H142" s="93"/>
      <c r="I142" s="93"/>
      <c r="J142" s="93"/>
      <c r="K142" s="93"/>
      <c r="L142" s="93"/>
      <c r="M142" s="93"/>
      <c r="N142" s="26"/>
      <c r="O142" s="1"/>
    </row>
    <row r="143" spans="1:15" x14ac:dyDescent="0.25">
      <c r="A143" s="114"/>
      <c r="B143" s="93"/>
      <c r="C143" s="93"/>
      <c r="D143" s="93"/>
      <c r="E143" s="93"/>
      <c r="F143" s="93"/>
      <c r="G143" s="93"/>
      <c r="H143" s="93"/>
      <c r="I143" s="93"/>
      <c r="J143" s="93"/>
      <c r="K143" s="93"/>
      <c r="L143" s="93"/>
      <c r="M143" s="93"/>
      <c r="N143" s="26"/>
      <c r="O143" s="1"/>
    </row>
    <row r="144" spans="1:15" x14ac:dyDescent="0.25">
      <c r="A144" s="114"/>
      <c r="B144" s="93"/>
      <c r="C144" s="93"/>
      <c r="D144" s="93"/>
      <c r="E144" s="93"/>
      <c r="F144" s="93"/>
      <c r="G144" s="93"/>
      <c r="H144" s="93"/>
      <c r="I144" s="93"/>
      <c r="J144" s="93"/>
      <c r="K144" s="93"/>
      <c r="L144" s="93"/>
      <c r="M144" s="93"/>
      <c r="N144" s="26"/>
      <c r="O144" s="1"/>
    </row>
    <row r="145" spans="2:15" x14ac:dyDescent="0.25">
      <c r="B145" s="1"/>
      <c r="C145" s="1"/>
      <c r="D145" s="1"/>
      <c r="E145" s="1"/>
      <c r="F145" s="1"/>
      <c r="G145" s="1"/>
      <c r="H145" s="1"/>
      <c r="I145" s="1"/>
      <c r="J145" s="1"/>
      <c r="K145" s="1"/>
      <c r="L145" s="1"/>
      <c r="M145" s="1"/>
      <c r="N145" s="26"/>
      <c r="O145" s="1"/>
    </row>
    <row r="146" spans="2:15" x14ac:dyDescent="0.25">
      <c r="B146" s="1"/>
      <c r="C146" s="1"/>
      <c r="D146" s="1"/>
      <c r="E146" s="1"/>
      <c r="F146" s="1"/>
      <c r="G146" s="1"/>
      <c r="H146" s="1"/>
      <c r="I146" s="1"/>
      <c r="J146" s="1"/>
      <c r="K146" s="1"/>
      <c r="L146" s="1"/>
      <c r="M146" s="1"/>
      <c r="N146" s="26"/>
      <c r="O146" s="1"/>
    </row>
    <row r="147" spans="2:15" x14ac:dyDescent="0.25">
      <c r="B147" s="1"/>
      <c r="C147" s="1"/>
      <c r="D147" s="1"/>
      <c r="E147" s="1"/>
      <c r="F147" s="1"/>
      <c r="G147" s="1"/>
      <c r="H147" s="1"/>
      <c r="I147" s="1"/>
      <c r="J147" s="1"/>
      <c r="K147" s="1"/>
      <c r="L147" s="1"/>
      <c r="M147" s="1"/>
      <c r="N147" s="26"/>
      <c r="O147" s="1"/>
    </row>
    <row r="148" spans="2:15" x14ac:dyDescent="0.25">
      <c r="B148" s="1"/>
      <c r="C148" s="1"/>
      <c r="D148" s="1"/>
      <c r="E148" s="1"/>
      <c r="F148" s="1"/>
      <c r="G148" s="1"/>
      <c r="H148" s="1"/>
      <c r="I148" s="1"/>
      <c r="J148" s="1"/>
      <c r="K148" s="1"/>
      <c r="L148" s="1"/>
      <c r="M148" s="1"/>
      <c r="N148" s="26"/>
      <c r="O148" s="1"/>
    </row>
    <row r="149" spans="2:15" x14ac:dyDescent="0.25">
      <c r="B149" s="1"/>
      <c r="C149" s="1"/>
      <c r="D149" s="1"/>
      <c r="E149" s="1"/>
      <c r="F149" s="1"/>
      <c r="G149" s="1"/>
      <c r="H149" s="1"/>
      <c r="I149" s="1"/>
      <c r="J149" s="1"/>
      <c r="K149" s="1"/>
      <c r="L149" s="1"/>
      <c r="M149" s="1"/>
      <c r="N149" s="26"/>
      <c r="O149" s="1"/>
    </row>
    <row r="150" spans="2:15" x14ac:dyDescent="0.25">
      <c r="B150" s="1"/>
      <c r="C150" s="1"/>
      <c r="D150" s="1"/>
      <c r="E150" s="1"/>
      <c r="F150" s="1"/>
      <c r="G150" s="1"/>
      <c r="H150" s="1"/>
      <c r="I150" s="1"/>
      <c r="J150" s="1"/>
      <c r="K150" s="1"/>
      <c r="L150" s="1"/>
      <c r="M150" s="1"/>
      <c r="N150" s="26"/>
      <c r="O150" s="1"/>
    </row>
    <row r="151" spans="2:15" x14ac:dyDescent="0.25">
      <c r="B151" s="1"/>
      <c r="C151" s="1"/>
      <c r="D151" s="1"/>
      <c r="E151" s="1"/>
      <c r="F151" s="1"/>
      <c r="G151" s="1"/>
      <c r="H151" s="1"/>
      <c r="I151" s="1"/>
      <c r="J151" s="1"/>
      <c r="K151" s="1"/>
      <c r="L151" s="1"/>
      <c r="M151" s="1"/>
      <c r="N151" s="26"/>
      <c r="O151" s="1"/>
    </row>
    <row r="152" spans="2:15" x14ac:dyDescent="0.25">
      <c r="B152" s="1"/>
      <c r="C152" s="1"/>
      <c r="D152" s="1"/>
      <c r="E152" s="1"/>
      <c r="F152" s="1"/>
      <c r="G152" s="1"/>
      <c r="H152" s="1"/>
      <c r="I152" s="1"/>
      <c r="J152" s="1"/>
      <c r="K152" s="1"/>
      <c r="L152" s="1"/>
      <c r="M152" s="1"/>
      <c r="N152" s="26"/>
      <c r="O152" s="1"/>
    </row>
    <row r="153" spans="2:15" x14ac:dyDescent="0.25">
      <c r="B153" s="1"/>
      <c r="C153" s="1"/>
      <c r="D153" s="1"/>
      <c r="E153" s="1"/>
      <c r="F153" s="1"/>
      <c r="G153" s="1"/>
      <c r="H153" s="1"/>
      <c r="I153" s="1"/>
      <c r="J153" s="1"/>
      <c r="K153" s="1"/>
      <c r="L153" s="1"/>
      <c r="M153" s="1"/>
      <c r="N153" s="26"/>
      <c r="O153" s="1"/>
    </row>
    <row r="154" spans="2:15" x14ac:dyDescent="0.25">
      <c r="B154" s="1"/>
      <c r="C154" s="1"/>
      <c r="D154" s="1"/>
      <c r="E154" s="1"/>
      <c r="F154" s="1"/>
      <c r="G154" s="1"/>
      <c r="H154" s="1"/>
      <c r="I154" s="1"/>
      <c r="J154" s="1"/>
      <c r="K154" s="1"/>
      <c r="L154" s="1"/>
      <c r="M154" s="1"/>
      <c r="N154" s="26"/>
      <c r="O154" s="1"/>
    </row>
    <row r="155" spans="2:15" x14ac:dyDescent="0.25">
      <c r="B155" s="1"/>
      <c r="C155" s="1"/>
      <c r="D155" s="1"/>
      <c r="E155" s="1"/>
      <c r="F155" s="1"/>
      <c r="G155" s="1"/>
      <c r="H155" s="1"/>
      <c r="I155" s="1"/>
      <c r="J155" s="1"/>
      <c r="K155" s="1"/>
      <c r="L155" s="1"/>
      <c r="M155" s="1"/>
      <c r="N155" s="26"/>
      <c r="O155" s="1"/>
    </row>
    <row r="156" spans="2:15" x14ac:dyDescent="0.25">
      <c r="B156" s="1"/>
      <c r="C156" s="1"/>
      <c r="D156" s="1"/>
      <c r="E156" s="1"/>
      <c r="F156" s="1"/>
      <c r="G156" s="1"/>
      <c r="H156" s="1"/>
      <c r="I156" s="1"/>
      <c r="J156" s="1"/>
      <c r="K156" s="1"/>
      <c r="L156" s="1"/>
      <c r="M156" s="1"/>
      <c r="N156" s="26"/>
      <c r="O156" s="1"/>
    </row>
    <row r="157" spans="2:15" x14ac:dyDescent="0.25">
      <c r="B157" s="1"/>
      <c r="C157" s="1"/>
      <c r="D157" s="1"/>
      <c r="E157" s="1"/>
      <c r="F157" s="1"/>
      <c r="G157" s="1"/>
      <c r="H157" s="1"/>
      <c r="I157" s="1"/>
      <c r="J157" s="1"/>
      <c r="K157" s="1"/>
      <c r="L157" s="1"/>
      <c r="M157" s="1"/>
      <c r="N157" s="26"/>
      <c r="O157" s="1"/>
    </row>
    <row r="158" spans="2:15" x14ac:dyDescent="0.25">
      <c r="B158" s="1"/>
      <c r="C158" s="1"/>
      <c r="D158" s="1"/>
      <c r="E158" s="1"/>
      <c r="F158" s="1"/>
      <c r="G158" s="1"/>
      <c r="H158" s="1"/>
      <c r="I158" s="1"/>
      <c r="J158" s="1"/>
      <c r="K158" s="1"/>
      <c r="L158" s="1"/>
      <c r="M158" s="1"/>
      <c r="N158" s="26"/>
      <c r="O158" s="1"/>
    </row>
    <row r="159" spans="2:15" x14ac:dyDescent="0.25">
      <c r="B159" s="1"/>
      <c r="C159" s="1"/>
      <c r="D159" s="1"/>
      <c r="E159" s="1"/>
      <c r="F159" s="1"/>
      <c r="G159" s="1"/>
      <c r="H159" s="1"/>
      <c r="I159" s="1"/>
      <c r="J159" s="1"/>
      <c r="K159" s="1"/>
      <c r="L159" s="1"/>
      <c r="M159" s="1"/>
      <c r="N159" s="26"/>
      <c r="O159" s="1"/>
    </row>
    <row r="160" spans="2:15" x14ac:dyDescent="0.25">
      <c r="B160" s="1"/>
      <c r="C160" s="1"/>
      <c r="D160" s="1"/>
      <c r="E160" s="1"/>
      <c r="F160" s="1"/>
      <c r="G160" s="1"/>
      <c r="H160" s="1"/>
      <c r="I160" s="1"/>
      <c r="J160" s="1"/>
      <c r="K160" s="1"/>
      <c r="L160" s="1"/>
      <c r="M160" s="1"/>
      <c r="N160" s="26"/>
      <c r="O160" s="1"/>
    </row>
    <row r="161" spans="2:15" x14ac:dyDescent="0.25">
      <c r="B161" s="1"/>
      <c r="C161" s="1"/>
      <c r="D161" s="1"/>
      <c r="E161" s="1"/>
      <c r="F161" s="1"/>
      <c r="G161" s="1"/>
      <c r="H161" s="1"/>
      <c r="I161" s="1"/>
      <c r="J161" s="1"/>
      <c r="K161" s="1"/>
      <c r="L161" s="1"/>
      <c r="M161" s="1"/>
      <c r="N161" s="26"/>
      <c r="O161" s="1"/>
    </row>
    <row r="162" spans="2:15" x14ac:dyDescent="0.25">
      <c r="B162" s="1"/>
      <c r="C162" s="1"/>
      <c r="D162" s="1"/>
      <c r="E162" s="1"/>
      <c r="F162" s="1"/>
      <c r="G162" s="1"/>
      <c r="H162" s="1"/>
      <c r="I162" s="1"/>
      <c r="J162" s="1"/>
      <c r="K162" s="1"/>
      <c r="L162" s="1"/>
      <c r="M162" s="1"/>
      <c r="N162" s="26"/>
      <c r="O162" s="1"/>
    </row>
    <row r="163" spans="2:15" x14ac:dyDescent="0.25">
      <c r="B163" s="1"/>
      <c r="C163" s="1"/>
      <c r="D163" s="1"/>
      <c r="E163" s="1"/>
      <c r="F163" s="1"/>
      <c r="G163" s="1"/>
      <c r="H163" s="1"/>
      <c r="I163" s="1"/>
      <c r="J163" s="1"/>
      <c r="K163" s="1"/>
      <c r="L163" s="1"/>
      <c r="M163" s="1"/>
      <c r="N163" s="26"/>
      <c r="O163" s="1"/>
    </row>
    <row r="164" spans="2:15" x14ac:dyDescent="0.25">
      <c r="B164" s="1"/>
      <c r="C164" s="1"/>
      <c r="D164" s="1"/>
      <c r="E164" s="1"/>
      <c r="F164" s="1"/>
      <c r="G164" s="1"/>
      <c r="H164" s="1"/>
      <c r="I164" s="1"/>
      <c r="J164" s="1"/>
      <c r="K164" s="1"/>
      <c r="L164" s="1"/>
      <c r="M164" s="1"/>
      <c r="N164" s="26"/>
      <c r="O164" s="1"/>
    </row>
    <row r="165" spans="2:15" x14ac:dyDescent="0.25">
      <c r="B165" s="1"/>
      <c r="C165" s="1"/>
      <c r="D165" s="1"/>
      <c r="E165" s="1"/>
      <c r="F165" s="1"/>
      <c r="G165" s="1"/>
      <c r="H165" s="1"/>
      <c r="I165" s="1"/>
      <c r="J165" s="1"/>
      <c r="K165" s="1"/>
      <c r="L165" s="1"/>
      <c r="M165" s="1"/>
      <c r="N165" s="26"/>
      <c r="O165" s="1"/>
    </row>
    <row r="166" spans="2:15" x14ac:dyDescent="0.25">
      <c r="B166" s="1"/>
      <c r="C166" s="1"/>
      <c r="D166" s="1"/>
      <c r="E166" s="1"/>
      <c r="F166" s="1"/>
      <c r="G166" s="1"/>
      <c r="H166" s="1"/>
      <c r="I166" s="1"/>
      <c r="J166" s="1"/>
      <c r="K166" s="1"/>
      <c r="L166" s="1"/>
      <c r="M166" s="1"/>
      <c r="N166" s="26"/>
      <c r="O166" s="1"/>
    </row>
    <row r="167" spans="2:15" x14ac:dyDescent="0.25">
      <c r="B167" s="1"/>
      <c r="C167" s="1"/>
      <c r="D167" s="1"/>
      <c r="E167" s="1"/>
      <c r="F167" s="1"/>
      <c r="G167" s="1"/>
      <c r="H167" s="1"/>
      <c r="I167" s="1"/>
      <c r="J167" s="1"/>
      <c r="K167" s="1"/>
      <c r="L167" s="1"/>
      <c r="M167" s="1"/>
      <c r="N167" s="26"/>
      <c r="O167" s="1"/>
    </row>
    <row r="168" spans="2:15" x14ac:dyDescent="0.25">
      <c r="B168" s="1"/>
      <c r="C168" s="1"/>
      <c r="D168" s="1"/>
      <c r="E168" s="1"/>
      <c r="F168" s="1"/>
      <c r="G168" s="1"/>
      <c r="H168" s="1"/>
      <c r="I168" s="1"/>
      <c r="J168" s="1"/>
      <c r="K168" s="1"/>
      <c r="L168" s="1"/>
      <c r="M168" s="1"/>
      <c r="N168" s="26"/>
      <c r="O168" s="1"/>
    </row>
    <row r="169" spans="2:15" x14ac:dyDescent="0.25">
      <c r="B169" s="1"/>
      <c r="C169" s="1"/>
      <c r="D169" s="1"/>
      <c r="E169" s="1"/>
      <c r="F169" s="1"/>
      <c r="G169" s="1"/>
      <c r="H169" s="1"/>
      <c r="I169" s="1"/>
      <c r="J169" s="1"/>
      <c r="K169" s="1"/>
      <c r="L169" s="1"/>
      <c r="M169" s="1"/>
      <c r="N169" s="26"/>
      <c r="O169" s="1"/>
    </row>
    <row r="170" spans="2:15" x14ac:dyDescent="0.25">
      <c r="B170" s="1"/>
      <c r="C170" s="1"/>
      <c r="D170" s="1"/>
      <c r="E170" s="1"/>
      <c r="F170" s="1"/>
      <c r="G170" s="1"/>
      <c r="H170" s="1"/>
      <c r="I170" s="1"/>
      <c r="J170" s="1"/>
      <c r="K170" s="1"/>
      <c r="L170" s="1"/>
      <c r="M170" s="1"/>
      <c r="N170" s="26"/>
      <c r="O170" s="1"/>
    </row>
    <row r="171" spans="2:15" x14ac:dyDescent="0.25">
      <c r="B171" s="1"/>
      <c r="C171" s="1"/>
      <c r="D171" s="1"/>
      <c r="E171" s="1"/>
      <c r="F171" s="1"/>
      <c r="G171" s="1"/>
      <c r="H171" s="1"/>
      <c r="I171" s="1"/>
      <c r="J171" s="1"/>
      <c r="K171" s="1"/>
      <c r="L171" s="1"/>
      <c r="M171" s="1"/>
      <c r="N171" s="26"/>
      <c r="O171" s="1"/>
    </row>
    <row r="172" spans="2:15" x14ac:dyDescent="0.25">
      <c r="B172" s="1"/>
      <c r="C172" s="1"/>
      <c r="D172" s="1"/>
      <c r="E172" s="1"/>
      <c r="F172" s="1"/>
      <c r="G172" s="1"/>
      <c r="H172" s="1"/>
      <c r="I172" s="1"/>
      <c r="J172" s="1"/>
      <c r="K172" s="1"/>
      <c r="L172" s="1"/>
      <c r="M172" s="1"/>
      <c r="N172" s="26"/>
      <c r="O172" s="1"/>
    </row>
    <row r="173" spans="2:15" x14ac:dyDescent="0.25">
      <c r="B173" s="1"/>
      <c r="C173" s="1"/>
      <c r="D173" s="1"/>
      <c r="E173" s="1"/>
      <c r="F173" s="1"/>
      <c r="G173" s="1"/>
      <c r="H173" s="1"/>
      <c r="I173" s="1"/>
      <c r="J173" s="1"/>
      <c r="K173" s="1"/>
      <c r="L173" s="1"/>
      <c r="M173" s="1"/>
      <c r="N173" s="26"/>
      <c r="O173" s="1"/>
    </row>
    <row r="174" spans="2:15" x14ac:dyDescent="0.25">
      <c r="B174" s="1"/>
      <c r="C174" s="1"/>
      <c r="D174" s="1"/>
      <c r="E174" s="1"/>
      <c r="F174" s="1"/>
      <c r="G174" s="1"/>
      <c r="H174" s="1"/>
      <c r="I174" s="1"/>
      <c r="J174" s="1"/>
      <c r="K174" s="1"/>
      <c r="L174" s="1"/>
      <c r="M174" s="1"/>
      <c r="N174" s="26"/>
      <c r="O174" s="1"/>
    </row>
    <row r="175" spans="2:15" x14ac:dyDescent="0.25">
      <c r="B175" s="1"/>
      <c r="C175" s="1"/>
      <c r="D175" s="1"/>
      <c r="E175" s="1"/>
      <c r="F175" s="1"/>
      <c r="G175" s="1"/>
      <c r="H175" s="1"/>
      <c r="I175" s="1"/>
      <c r="J175" s="1"/>
      <c r="K175" s="1"/>
      <c r="L175" s="1"/>
      <c r="M175" s="1"/>
      <c r="N175" s="26"/>
      <c r="O175" s="1"/>
    </row>
    <row r="176" spans="2:15" x14ac:dyDescent="0.25">
      <c r="B176" s="1"/>
      <c r="C176" s="1"/>
      <c r="D176" s="1"/>
      <c r="E176" s="1"/>
      <c r="F176" s="1"/>
      <c r="G176" s="1"/>
      <c r="H176" s="1"/>
      <c r="I176" s="1"/>
      <c r="J176" s="1"/>
      <c r="K176" s="1"/>
      <c r="L176" s="1"/>
      <c r="M176" s="1"/>
      <c r="N176" s="26"/>
      <c r="O176" s="1"/>
    </row>
    <row r="177" spans="2:15" x14ac:dyDescent="0.25">
      <c r="B177" s="1"/>
      <c r="C177" s="1"/>
      <c r="D177" s="1"/>
      <c r="E177" s="1"/>
      <c r="F177" s="1"/>
      <c r="G177" s="1"/>
      <c r="H177" s="1"/>
      <c r="I177" s="1"/>
      <c r="J177" s="1"/>
      <c r="K177" s="1"/>
      <c r="L177" s="1"/>
      <c r="M177" s="1"/>
      <c r="N177" s="26"/>
      <c r="O177" s="1"/>
    </row>
    <row r="178" spans="2:15" x14ac:dyDescent="0.25">
      <c r="B178" s="1"/>
      <c r="C178" s="1"/>
      <c r="D178" s="1"/>
      <c r="E178" s="1"/>
      <c r="F178" s="1"/>
      <c r="G178" s="1"/>
      <c r="H178" s="1"/>
      <c r="I178" s="1"/>
      <c r="J178" s="1"/>
      <c r="K178" s="1"/>
      <c r="L178" s="1"/>
      <c r="M178" s="1"/>
      <c r="N178" s="26"/>
      <c r="O178" s="1"/>
    </row>
    <row r="179" spans="2:15" x14ac:dyDescent="0.25">
      <c r="B179" s="1"/>
      <c r="C179" s="1"/>
      <c r="D179" s="1"/>
      <c r="E179" s="1"/>
      <c r="F179" s="1"/>
      <c r="G179" s="1"/>
      <c r="H179" s="1"/>
      <c r="I179" s="1"/>
      <c r="J179" s="1"/>
      <c r="K179" s="1"/>
      <c r="L179" s="1"/>
      <c r="M179" s="1"/>
      <c r="N179" s="26"/>
      <c r="O179" s="1"/>
    </row>
    <row r="180" spans="2:15" x14ac:dyDescent="0.25">
      <c r="B180" s="1"/>
      <c r="C180" s="1"/>
      <c r="D180" s="1"/>
      <c r="E180" s="1"/>
      <c r="F180" s="1"/>
      <c r="G180" s="1"/>
      <c r="H180" s="1"/>
      <c r="I180" s="1"/>
      <c r="J180" s="1"/>
      <c r="K180" s="1"/>
      <c r="L180" s="1"/>
      <c r="M180" s="1"/>
      <c r="N180" s="26"/>
      <c r="O180" s="1"/>
    </row>
    <row r="181" spans="2:15" x14ac:dyDescent="0.25">
      <c r="B181" s="1"/>
      <c r="C181" s="1"/>
      <c r="D181" s="1"/>
      <c r="E181" s="1"/>
      <c r="F181" s="1"/>
      <c r="G181" s="1"/>
      <c r="H181" s="1"/>
      <c r="I181" s="1"/>
      <c r="J181" s="1"/>
      <c r="K181" s="1"/>
      <c r="L181" s="1"/>
      <c r="M181" s="1"/>
      <c r="N181" s="26"/>
      <c r="O181" s="1"/>
    </row>
    <row r="182" spans="2:15" x14ac:dyDescent="0.25">
      <c r="B182" s="1"/>
      <c r="C182" s="1"/>
      <c r="D182" s="1"/>
      <c r="E182" s="1"/>
      <c r="F182" s="1"/>
      <c r="G182" s="1"/>
      <c r="H182" s="1"/>
      <c r="I182" s="1"/>
      <c r="J182" s="1"/>
      <c r="K182" s="1"/>
      <c r="L182" s="1"/>
      <c r="M182" s="1"/>
      <c r="N182" s="26"/>
      <c r="O182" s="1"/>
    </row>
    <row r="183" spans="2:15" x14ac:dyDescent="0.25">
      <c r="B183" s="1"/>
      <c r="C183" s="1"/>
      <c r="D183" s="1"/>
      <c r="E183" s="1"/>
      <c r="F183" s="1"/>
      <c r="G183" s="1"/>
      <c r="H183" s="1"/>
      <c r="I183" s="1"/>
      <c r="J183" s="1"/>
      <c r="K183" s="1"/>
      <c r="L183" s="1"/>
      <c r="M183" s="1"/>
      <c r="N183" s="26"/>
      <c r="O183" s="1"/>
    </row>
    <row r="184" spans="2:15" x14ac:dyDescent="0.25">
      <c r="N184" s="19"/>
    </row>
    <row r="185" spans="2:15" x14ac:dyDescent="0.25">
      <c r="N185" s="19"/>
    </row>
    <row r="186" spans="2:15" x14ac:dyDescent="0.25">
      <c r="N186" s="19"/>
    </row>
    <row r="187" spans="2:15" x14ac:dyDescent="0.25">
      <c r="N187" s="19"/>
    </row>
    <row r="188" spans="2:15" x14ac:dyDescent="0.25">
      <c r="N188" s="19"/>
    </row>
    <row r="189" spans="2:15" x14ac:dyDescent="0.25">
      <c r="N189" s="19"/>
    </row>
    <row r="190" spans="2:15" x14ac:dyDescent="0.25">
      <c r="N190" s="19"/>
    </row>
    <row r="191" spans="2:15" x14ac:dyDescent="0.25">
      <c r="N191" s="19"/>
    </row>
    <row r="192" spans="2:15" x14ac:dyDescent="0.25">
      <c r="N192" s="19"/>
    </row>
    <row r="193" spans="14:14" x14ac:dyDescent="0.25">
      <c r="N193" s="19"/>
    </row>
    <row r="194" spans="14:14" x14ac:dyDescent="0.25">
      <c r="N194" s="19"/>
    </row>
    <row r="195" spans="14:14" x14ac:dyDescent="0.25">
      <c r="N195" s="19"/>
    </row>
    <row r="196" spans="14:14" x14ac:dyDescent="0.25">
      <c r="N196" s="19"/>
    </row>
    <row r="197" spans="14:14" x14ac:dyDescent="0.25">
      <c r="N197" s="19"/>
    </row>
    <row r="198" spans="14:14" x14ac:dyDescent="0.25">
      <c r="N198" s="19"/>
    </row>
    <row r="199" spans="14:14" x14ac:dyDescent="0.25">
      <c r="N199" s="19"/>
    </row>
    <row r="200" spans="14:14" x14ac:dyDescent="0.25">
      <c r="N200" s="19"/>
    </row>
    <row r="201" spans="14:14" x14ac:dyDescent="0.25">
      <c r="N201" s="19"/>
    </row>
    <row r="202" spans="14:14" x14ac:dyDescent="0.25">
      <c r="N202" s="19"/>
    </row>
    <row r="203" spans="14:14" x14ac:dyDescent="0.25">
      <c r="N203" s="19"/>
    </row>
    <row r="204" spans="14:14" x14ac:dyDescent="0.25">
      <c r="N204" s="19"/>
    </row>
    <row r="205" spans="14:14" x14ac:dyDescent="0.25">
      <c r="N205" s="19"/>
    </row>
    <row r="206" spans="14:14" x14ac:dyDescent="0.25">
      <c r="N206" s="19"/>
    </row>
    <row r="207" spans="14:14" x14ac:dyDescent="0.25">
      <c r="N207" s="19"/>
    </row>
    <row r="208" spans="14:14" x14ac:dyDescent="0.25">
      <c r="N208" s="19"/>
    </row>
    <row r="209" spans="14:14" x14ac:dyDescent="0.25">
      <c r="N209" s="19"/>
    </row>
    <row r="210" spans="14:14" x14ac:dyDescent="0.25">
      <c r="N210" s="19"/>
    </row>
    <row r="211" spans="14:14" x14ac:dyDescent="0.25">
      <c r="N211" s="19"/>
    </row>
    <row r="212" spans="14:14" x14ac:dyDescent="0.25">
      <c r="N212" s="19"/>
    </row>
    <row r="213" spans="14:14" x14ac:dyDescent="0.25">
      <c r="N213" s="19"/>
    </row>
    <row r="214" spans="14:14" x14ac:dyDescent="0.25">
      <c r="N214" s="19"/>
    </row>
    <row r="215" spans="14:14" x14ac:dyDescent="0.25">
      <c r="N215" s="19"/>
    </row>
    <row r="216" spans="14:14" x14ac:dyDescent="0.25">
      <c r="N216" s="19"/>
    </row>
    <row r="217" spans="14:14" x14ac:dyDescent="0.25">
      <c r="N217" s="19"/>
    </row>
    <row r="218" spans="14:14" x14ac:dyDescent="0.25">
      <c r="N218" s="19"/>
    </row>
    <row r="219" spans="14:14" x14ac:dyDescent="0.25">
      <c r="N219" s="19"/>
    </row>
    <row r="220" spans="14:14" x14ac:dyDescent="0.25">
      <c r="N220" s="19"/>
    </row>
    <row r="221" spans="14:14" x14ac:dyDescent="0.25">
      <c r="N221" s="19"/>
    </row>
    <row r="222" spans="14:14" x14ac:dyDescent="0.25">
      <c r="N222" s="19"/>
    </row>
    <row r="223" spans="14:14" x14ac:dyDescent="0.25">
      <c r="N223" s="19"/>
    </row>
    <row r="224" spans="14:14" x14ac:dyDescent="0.25">
      <c r="N224" s="19"/>
    </row>
    <row r="225" spans="14:14" x14ac:dyDescent="0.25">
      <c r="N225" s="19"/>
    </row>
    <row r="226" spans="14:14" x14ac:dyDescent="0.25">
      <c r="N226" s="19"/>
    </row>
    <row r="227" spans="14:14" x14ac:dyDescent="0.25">
      <c r="N227" s="19"/>
    </row>
    <row r="228" spans="14:14" x14ac:dyDescent="0.25">
      <c r="N228" s="19"/>
    </row>
    <row r="229" spans="14:14" x14ac:dyDescent="0.25">
      <c r="N229" s="19"/>
    </row>
    <row r="230" spans="14:14" x14ac:dyDescent="0.25">
      <c r="N230" s="19"/>
    </row>
    <row r="231" spans="14:14" x14ac:dyDescent="0.25">
      <c r="N231" s="19"/>
    </row>
    <row r="232" spans="14:14" x14ac:dyDescent="0.25">
      <c r="N232" s="19"/>
    </row>
    <row r="233" spans="14:14" x14ac:dyDescent="0.25">
      <c r="N233" s="19"/>
    </row>
    <row r="234" spans="14:14" x14ac:dyDescent="0.25">
      <c r="N234" s="19"/>
    </row>
    <row r="235" spans="14:14" x14ac:dyDescent="0.25">
      <c r="N235" s="19"/>
    </row>
    <row r="236" spans="14:14" x14ac:dyDescent="0.25">
      <c r="N236" s="19"/>
    </row>
    <row r="237" spans="14:14" x14ac:dyDescent="0.25">
      <c r="N237" s="19"/>
    </row>
    <row r="238" spans="14:14" x14ac:dyDescent="0.25">
      <c r="N238" s="19"/>
    </row>
    <row r="239" spans="14:14" x14ac:dyDescent="0.25">
      <c r="N239" s="19"/>
    </row>
    <row r="240" spans="14:14" x14ac:dyDescent="0.25">
      <c r="N240" s="19"/>
    </row>
    <row r="241" spans="14:14" x14ac:dyDescent="0.25">
      <c r="N241" s="19"/>
    </row>
    <row r="242" spans="14:14" x14ac:dyDescent="0.25">
      <c r="N242" s="19"/>
    </row>
    <row r="243" spans="14:14" x14ac:dyDescent="0.25">
      <c r="N243" s="19"/>
    </row>
    <row r="244" spans="14:14" x14ac:dyDescent="0.25">
      <c r="N244" s="19"/>
    </row>
    <row r="245" spans="14:14" x14ac:dyDescent="0.25">
      <c r="N245" s="19"/>
    </row>
    <row r="246" spans="14:14" x14ac:dyDescent="0.25">
      <c r="N246" s="19"/>
    </row>
    <row r="247" spans="14:14" x14ac:dyDescent="0.25">
      <c r="N247" s="19"/>
    </row>
    <row r="248" spans="14:14" x14ac:dyDescent="0.25">
      <c r="N248" s="19"/>
    </row>
    <row r="249" spans="14:14" x14ac:dyDescent="0.25">
      <c r="N249" s="19"/>
    </row>
    <row r="250" spans="14:14" x14ac:dyDescent="0.25">
      <c r="N250" s="19"/>
    </row>
    <row r="251" spans="14:14" x14ac:dyDescent="0.25">
      <c r="N251" s="19"/>
    </row>
    <row r="252" spans="14:14" x14ac:dyDescent="0.25">
      <c r="N252" s="19"/>
    </row>
    <row r="253" spans="14:14" x14ac:dyDescent="0.25">
      <c r="N253" s="19"/>
    </row>
    <row r="254" spans="14:14" x14ac:dyDescent="0.25">
      <c r="N254" s="19"/>
    </row>
    <row r="255" spans="14:14" x14ac:dyDescent="0.25">
      <c r="N255" s="19"/>
    </row>
    <row r="256" spans="14:14" x14ac:dyDescent="0.25">
      <c r="N256" s="19"/>
    </row>
    <row r="257" spans="14:14" x14ac:dyDescent="0.25">
      <c r="N257" s="19"/>
    </row>
    <row r="258" spans="14:14" x14ac:dyDescent="0.25">
      <c r="N258" s="19"/>
    </row>
    <row r="259" spans="14:14" x14ac:dyDescent="0.25">
      <c r="N259" s="19"/>
    </row>
    <row r="260" spans="14:14" x14ac:dyDescent="0.25">
      <c r="N260" s="19"/>
    </row>
    <row r="261" spans="14:14" x14ac:dyDescent="0.25">
      <c r="N261" s="19"/>
    </row>
    <row r="262" spans="14:14" x14ac:dyDescent="0.25">
      <c r="N262" s="19"/>
    </row>
    <row r="263" spans="14:14" x14ac:dyDescent="0.25">
      <c r="N263" s="19"/>
    </row>
    <row r="264" spans="14:14" x14ac:dyDescent="0.25">
      <c r="N264" s="19"/>
    </row>
    <row r="265" spans="14:14" x14ac:dyDescent="0.25">
      <c r="N265" s="19"/>
    </row>
    <row r="266" spans="14:14" x14ac:dyDescent="0.25">
      <c r="N266" s="19"/>
    </row>
    <row r="267" spans="14:14" x14ac:dyDescent="0.25">
      <c r="N267" s="19"/>
    </row>
    <row r="268" spans="14:14" x14ac:dyDescent="0.25">
      <c r="N268" s="19"/>
    </row>
    <row r="269" spans="14:14" x14ac:dyDescent="0.25">
      <c r="N269" s="19"/>
    </row>
    <row r="270" spans="14:14" x14ac:dyDescent="0.25">
      <c r="N270" s="19"/>
    </row>
    <row r="271" spans="14:14" x14ac:dyDescent="0.25">
      <c r="N271" s="19"/>
    </row>
    <row r="272" spans="14:14" x14ac:dyDescent="0.25">
      <c r="N272" s="19"/>
    </row>
    <row r="273" spans="14:14" x14ac:dyDescent="0.25">
      <c r="N273" s="19"/>
    </row>
    <row r="274" spans="14:14" x14ac:dyDescent="0.25">
      <c r="N274" s="19"/>
    </row>
    <row r="275" spans="14:14" x14ac:dyDescent="0.25">
      <c r="N275" s="19"/>
    </row>
    <row r="276" spans="14:14" x14ac:dyDescent="0.25">
      <c r="N276" s="19"/>
    </row>
    <row r="277" spans="14:14" x14ac:dyDescent="0.25">
      <c r="N277" s="19"/>
    </row>
    <row r="278" spans="14:14" x14ac:dyDescent="0.25">
      <c r="N278" s="19"/>
    </row>
    <row r="279" spans="14:14" x14ac:dyDescent="0.25">
      <c r="N279" s="19"/>
    </row>
    <row r="280" spans="14:14" x14ac:dyDescent="0.25">
      <c r="N280" s="19"/>
    </row>
    <row r="281" spans="14:14" x14ac:dyDescent="0.25">
      <c r="N281" s="19"/>
    </row>
    <row r="282" spans="14:14" x14ac:dyDescent="0.25">
      <c r="N282" s="19"/>
    </row>
    <row r="283" spans="14:14" x14ac:dyDescent="0.25">
      <c r="N283" s="19"/>
    </row>
    <row r="284" spans="14:14" x14ac:dyDescent="0.25">
      <c r="N284" s="19"/>
    </row>
    <row r="285" spans="14:14" x14ac:dyDescent="0.25">
      <c r="N285" s="19"/>
    </row>
    <row r="286" spans="14:14" x14ac:dyDescent="0.25">
      <c r="N286" s="19"/>
    </row>
    <row r="287" spans="14:14" x14ac:dyDescent="0.25">
      <c r="N287" s="19"/>
    </row>
    <row r="288" spans="14:14" x14ac:dyDescent="0.25">
      <c r="N288" s="19"/>
    </row>
    <row r="289" spans="14:14" x14ac:dyDescent="0.25">
      <c r="N289" s="19"/>
    </row>
    <row r="290" spans="14:14" x14ac:dyDescent="0.25">
      <c r="N290" s="19"/>
    </row>
    <row r="291" spans="14:14" x14ac:dyDescent="0.25">
      <c r="N291" s="19"/>
    </row>
    <row r="292" spans="14:14" x14ac:dyDescent="0.25">
      <c r="N292" s="19"/>
    </row>
    <row r="293" spans="14:14" x14ac:dyDescent="0.25">
      <c r="N293" s="19"/>
    </row>
    <row r="294" spans="14:14" x14ac:dyDescent="0.25">
      <c r="N294" s="19"/>
    </row>
    <row r="295" spans="14:14" x14ac:dyDescent="0.25">
      <c r="N295" s="19"/>
    </row>
    <row r="296" spans="14:14" x14ac:dyDescent="0.25">
      <c r="N296" s="19"/>
    </row>
    <row r="297" spans="14:14" x14ac:dyDescent="0.25">
      <c r="N297" s="19"/>
    </row>
    <row r="298" spans="14:14" x14ac:dyDescent="0.25">
      <c r="N298" s="19"/>
    </row>
    <row r="299" spans="14:14" x14ac:dyDescent="0.25">
      <c r="N299" s="19"/>
    </row>
    <row r="300" spans="14:14" x14ac:dyDescent="0.25">
      <c r="N300" s="19"/>
    </row>
    <row r="301" spans="14:14" x14ac:dyDescent="0.25">
      <c r="N301" s="19"/>
    </row>
    <row r="302" spans="14:14" x14ac:dyDescent="0.25">
      <c r="N302" s="19"/>
    </row>
    <row r="303" spans="14:14" x14ac:dyDescent="0.25">
      <c r="N303" s="19"/>
    </row>
    <row r="304" spans="14:14" x14ac:dyDescent="0.25">
      <c r="N304" s="19"/>
    </row>
    <row r="305" spans="14:14" x14ac:dyDescent="0.25">
      <c r="N305" s="19"/>
    </row>
    <row r="306" spans="14:14" x14ac:dyDescent="0.25">
      <c r="N306" s="19"/>
    </row>
    <row r="307" spans="14:14" x14ac:dyDescent="0.25">
      <c r="N307" s="19"/>
    </row>
    <row r="308" spans="14:14" x14ac:dyDescent="0.25">
      <c r="N308" s="19"/>
    </row>
    <row r="309" spans="14:14" x14ac:dyDescent="0.25">
      <c r="N309" s="19"/>
    </row>
    <row r="310" spans="14:14" x14ac:dyDescent="0.25">
      <c r="N310" s="19"/>
    </row>
    <row r="311" spans="14:14" x14ac:dyDescent="0.25">
      <c r="N311" s="19"/>
    </row>
    <row r="312" spans="14:14" x14ac:dyDescent="0.25">
      <c r="N312" s="19"/>
    </row>
    <row r="313" spans="14:14" x14ac:dyDescent="0.25">
      <c r="N313" s="19"/>
    </row>
    <row r="314" spans="14:14" x14ac:dyDescent="0.25">
      <c r="N314" s="19"/>
    </row>
    <row r="315" spans="14:14" x14ac:dyDescent="0.25">
      <c r="N315" s="19"/>
    </row>
    <row r="316" spans="14:14" x14ac:dyDescent="0.25">
      <c r="N316" s="19"/>
    </row>
    <row r="317" spans="14:14" x14ac:dyDescent="0.25">
      <c r="N317" s="19"/>
    </row>
    <row r="318" spans="14:14" x14ac:dyDescent="0.25">
      <c r="N318" s="19"/>
    </row>
    <row r="319" spans="14:14" x14ac:dyDescent="0.25">
      <c r="N319" s="19"/>
    </row>
    <row r="320" spans="14:14" x14ac:dyDescent="0.25">
      <c r="N320" s="19"/>
    </row>
    <row r="321" spans="2:14" x14ac:dyDescent="0.25">
      <c r="N321" s="19"/>
    </row>
    <row r="322" spans="2:14" x14ac:dyDescent="0.25">
      <c r="N322" s="19"/>
    </row>
    <row r="323" spans="2:14" x14ac:dyDescent="0.25">
      <c r="N323" s="19"/>
    </row>
    <row r="324" spans="2:14" x14ac:dyDescent="0.25">
      <c r="N324" s="19"/>
    </row>
    <row r="325" spans="2:14" x14ac:dyDescent="0.25">
      <c r="N325" s="19"/>
    </row>
    <row r="326" spans="2:14" x14ac:dyDescent="0.25">
      <c r="N326" s="19"/>
    </row>
    <row r="327" spans="2:14" x14ac:dyDescent="0.25">
      <c r="B327" s="1"/>
      <c r="C327" s="1"/>
      <c r="D327" s="1"/>
      <c r="E327" s="1"/>
      <c r="F327" s="1"/>
      <c r="G327" s="1"/>
      <c r="H327" s="1"/>
      <c r="I327" s="1"/>
      <c r="J327" s="1"/>
      <c r="K327" s="1"/>
      <c r="L327" s="1"/>
      <c r="M327" s="1"/>
      <c r="N327" s="19"/>
    </row>
    <row r="328" spans="2:14" x14ac:dyDescent="0.25">
      <c r="B328" s="1"/>
      <c r="C328" s="1"/>
      <c r="D328" s="1"/>
      <c r="E328" s="1"/>
      <c r="F328" s="1"/>
      <c r="G328" s="1"/>
      <c r="H328" s="1"/>
      <c r="I328" s="1"/>
      <c r="J328" s="1"/>
      <c r="K328" s="1"/>
      <c r="L328" s="1"/>
      <c r="M328" s="1"/>
      <c r="N328" s="19"/>
    </row>
    <row r="329" spans="2:14" x14ac:dyDescent="0.25">
      <c r="B329" s="1"/>
      <c r="C329" s="1"/>
      <c r="D329" s="1"/>
      <c r="E329" s="1"/>
      <c r="F329" s="1"/>
      <c r="G329" s="1"/>
      <c r="H329" s="1"/>
      <c r="I329" s="1"/>
      <c r="J329" s="1"/>
      <c r="K329" s="1"/>
      <c r="L329" s="1"/>
      <c r="M329" s="1"/>
    </row>
    <row r="330" spans="2:14" x14ac:dyDescent="0.25">
      <c r="B330" s="1"/>
      <c r="C330" s="1"/>
      <c r="D330" s="1"/>
      <c r="E330" s="1"/>
      <c r="F330" s="1"/>
      <c r="G330" s="1"/>
      <c r="H330" s="1"/>
      <c r="I330" s="1"/>
      <c r="J330" s="1"/>
      <c r="K330" s="1"/>
      <c r="L330" s="1"/>
      <c r="M330" s="1"/>
    </row>
  </sheetData>
  <mergeCells count="1">
    <mergeCell ref="F1:H1"/>
  </mergeCells>
  <pageMargins left="0.75" right="0.75" top="1" bottom="1" header="0.5" footer="0.5"/>
  <pageSetup orientation="portrait" horizontalDpi="4294967292" verticalDpi="4294967292"/>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W369"/>
  <sheetViews>
    <sheetView zoomScaleNormal="100" workbookViewId="0">
      <pane ySplit="4" topLeftCell="A5" activePane="bottomLeft" state="frozen"/>
      <selection pane="bottomLeft" activeCell="W1" sqref="W1:W1048576"/>
    </sheetView>
  </sheetViews>
  <sheetFormatPr defaultColWidth="11" defaultRowHeight="15.75" x14ac:dyDescent="0.25"/>
  <cols>
    <col min="1" max="1" width="35.375" customWidth="1"/>
    <col min="2" max="2" width="15.125" bestFit="1" customWidth="1"/>
    <col min="3" max="9" width="12.5" bestFit="1" customWidth="1"/>
    <col min="10" max="10" width="13.875" customWidth="1"/>
    <col min="11" max="11" width="13.875" style="278" customWidth="1"/>
    <col min="12" max="12" width="13.875" customWidth="1"/>
    <col min="13" max="13" width="15.125" hidden="1" customWidth="1"/>
    <col min="14" max="14" width="11" style="124"/>
    <col min="23" max="23" width="89.375" hidden="1" customWidth="1"/>
    <col min="26" max="26" width="32.75" customWidth="1"/>
  </cols>
  <sheetData>
    <row r="1" spans="1:23" ht="18.75" x14ac:dyDescent="0.3">
      <c r="A1" s="36" t="s">
        <v>34</v>
      </c>
      <c r="F1" s="1020" t="s">
        <v>154</v>
      </c>
      <c r="G1" s="1020"/>
      <c r="H1" s="1020"/>
      <c r="J1" s="357"/>
      <c r="K1" s="295"/>
      <c r="L1" s="357"/>
      <c r="M1" s="357"/>
    </row>
    <row r="2" spans="1:23" x14ac:dyDescent="0.25">
      <c r="A2" s="2"/>
    </row>
    <row r="3" spans="1:23" x14ac:dyDescent="0.25">
      <c r="A3" s="2"/>
      <c r="B3" s="435" t="s">
        <v>58</v>
      </c>
      <c r="C3" s="360" t="s">
        <v>58</v>
      </c>
      <c r="D3" s="360" t="s">
        <v>58</v>
      </c>
      <c r="E3" s="360" t="s">
        <v>58</v>
      </c>
      <c r="F3" s="360" t="s">
        <v>58</v>
      </c>
      <c r="G3" s="360" t="s">
        <v>58</v>
      </c>
      <c r="H3" s="360" t="s">
        <v>58</v>
      </c>
      <c r="I3" s="360" t="s">
        <v>58</v>
      </c>
      <c r="J3" s="436" t="s">
        <v>58</v>
      </c>
      <c r="K3" s="366" t="s">
        <v>58</v>
      </c>
      <c r="L3" s="441" t="s">
        <v>58</v>
      </c>
      <c r="M3" s="360" t="s">
        <v>58</v>
      </c>
    </row>
    <row r="4" spans="1:23" x14ac:dyDescent="0.25">
      <c r="A4" s="2"/>
      <c r="B4" s="437" t="s">
        <v>55</v>
      </c>
      <c r="C4" s="205" t="s">
        <v>55</v>
      </c>
      <c r="D4" s="205" t="s">
        <v>55</v>
      </c>
      <c r="E4" s="205" t="s">
        <v>55</v>
      </c>
      <c r="F4" s="205" t="s">
        <v>55</v>
      </c>
      <c r="G4" s="205" t="s">
        <v>55</v>
      </c>
      <c r="H4" s="205" t="s">
        <v>55</v>
      </c>
      <c r="I4" s="205" t="s">
        <v>55</v>
      </c>
      <c r="J4" s="438" t="s">
        <v>55</v>
      </c>
      <c r="K4" s="67" t="s">
        <v>151</v>
      </c>
      <c r="L4" s="442" t="s">
        <v>56</v>
      </c>
      <c r="M4" s="205" t="s">
        <v>253</v>
      </c>
    </row>
    <row r="5" spans="1:23" ht="19.5" thickBot="1" x14ac:dyDescent="0.35">
      <c r="A5" s="351"/>
      <c r="B5" s="439">
        <v>2009</v>
      </c>
      <c r="C5" s="367">
        <v>2010</v>
      </c>
      <c r="D5" s="367">
        <v>2011</v>
      </c>
      <c r="E5" s="367">
        <v>2012</v>
      </c>
      <c r="F5" s="367">
        <v>2013</v>
      </c>
      <c r="G5" s="367">
        <v>2014</v>
      </c>
      <c r="H5" s="367">
        <v>2015</v>
      </c>
      <c r="I5" s="367">
        <v>2016</v>
      </c>
      <c r="J5" s="440">
        <v>2017</v>
      </c>
      <c r="K5" s="367">
        <v>2018</v>
      </c>
      <c r="L5" s="456">
        <v>2019</v>
      </c>
      <c r="M5" s="367">
        <v>2018</v>
      </c>
      <c r="N5" s="126"/>
      <c r="O5" s="2"/>
    </row>
    <row r="6" spans="1:23" s="278" customFormat="1" ht="18.75" x14ac:dyDescent="0.3">
      <c r="A6" s="370" t="s">
        <v>333</v>
      </c>
      <c r="B6" s="378"/>
      <c r="C6" s="371"/>
      <c r="D6" s="371"/>
      <c r="E6" s="371"/>
      <c r="F6" s="371"/>
      <c r="G6" s="371"/>
      <c r="H6" s="371"/>
      <c r="I6" s="371"/>
      <c r="J6" s="379"/>
      <c r="K6" s="463"/>
      <c r="L6" s="464"/>
      <c r="M6" s="379"/>
      <c r="N6" s="126"/>
      <c r="O6" s="2"/>
    </row>
    <row r="7" spans="1:23" x14ac:dyDescent="0.25">
      <c r="A7" s="106" t="s">
        <v>92</v>
      </c>
      <c r="B7" s="380">
        <v>0</v>
      </c>
      <c r="C7" s="315">
        <v>636020</v>
      </c>
      <c r="D7" s="315">
        <v>652778</v>
      </c>
      <c r="E7" s="315">
        <v>619010</v>
      </c>
      <c r="F7" s="315">
        <v>450119</v>
      </c>
      <c r="G7" s="315">
        <f>3619+2831899</f>
        <v>2835518</v>
      </c>
      <c r="H7" s="315">
        <f>-1176+3065032</f>
        <v>3063856</v>
      </c>
      <c r="I7" s="315">
        <f>-1597+3134267</f>
        <v>3132670</v>
      </c>
      <c r="J7" s="381">
        <v>4461275</v>
      </c>
      <c r="K7" s="315">
        <v>4462730</v>
      </c>
      <c r="L7" s="372">
        <v>0</v>
      </c>
      <c r="M7" s="381">
        <v>4462730</v>
      </c>
      <c r="N7" s="121"/>
      <c r="O7" s="3"/>
    </row>
    <row r="8" spans="1:23" x14ac:dyDescent="0.25">
      <c r="A8" s="353" t="s">
        <v>88</v>
      </c>
      <c r="B8" s="380">
        <v>0</v>
      </c>
      <c r="C8" s="315">
        <v>0</v>
      </c>
      <c r="D8" s="315">
        <v>0</v>
      </c>
      <c r="E8" s="315">
        <v>0</v>
      </c>
      <c r="F8" s="315">
        <v>0</v>
      </c>
      <c r="G8" s="315">
        <v>0</v>
      </c>
      <c r="H8" s="315">
        <v>0</v>
      </c>
      <c r="I8" s="315">
        <v>0</v>
      </c>
      <c r="J8" s="381">
        <v>0</v>
      </c>
      <c r="K8" s="315">
        <v>0</v>
      </c>
      <c r="L8" s="372">
        <v>0</v>
      </c>
      <c r="M8" s="381">
        <v>0</v>
      </c>
      <c r="N8" s="121"/>
      <c r="O8" s="3"/>
    </row>
    <row r="9" spans="1:23" x14ac:dyDescent="0.25">
      <c r="A9" s="107" t="s">
        <v>93</v>
      </c>
      <c r="B9" s="380">
        <v>0</v>
      </c>
      <c r="C9" s="315">
        <v>0</v>
      </c>
      <c r="D9" s="315">
        <v>0</v>
      </c>
      <c r="E9" s="315">
        <v>0</v>
      </c>
      <c r="F9" s="315">
        <v>0</v>
      </c>
      <c r="G9" s="315">
        <v>0</v>
      </c>
      <c r="H9" s="315">
        <v>0</v>
      </c>
      <c r="I9" s="315">
        <v>0</v>
      </c>
      <c r="J9" s="381">
        <v>0</v>
      </c>
      <c r="K9" s="315">
        <v>0</v>
      </c>
      <c r="L9" s="372">
        <v>0</v>
      </c>
      <c r="M9" s="381">
        <v>0</v>
      </c>
      <c r="N9" s="121"/>
      <c r="O9" s="3"/>
    </row>
    <row r="10" spans="1:23" x14ac:dyDescent="0.25">
      <c r="A10" s="354" t="s">
        <v>78</v>
      </c>
      <c r="B10" s="380">
        <v>0</v>
      </c>
      <c r="C10" s="315">
        <v>74768</v>
      </c>
      <c r="D10" s="315">
        <v>79669</v>
      </c>
      <c r="E10" s="315">
        <v>96752</v>
      </c>
      <c r="F10" s="315">
        <v>63994</v>
      </c>
      <c r="G10" s="315">
        <f>75773+147208</f>
        <v>222981</v>
      </c>
      <c r="H10" s="315">
        <f>76200+170305</f>
        <v>246505</v>
      </c>
      <c r="I10" s="315">
        <f>78485+132270</f>
        <v>210755</v>
      </c>
      <c r="J10" s="381">
        <f>82063+145173</f>
        <v>227236</v>
      </c>
      <c r="K10" s="315">
        <f>82615+87903</f>
        <v>170518</v>
      </c>
      <c r="L10" s="372">
        <f>80025+87181</f>
        <v>167206</v>
      </c>
      <c r="M10" s="381">
        <f>82615+87903</f>
        <v>170518</v>
      </c>
      <c r="N10" s="121"/>
      <c r="O10" s="3"/>
    </row>
    <row r="11" spans="1:23" ht="16.5" thickBot="1" x14ac:dyDescent="0.3">
      <c r="A11" s="108"/>
      <c r="B11" s="382"/>
      <c r="C11" s="369"/>
      <c r="D11" s="369"/>
      <c r="E11" s="369"/>
      <c r="F11" s="369"/>
      <c r="G11" s="369"/>
      <c r="H11" s="369"/>
      <c r="I11" s="369"/>
      <c r="J11" s="383"/>
      <c r="K11" s="369"/>
      <c r="L11" s="373"/>
      <c r="M11" s="383">
        <v>0</v>
      </c>
      <c r="N11" s="121"/>
      <c r="O11" s="2"/>
      <c r="W11" t="s">
        <v>378</v>
      </c>
    </row>
    <row r="12" spans="1:23" ht="17.25" thickTop="1" thickBot="1" x14ac:dyDescent="0.3">
      <c r="A12" s="474" t="s">
        <v>100</v>
      </c>
      <c r="B12" s="475">
        <f t="shared" ref="B12:H12" si="0">SUM(B7:B10)</f>
        <v>0</v>
      </c>
      <c r="C12" s="476">
        <f t="shared" si="0"/>
        <v>710788</v>
      </c>
      <c r="D12" s="476">
        <f t="shared" si="0"/>
        <v>732447</v>
      </c>
      <c r="E12" s="476">
        <f t="shared" si="0"/>
        <v>715762</v>
      </c>
      <c r="F12" s="476">
        <f t="shared" si="0"/>
        <v>514113</v>
      </c>
      <c r="G12" s="476">
        <f t="shared" si="0"/>
        <v>3058499</v>
      </c>
      <c r="H12" s="476">
        <f t="shared" si="0"/>
        <v>3310361</v>
      </c>
      <c r="I12" s="476">
        <f>SUM(I7:I10)</f>
        <v>3343425</v>
      </c>
      <c r="J12" s="477">
        <f>SUM(J7:J10)</f>
        <v>4688511</v>
      </c>
      <c r="K12" s="476">
        <f>SUM(K7:K10)</f>
        <v>4633248</v>
      </c>
      <c r="L12" s="478">
        <f>SUM(L7:L10)</f>
        <v>167206</v>
      </c>
      <c r="M12" s="433">
        <f>SUM(M7:M10)</f>
        <v>4633248</v>
      </c>
      <c r="N12" s="126"/>
      <c r="O12" s="2"/>
    </row>
    <row r="13" spans="1:23" x14ac:dyDescent="0.25">
      <c r="A13" s="2"/>
      <c r="B13" s="407"/>
      <c r="C13" s="312"/>
      <c r="D13" s="312"/>
      <c r="E13" s="312"/>
      <c r="F13" s="312"/>
      <c r="G13" s="312"/>
      <c r="H13" s="312"/>
      <c r="I13" s="312"/>
      <c r="J13" s="400"/>
      <c r="K13" s="312"/>
      <c r="L13" s="444"/>
      <c r="M13" s="312"/>
      <c r="N13" s="126"/>
      <c r="O13" s="2"/>
    </row>
    <row r="14" spans="1:23" ht="16.5" thickBot="1" x14ac:dyDescent="0.3">
      <c r="A14" s="75"/>
      <c r="B14" s="380"/>
      <c r="C14" s="313"/>
      <c r="D14" s="313"/>
      <c r="E14" s="313"/>
      <c r="F14" s="313"/>
      <c r="G14" s="313"/>
      <c r="H14" s="313"/>
      <c r="I14" s="313"/>
      <c r="J14" s="381"/>
      <c r="K14" s="313"/>
      <c r="L14" s="372"/>
      <c r="M14" s="313"/>
      <c r="N14" s="126"/>
      <c r="O14" s="2"/>
    </row>
    <row r="15" spans="1:23" ht="18.75" x14ac:dyDescent="0.3">
      <c r="A15" s="376" t="s">
        <v>332</v>
      </c>
      <c r="B15" s="521">
        <v>2009</v>
      </c>
      <c r="C15" s="522">
        <v>2010</v>
      </c>
      <c r="D15" s="522">
        <v>2011</v>
      </c>
      <c r="E15" s="522">
        <v>2012</v>
      </c>
      <c r="F15" s="522">
        <v>2013</v>
      </c>
      <c r="G15" s="522">
        <v>2014</v>
      </c>
      <c r="H15" s="522">
        <v>2015</v>
      </c>
      <c r="I15" s="522">
        <v>2016</v>
      </c>
      <c r="J15" s="523">
        <v>2017</v>
      </c>
      <c r="K15" s="522">
        <v>2018</v>
      </c>
      <c r="L15" s="524">
        <v>2019</v>
      </c>
      <c r="M15" s="520">
        <v>2018</v>
      </c>
      <c r="N15" s="535"/>
      <c r="O15" s="2"/>
    </row>
    <row r="16" spans="1:23" x14ac:dyDescent="0.25">
      <c r="A16" s="106" t="s">
        <v>92</v>
      </c>
      <c r="B16" s="380">
        <v>3150350</v>
      </c>
      <c r="C16" s="315">
        <v>2931210</v>
      </c>
      <c r="D16" s="315">
        <v>3188644</v>
      </c>
      <c r="E16" s="315">
        <v>3125625</v>
      </c>
      <c r="F16" s="315">
        <v>3516179</v>
      </c>
      <c r="G16" s="315">
        <v>3464762</v>
      </c>
      <c r="H16" s="315">
        <v>3851712</v>
      </c>
      <c r="I16" s="315">
        <v>3971864</v>
      </c>
      <c r="J16" s="381">
        <v>4665671</v>
      </c>
      <c r="K16" s="315">
        <v>5718302</v>
      </c>
      <c r="L16" s="372">
        <v>4821194</v>
      </c>
      <c r="M16" s="381">
        <v>5416696</v>
      </c>
      <c r="N16" s="126"/>
      <c r="O16" s="10"/>
    </row>
    <row r="17" spans="1:23" x14ac:dyDescent="0.25">
      <c r="A17" s="353" t="s">
        <v>88</v>
      </c>
      <c r="B17" s="380">
        <v>0</v>
      </c>
      <c r="C17" s="315">
        <v>0</v>
      </c>
      <c r="D17" s="315">
        <v>0</v>
      </c>
      <c r="E17" s="315">
        <v>0</v>
      </c>
      <c r="F17" s="315">
        <v>0</v>
      </c>
      <c r="G17" s="315">
        <v>0</v>
      </c>
      <c r="H17" s="315">
        <v>0</v>
      </c>
      <c r="I17" s="315">
        <v>0</v>
      </c>
      <c r="J17" s="381">
        <v>0</v>
      </c>
      <c r="K17" s="315">
        <v>0</v>
      </c>
      <c r="L17" s="372">
        <v>0</v>
      </c>
      <c r="M17" s="381">
        <v>0</v>
      </c>
      <c r="N17" s="127"/>
    </row>
    <row r="18" spans="1:23" x14ac:dyDescent="0.25">
      <c r="A18" s="107" t="s">
        <v>93</v>
      </c>
      <c r="B18" s="380">
        <v>0</v>
      </c>
      <c r="C18" s="315">
        <v>0</v>
      </c>
      <c r="D18" s="315">
        <v>0</v>
      </c>
      <c r="E18" s="315">
        <v>0</v>
      </c>
      <c r="F18" s="315">
        <v>0</v>
      </c>
      <c r="G18" s="315">
        <v>0</v>
      </c>
      <c r="H18" s="315">
        <v>0</v>
      </c>
      <c r="I18" s="315">
        <v>0</v>
      </c>
      <c r="J18" s="381">
        <v>0</v>
      </c>
      <c r="K18" s="315">
        <v>0</v>
      </c>
      <c r="L18" s="372">
        <v>0</v>
      </c>
      <c r="M18" s="381">
        <v>0</v>
      </c>
    </row>
    <row r="19" spans="1:23" x14ac:dyDescent="0.25">
      <c r="A19" s="354" t="s">
        <v>78</v>
      </c>
      <c r="B19" s="380">
        <v>0</v>
      </c>
      <c r="C19" s="315">
        <v>29256</v>
      </c>
      <c r="D19" s="315">
        <v>2444</v>
      </c>
      <c r="E19" s="315">
        <v>55913</v>
      </c>
      <c r="F19" s="315">
        <v>21418</v>
      </c>
      <c r="G19" s="315">
        <v>2873</v>
      </c>
      <c r="H19" s="315">
        <v>7138</v>
      </c>
      <c r="I19" s="315">
        <f>93653+29580</f>
        <v>123233</v>
      </c>
      <c r="J19" s="381">
        <f>273783+50688</f>
        <v>324471</v>
      </c>
      <c r="K19" s="315">
        <f>190000+214435</f>
        <v>404435</v>
      </c>
      <c r="L19" s="372">
        <f>189000+200000</f>
        <v>389000</v>
      </c>
      <c r="M19" s="381">
        <f>190000+100000</f>
        <v>290000</v>
      </c>
      <c r="O19" s="1"/>
    </row>
    <row r="20" spans="1:23" ht="16.5" thickBot="1" x14ac:dyDescent="0.3">
      <c r="A20" s="479"/>
      <c r="B20" s="382"/>
      <c r="C20" s="369"/>
      <c r="D20" s="369"/>
      <c r="E20" s="369"/>
      <c r="F20" s="369"/>
      <c r="G20" s="369"/>
      <c r="H20" s="369"/>
      <c r="I20" s="369"/>
      <c r="J20" s="383"/>
      <c r="K20" s="369"/>
      <c r="L20" s="373"/>
      <c r="M20" s="383">
        <v>0</v>
      </c>
      <c r="N20" s="488"/>
      <c r="O20" s="1"/>
    </row>
    <row r="21" spans="1:23" ht="17.25" thickTop="1" thickBot="1" x14ac:dyDescent="0.3">
      <c r="A21" s="896" t="s">
        <v>102</v>
      </c>
      <c r="B21" s="475">
        <f t="shared" ref="B21:L21" si="1">SUM(B16:B19)</f>
        <v>3150350</v>
      </c>
      <c r="C21" s="476">
        <f t="shared" si="1"/>
        <v>2960466</v>
      </c>
      <c r="D21" s="476">
        <f t="shared" si="1"/>
        <v>3191088</v>
      </c>
      <c r="E21" s="476">
        <f t="shared" si="1"/>
        <v>3181538</v>
      </c>
      <c r="F21" s="476">
        <f t="shared" si="1"/>
        <v>3537597</v>
      </c>
      <c r="G21" s="476">
        <f t="shared" si="1"/>
        <v>3467635</v>
      </c>
      <c r="H21" s="476">
        <f t="shared" si="1"/>
        <v>3858850</v>
      </c>
      <c r="I21" s="476">
        <f t="shared" si="1"/>
        <v>4095097</v>
      </c>
      <c r="J21" s="477">
        <f t="shared" si="1"/>
        <v>4990142</v>
      </c>
      <c r="K21" s="476">
        <f>SUM(K16:K19)</f>
        <v>6122737</v>
      </c>
      <c r="L21" s="478">
        <f t="shared" si="1"/>
        <v>5210194</v>
      </c>
      <c r="M21" s="433">
        <f>SUM(M16:M19)</f>
        <v>5706696</v>
      </c>
      <c r="N21" s="488"/>
      <c r="O21" s="1"/>
    </row>
    <row r="22" spans="1:23" ht="18.75" customHeight="1" x14ac:dyDescent="0.3">
      <c r="A22" s="138"/>
      <c r="B22" s="401"/>
      <c r="C22" s="120"/>
      <c r="D22" s="120"/>
      <c r="E22" s="120"/>
      <c r="F22" s="120"/>
      <c r="G22" s="120"/>
      <c r="H22" s="120"/>
      <c r="I22" s="120"/>
      <c r="J22" s="402"/>
      <c r="K22" s="120"/>
      <c r="L22" s="445"/>
      <c r="M22" s="120"/>
      <c r="N22" s="120"/>
      <c r="O22" s="1"/>
      <c r="W22" s="145"/>
    </row>
    <row r="23" spans="1:23" x14ac:dyDescent="0.25">
      <c r="B23" s="392"/>
      <c r="J23" s="393"/>
      <c r="L23" s="163"/>
      <c r="N23" s="120"/>
      <c r="O23" s="1"/>
    </row>
    <row r="24" spans="1:23" x14ac:dyDescent="0.25">
      <c r="A24" s="278"/>
      <c r="B24" s="525">
        <v>2009</v>
      </c>
      <c r="C24" s="46">
        <v>2010</v>
      </c>
      <c r="D24" s="46">
        <v>2011</v>
      </c>
      <c r="E24" s="46">
        <v>2012</v>
      </c>
      <c r="F24" s="46">
        <v>2013</v>
      </c>
      <c r="G24" s="46">
        <v>2014</v>
      </c>
      <c r="H24" s="46">
        <v>2015</v>
      </c>
      <c r="I24" s="46">
        <v>2016</v>
      </c>
      <c r="J24" s="526">
        <v>2017</v>
      </c>
      <c r="K24" s="46">
        <v>2018</v>
      </c>
      <c r="L24" s="443">
        <v>2019</v>
      </c>
      <c r="M24" s="146">
        <v>2018</v>
      </c>
      <c r="N24" s="120"/>
      <c r="O24" s="1"/>
    </row>
    <row r="25" spans="1:23" x14ac:dyDescent="0.25">
      <c r="A25" s="10" t="s">
        <v>152</v>
      </c>
      <c r="B25" s="610">
        <f t="shared" ref="B25:M25" si="2">+B16/B26</f>
        <v>49.877299642189925</v>
      </c>
      <c r="C25" s="611">
        <f t="shared" si="2"/>
        <v>43.270201647427001</v>
      </c>
      <c r="D25" s="611">
        <f t="shared" si="2"/>
        <v>46.372856706563311</v>
      </c>
      <c r="E25" s="611">
        <f t="shared" si="2"/>
        <v>45.076145426226908</v>
      </c>
      <c r="F25" s="611">
        <f t="shared" si="2"/>
        <v>49.967017194827342</v>
      </c>
      <c r="G25" s="611">
        <f t="shared" si="2"/>
        <v>48.780914300195697</v>
      </c>
      <c r="H25" s="611">
        <f t="shared" si="2"/>
        <v>52.461345682375374</v>
      </c>
      <c r="I25" s="611">
        <f t="shared" si="2"/>
        <v>53.396034146669358</v>
      </c>
      <c r="J25" s="612">
        <f t="shared" si="2"/>
        <v>61.519923523206749</v>
      </c>
      <c r="K25" s="611">
        <f t="shared" si="2"/>
        <v>74.011829877559478</v>
      </c>
      <c r="L25" s="613">
        <f t="shared" si="2"/>
        <v>61.043226133198282</v>
      </c>
      <c r="M25" s="608">
        <f t="shared" si="2"/>
        <v>70.108151484559031</v>
      </c>
      <c r="N25" s="488"/>
      <c r="O25" s="1"/>
    </row>
    <row r="26" spans="1:23" x14ac:dyDescent="0.25">
      <c r="A26" s="278" t="s">
        <v>340</v>
      </c>
      <c r="B26" s="515">
        <f>Stats!D4</f>
        <v>63162</v>
      </c>
      <c r="C26" s="125">
        <f>Stats!E4</f>
        <v>67742</v>
      </c>
      <c r="D26" s="125">
        <f>Stats!F4</f>
        <v>68761</v>
      </c>
      <c r="E26" s="125">
        <f>Stats!G4</f>
        <v>69341</v>
      </c>
      <c r="F26" s="125">
        <f>Stats!H4</f>
        <v>70370</v>
      </c>
      <c r="G26" s="125">
        <f>Stats!I4</f>
        <v>71027</v>
      </c>
      <c r="H26" s="125">
        <f>Stats!J4</f>
        <v>73420</v>
      </c>
      <c r="I26" s="125">
        <f>Stats!K4</f>
        <v>74385</v>
      </c>
      <c r="J26" s="483">
        <f>Stats!L4</f>
        <v>75840</v>
      </c>
      <c r="K26" s="125">
        <f>Stats!M4</f>
        <v>77262</v>
      </c>
      <c r="L26" s="486">
        <f>Stats!N4</f>
        <v>78980</v>
      </c>
      <c r="M26" s="404">
        <f>Stats!M4</f>
        <v>77262</v>
      </c>
      <c r="N26" s="488"/>
      <c r="O26" s="1"/>
    </row>
    <row r="27" spans="1:23" x14ac:dyDescent="0.25">
      <c r="A27" s="278"/>
      <c r="B27" s="392"/>
      <c r="C27" s="50"/>
      <c r="D27" s="50"/>
      <c r="E27" s="50"/>
      <c r="F27" s="50"/>
      <c r="G27" s="50"/>
      <c r="H27" s="50"/>
      <c r="I27" s="50"/>
      <c r="J27" s="393"/>
      <c r="K27" s="50"/>
      <c r="L27" s="163"/>
      <c r="M27" s="393"/>
      <c r="N27" s="488"/>
      <c r="O27" s="1"/>
    </row>
    <row r="28" spans="1:23" x14ac:dyDescent="0.25">
      <c r="A28" s="10" t="s">
        <v>130</v>
      </c>
      <c r="B28" s="614">
        <f t="shared" ref="B28:M28" si="3">+B16/B29</f>
        <v>128585.71428571429</v>
      </c>
      <c r="C28" s="615">
        <f t="shared" si="3"/>
        <v>167497.71428571429</v>
      </c>
      <c r="D28" s="615">
        <f t="shared" si="3"/>
        <v>155543.60975609755</v>
      </c>
      <c r="E28" s="615">
        <f t="shared" si="3"/>
        <v>152469.51219512196</v>
      </c>
      <c r="F28" s="615">
        <f t="shared" si="3"/>
        <v>171520.92682926828</v>
      </c>
      <c r="G28" s="615">
        <f t="shared" si="3"/>
        <v>169012.78048780488</v>
      </c>
      <c r="H28" s="615">
        <f t="shared" si="3"/>
        <v>171187.20000000001</v>
      </c>
      <c r="I28" s="615">
        <f t="shared" si="3"/>
        <v>176527.2888888889</v>
      </c>
      <c r="J28" s="616">
        <f t="shared" si="3"/>
        <v>207363.15555555557</v>
      </c>
      <c r="K28" s="615">
        <f t="shared" si="3"/>
        <v>248621.82608695651</v>
      </c>
      <c r="L28" s="617">
        <f t="shared" si="3"/>
        <v>209617.13043478262</v>
      </c>
      <c r="M28" s="609">
        <f t="shared" si="3"/>
        <v>235508.52173913043</v>
      </c>
      <c r="N28" s="488"/>
      <c r="O28" s="1"/>
    </row>
    <row r="29" spans="1:23" x14ac:dyDescent="0.25">
      <c r="A29" s="278" t="s">
        <v>341</v>
      </c>
      <c r="B29" s="515">
        <f>+B39</f>
        <v>24.5</v>
      </c>
      <c r="C29" s="125">
        <f t="shared" ref="C29:L29" si="4">+C39</f>
        <v>17.5</v>
      </c>
      <c r="D29" s="125">
        <f t="shared" si="4"/>
        <v>20.5</v>
      </c>
      <c r="E29" s="125">
        <f t="shared" si="4"/>
        <v>20.5</v>
      </c>
      <c r="F29" s="125">
        <f t="shared" si="4"/>
        <v>20.5</v>
      </c>
      <c r="G29" s="125">
        <f t="shared" si="4"/>
        <v>20.5</v>
      </c>
      <c r="H29" s="125">
        <f t="shared" si="4"/>
        <v>22.5</v>
      </c>
      <c r="I29" s="125">
        <f t="shared" si="4"/>
        <v>22.5</v>
      </c>
      <c r="J29" s="483">
        <f t="shared" si="4"/>
        <v>22.5</v>
      </c>
      <c r="K29" s="125">
        <f t="shared" ref="K29" si="5">+K39</f>
        <v>23</v>
      </c>
      <c r="L29" s="486">
        <f t="shared" si="4"/>
        <v>23</v>
      </c>
      <c r="M29" s="406">
        <f>+M39</f>
        <v>23</v>
      </c>
      <c r="N29" s="488"/>
      <c r="O29" s="1"/>
    </row>
    <row r="30" spans="1:23" s="278" customFormat="1" x14ac:dyDescent="0.25">
      <c r="A30" s="44"/>
      <c r="B30" s="394"/>
      <c r="C30" s="33"/>
      <c r="D30" s="33"/>
      <c r="E30" s="33"/>
      <c r="F30" s="33"/>
      <c r="G30" s="33"/>
      <c r="H30" s="33"/>
      <c r="I30" s="33"/>
      <c r="J30" s="396"/>
      <c r="K30" s="33"/>
      <c r="L30" s="454"/>
      <c r="M30" s="33"/>
      <c r="N30" s="120"/>
      <c r="O30" s="1"/>
    </row>
    <row r="31" spans="1:23" x14ac:dyDescent="0.25">
      <c r="A31" s="124"/>
      <c r="B31" s="408"/>
      <c r="C31" s="124"/>
      <c r="D31" s="124"/>
      <c r="E31" s="124"/>
      <c r="F31" s="124"/>
      <c r="G31" s="124"/>
      <c r="H31" s="124"/>
      <c r="I31" s="124"/>
      <c r="J31" s="410"/>
      <c r="K31" s="124"/>
      <c r="L31" s="449"/>
      <c r="M31" s="124"/>
      <c r="N31" s="120"/>
      <c r="O31" s="1"/>
    </row>
    <row r="32" spans="1:23" x14ac:dyDescent="0.25">
      <c r="A32" s="124"/>
      <c r="B32" s="408"/>
      <c r="C32" s="124"/>
      <c r="D32" s="124"/>
      <c r="E32" s="124"/>
      <c r="F32" s="124"/>
      <c r="G32" s="124"/>
      <c r="H32" s="124"/>
      <c r="I32" s="124"/>
      <c r="J32" s="410"/>
      <c r="K32" s="124"/>
      <c r="L32" s="449"/>
      <c r="M32" s="124"/>
      <c r="N32" s="120"/>
      <c r="O32" s="1"/>
    </row>
    <row r="33" spans="1:15" x14ac:dyDescent="0.25">
      <c r="A33" s="208"/>
      <c r="B33" s="416"/>
      <c r="C33" s="93"/>
      <c r="D33" s="93"/>
      <c r="E33" s="93"/>
      <c r="F33" s="93"/>
      <c r="G33" s="93"/>
      <c r="H33" s="93"/>
      <c r="I33" s="93"/>
      <c r="J33" s="417"/>
      <c r="K33" s="93"/>
      <c r="L33" s="109"/>
      <c r="M33" s="93"/>
      <c r="N33" s="120"/>
      <c r="O33" s="1"/>
    </row>
    <row r="34" spans="1:15" x14ac:dyDescent="0.25">
      <c r="A34" s="9" t="s">
        <v>60</v>
      </c>
      <c r="B34" s="480"/>
      <c r="C34" s="146"/>
      <c r="D34" s="146"/>
      <c r="E34" s="146"/>
      <c r="F34" s="146"/>
      <c r="G34" s="146"/>
      <c r="H34" s="146"/>
      <c r="I34" s="146"/>
      <c r="J34" s="482"/>
      <c r="K34" s="146"/>
      <c r="L34" s="485"/>
      <c r="M34" s="146"/>
      <c r="N34" s="120"/>
      <c r="O34" s="1"/>
    </row>
    <row r="35" spans="1:15" x14ac:dyDescent="0.25">
      <c r="A35" s="39" t="s">
        <v>19</v>
      </c>
      <c r="B35" s="791">
        <v>1</v>
      </c>
      <c r="C35" s="745">
        <v>1</v>
      </c>
      <c r="D35" s="745">
        <v>1</v>
      </c>
      <c r="E35" s="745">
        <v>1</v>
      </c>
      <c r="F35" s="745">
        <v>1</v>
      </c>
      <c r="G35" s="745">
        <v>1</v>
      </c>
      <c r="H35" s="745">
        <v>1</v>
      </c>
      <c r="I35" s="745">
        <v>1</v>
      </c>
      <c r="J35" s="746">
        <v>1</v>
      </c>
      <c r="K35" s="745">
        <v>1</v>
      </c>
      <c r="L35" s="794">
        <v>1</v>
      </c>
      <c r="M35" s="745">
        <v>1</v>
      </c>
      <c r="N35" s="1007"/>
      <c r="O35" s="1"/>
    </row>
    <row r="36" spans="1:15" x14ac:dyDescent="0.25">
      <c r="A36" s="39" t="s">
        <v>175</v>
      </c>
      <c r="B36" s="791">
        <v>11</v>
      </c>
      <c r="C36" s="745">
        <v>11</v>
      </c>
      <c r="D36" s="745">
        <v>10</v>
      </c>
      <c r="E36" s="745">
        <v>10</v>
      </c>
      <c r="F36" s="745">
        <v>10</v>
      </c>
      <c r="G36" s="745">
        <v>10</v>
      </c>
      <c r="H36" s="745">
        <v>12</v>
      </c>
      <c r="I36" s="745">
        <v>12</v>
      </c>
      <c r="J36" s="746">
        <v>12</v>
      </c>
      <c r="K36" s="745">
        <v>12</v>
      </c>
      <c r="L36" s="794">
        <v>12</v>
      </c>
      <c r="M36" s="745">
        <v>12</v>
      </c>
      <c r="N36" s="1007"/>
      <c r="O36" s="1"/>
    </row>
    <row r="37" spans="1:15" x14ac:dyDescent="0.25">
      <c r="A37" s="39" t="s">
        <v>176</v>
      </c>
      <c r="B37" s="791">
        <v>8</v>
      </c>
      <c r="C37" s="745">
        <v>1</v>
      </c>
      <c r="D37" s="745">
        <v>1</v>
      </c>
      <c r="E37" s="745">
        <v>1</v>
      </c>
      <c r="F37" s="745">
        <v>1</v>
      </c>
      <c r="G37" s="745">
        <v>1</v>
      </c>
      <c r="H37" s="745">
        <v>1</v>
      </c>
      <c r="I37" s="745">
        <v>1</v>
      </c>
      <c r="J37" s="746">
        <v>1</v>
      </c>
      <c r="K37" s="745">
        <v>1</v>
      </c>
      <c r="L37" s="794">
        <v>1</v>
      </c>
      <c r="M37" s="745">
        <v>1</v>
      </c>
      <c r="N37" s="1007"/>
      <c r="O37" s="1"/>
    </row>
    <row r="38" spans="1:15" ht="16.5" thickBot="1" x14ac:dyDescent="0.3">
      <c r="A38" s="39" t="s">
        <v>177</v>
      </c>
      <c r="B38" s="938">
        <v>4.5</v>
      </c>
      <c r="C38" s="799">
        <v>4.5</v>
      </c>
      <c r="D38" s="799">
        <v>8.5</v>
      </c>
      <c r="E38" s="799">
        <v>8.5</v>
      </c>
      <c r="F38" s="799">
        <v>8.5</v>
      </c>
      <c r="G38" s="799">
        <v>8.5</v>
      </c>
      <c r="H38" s="799">
        <v>8.5</v>
      </c>
      <c r="I38" s="799">
        <v>8.5</v>
      </c>
      <c r="J38" s="939">
        <v>8.5</v>
      </c>
      <c r="K38" s="799">
        <v>9</v>
      </c>
      <c r="L38" s="940">
        <v>9</v>
      </c>
      <c r="M38" s="799">
        <v>9</v>
      </c>
      <c r="N38" s="1007"/>
      <c r="O38" s="1"/>
    </row>
    <row r="39" spans="1:15" x14ac:dyDescent="0.25">
      <c r="A39" s="45" t="s">
        <v>335</v>
      </c>
      <c r="B39" s="793">
        <f t="shared" ref="B39:L39" si="6">SUM(B35:B38)</f>
        <v>24.5</v>
      </c>
      <c r="C39" s="305">
        <f t="shared" si="6"/>
        <v>17.5</v>
      </c>
      <c r="D39" s="305">
        <f t="shared" si="6"/>
        <v>20.5</v>
      </c>
      <c r="E39" s="305">
        <f t="shared" si="6"/>
        <v>20.5</v>
      </c>
      <c r="F39" s="305">
        <f t="shared" si="6"/>
        <v>20.5</v>
      </c>
      <c r="G39" s="305">
        <f t="shared" si="6"/>
        <v>20.5</v>
      </c>
      <c r="H39" s="305">
        <f t="shared" si="6"/>
        <v>22.5</v>
      </c>
      <c r="I39" s="305">
        <f t="shared" si="6"/>
        <v>22.5</v>
      </c>
      <c r="J39" s="839">
        <f t="shared" si="6"/>
        <v>22.5</v>
      </c>
      <c r="K39" s="305">
        <f t="shared" ref="K39" si="7">SUM(K35:K38)</f>
        <v>23</v>
      </c>
      <c r="L39" s="840">
        <f t="shared" si="6"/>
        <v>23</v>
      </c>
      <c r="M39" s="305">
        <f>SUM(M35:M38)</f>
        <v>23</v>
      </c>
      <c r="N39" s="946"/>
      <c r="O39" s="1"/>
    </row>
    <row r="40" spans="1:15" x14ac:dyDescent="0.25">
      <c r="A40" s="205"/>
      <c r="B40" s="416"/>
      <c r="C40" s="193"/>
      <c r="D40" s="193"/>
      <c r="E40" s="193"/>
      <c r="F40" s="193"/>
      <c r="G40" s="193"/>
      <c r="H40" s="193"/>
      <c r="I40" s="193"/>
      <c r="J40" s="501"/>
      <c r="K40" s="193"/>
      <c r="L40" s="465"/>
      <c r="M40" s="193"/>
      <c r="N40" s="120"/>
      <c r="O40" s="1"/>
    </row>
    <row r="41" spans="1:15" x14ac:dyDescent="0.25">
      <c r="A41" s="210"/>
      <c r="B41" s="416"/>
      <c r="C41" s="93"/>
      <c r="D41" s="93"/>
      <c r="E41" s="93"/>
      <c r="F41" s="93"/>
      <c r="G41" s="93"/>
      <c r="H41" s="93"/>
      <c r="I41" s="93"/>
      <c r="J41" s="417"/>
      <c r="K41" s="193"/>
      <c r="L41" s="465"/>
      <c r="M41" s="93"/>
      <c r="N41" s="120"/>
      <c r="O41" s="1"/>
    </row>
    <row r="42" spans="1:15" x14ac:dyDescent="0.25">
      <c r="A42" s="114"/>
      <c r="B42" s="416"/>
      <c r="C42" s="93"/>
      <c r="D42" s="93"/>
      <c r="E42" s="93"/>
      <c r="F42" s="93"/>
      <c r="G42" s="93"/>
      <c r="H42" s="93"/>
      <c r="I42" s="93"/>
      <c r="J42" s="417"/>
      <c r="K42" s="93"/>
      <c r="L42" s="109"/>
      <c r="M42" s="93"/>
      <c r="N42" s="120"/>
      <c r="O42" s="1"/>
    </row>
    <row r="43" spans="1:15" x14ac:dyDescent="0.25">
      <c r="A43" s="211"/>
      <c r="B43" s="411"/>
      <c r="C43" s="215"/>
      <c r="D43" s="215"/>
      <c r="E43" s="215"/>
      <c r="F43" s="215"/>
      <c r="G43" s="215"/>
      <c r="H43" s="215"/>
      <c r="I43" s="215"/>
      <c r="J43" s="412"/>
      <c r="K43" s="215"/>
      <c r="L43" s="450"/>
      <c r="M43" s="215"/>
      <c r="N43" s="120"/>
      <c r="O43" s="1"/>
    </row>
    <row r="44" spans="1:15" x14ac:dyDescent="0.25">
      <c r="A44" s="201"/>
      <c r="B44" s="416"/>
      <c r="C44" s="93"/>
      <c r="D44" s="93"/>
      <c r="E44" s="93"/>
      <c r="F44" s="93"/>
      <c r="G44" s="93"/>
      <c r="H44" s="93"/>
      <c r="I44" s="93"/>
      <c r="J44" s="417"/>
      <c r="K44" s="93"/>
      <c r="L44" s="109"/>
      <c r="M44" s="93"/>
      <c r="N44" s="120"/>
      <c r="O44" s="1"/>
    </row>
    <row r="45" spans="1:15" x14ac:dyDescent="0.25">
      <c r="A45" s="201"/>
      <c r="B45" s="416"/>
      <c r="C45" s="93"/>
      <c r="D45" s="93"/>
      <c r="E45" s="93"/>
      <c r="F45" s="93"/>
      <c r="G45" s="93"/>
      <c r="H45" s="93"/>
      <c r="I45" s="93"/>
      <c r="J45" s="417"/>
      <c r="K45" s="93"/>
      <c r="L45" s="109"/>
      <c r="M45" s="93"/>
      <c r="N45" s="120"/>
      <c r="O45" s="1"/>
    </row>
    <row r="46" spans="1:15" x14ac:dyDescent="0.25">
      <c r="A46" s="201"/>
      <c r="B46" s="416"/>
      <c r="C46" s="93"/>
      <c r="D46" s="93"/>
      <c r="E46" s="93"/>
      <c r="F46" s="93"/>
      <c r="G46" s="93"/>
      <c r="H46" s="93"/>
      <c r="I46" s="93"/>
      <c r="J46" s="417"/>
      <c r="K46" s="93"/>
      <c r="L46" s="109"/>
      <c r="M46" s="93"/>
      <c r="N46" s="120"/>
      <c r="O46" s="1"/>
    </row>
    <row r="47" spans="1:15" x14ac:dyDescent="0.25">
      <c r="A47" s="203"/>
      <c r="B47" s="416"/>
      <c r="C47" s="93"/>
      <c r="D47" s="93"/>
      <c r="E47" s="93"/>
      <c r="F47" s="93"/>
      <c r="G47" s="93"/>
      <c r="H47" s="93"/>
      <c r="I47" s="93"/>
      <c r="J47" s="417"/>
      <c r="K47" s="93"/>
      <c r="L47" s="109"/>
      <c r="M47" s="93"/>
      <c r="N47" s="120"/>
      <c r="O47" s="1"/>
    </row>
    <row r="48" spans="1:15" x14ac:dyDescent="0.25">
      <c r="A48" s="114"/>
      <c r="B48" s="416"/>
      <c r="C48" s="93"/>
      <c r="D48" s="93"/>
      <c r="E48" s="93"/>
      <c r="F48" s="93"/>
      <c r="G48" s="93"/>
      <c r="H48" s="93"/>
      <c r="I48" s="93"/>
      <c r="J48" s="417"/>
      <c r="K48" s="93"/>
      <c r="L48" s="109"/>
      <c r="M48" s="93"/>
      <c r="N48" s="120"/>
      <c r="O48" s="1"/>
    </row>
    <row r="49" spans="1:15" x14ac:dyDescent="0.25">
      <c r="A49" s="114"/>
      <c r="B49" s="418"/>
      <c r="C49" s="114"/>
      <c r="D49" s="114"/>
      <c r="E49" s="114"/>
      <c r="F49" s="114"/>
      <c r="G49" s="114"/>
      <c r="H49" s="114"/>
      <c r="I49" s="114"/>
      <c r="J49" s="419"/>
      <c r="K49" s="114"/>
      <c r="L49" s="455"/>
      <c r="M49" s="114"/>
      <c r="N49" s="120"/>
      <c r="O49" s="1"/>
    </row>
    <row r="50" spans="1:15" x14ac:dyDescent="0.25">
      <c r="A50" s="198"/>
      <c r="B50" s="380"/>
      <c r="C50" s="105"/>
      <c r="D50" s="105"/>
      <c r="E50" s="105"/>
      <c r="F50" s="105"/>
      <c r="G50" s="105"/>
      <c r="H50" s="105"/>
      <c r="I50" s="105"/>
      <c r="J50" s="381"/>
      <c r="K50" s="105"/>
      <c r="L50" s="372"/>
      <c r="M50" s="105"/>
      <c r="N50" s="120"/>
      <c r="O50" s="1"/>
    </row>
    <row r="51" spans="1:15" x14ac:dyDescent="0.25">
      <c r="A51" s="198"/>
      <c r="B51" s="407"/>
      <c r="C51" s="116"/>
      <c r="D51" s="116"/>
      <c r="E51" s="116"/>
      <c r="F51" s="116"/>
      <c r="G51" s="116"/>
      <c r="H51" s="116"/>
      <c r="I51" s="116"/>
      <c r="J51" s="400"/>
      <c r="K51" s="116"/>
      <c r="L51" s="444"/>
      <c r="M51" s="116"/>
      <c r="N51" s="120"/>
      <c r="O51" s="1"/>
    </row>
    <row r="52" spans="1:15" x14ac:dyDescent="0.25">
      <c r="A52" s="213"/>
      <c r="B52" s="589"/>
      <c r="C52" s="104"/>
      <c r="D52" s="104"/>
      <c r="E52" s="104"/>
      <c r="F52" s="104"/>
      <c r="G52" s="104"/>
      <c r="H52" s="104"/>
      <c r="I52" s="104"/>
      <c r="J52" s="595"/>
      <c r="K52" s="104"/>
      <c r="L52" s="601"/>
      <c r="M52" s="104"/>
      <c r="N52" s="120"/>
      <c r="O52" s="1"/>
    </row>
    <row r="53" spans="1:15" x14ac:dyDescent="0.25">
      <c r="A53" s="213"/>
      <c r="B53" s="589"/>
      <c r="C53" s="104"/>
      <c r="D53" s="104"/>
      <c r="E53" s="104"/>
      <c r="F53" s="104"/>
      <c r="G53" s="104"/>
      <c r="H53" s="104"/>
      <c r="I53" s="104"/>
      <c r="J53" s="595"/>
      <c r="K53" s="104"/>
      <c r="L53" s="601"/>
      <c r="M53" s="104"/>
      <c r="N53" s="120"/>
      <c r="O53" s="1"/>
    </row>
    <row r="54" spans="1:15" x14ac:dyDescent="0.25">
      <c r="A54" s="114"/>
      <c r="B54" s="411"/>
      <c r="C54" s="215"/>
      <c r="D54" s="215"/>
      <c r="E54" s="215"/>
      <c r="F54" s="215"/>
      <c r="G54" s="215"/>
      <c r="H54" s="215"/>
      <c r="I54" s="215"/>
      <c r="J54" s="412"/>
      <c r="K54" s="215"/>
      <c r="L54" s="450"/>
      <c r="M54" s="215"/>
      <c r="N54" s="120"/>
      <c r="O54" s="1"/>
    </row>
    <row r="55" spans="1:15" x14ac:dyDescent="0.25">
      <c r="A55" s="198"/>
      <c r="B55" s="416"/>
      <c r="C55" s="93"/>
      <c r="D55" s="93"/>
      <c r="E55" s="93"/>
      <c r="F55" s="93"/>
      <c r="G55" s="93"/>
      <c r="H55" s="93"/>
      <c r="I55" s="93"/>
      <c r="J55" s="417"/>
      <c r="K55" s="93"/>
      <c r="L55" s="109"/>
      <c r="M55" s="93"/>
      <c r="N55" s="120"/>
      <c r="O55" s="1"/>
    </row>
    <row r="56" spans="1:15" x14ac:dyDescent="0.25">
      <c r="A56" s="198"/>
      <c r="B56" s="416"/>
      <c r="C56" s="93"/>
      <c r="D56" s="93"/>
      <c r="E56" s="93"/>
      <c r="F56" s="93"/>
      <c r="G56" s="93"/>
      <c r="H56" s="93"/>
      <c r="I56" s="93"/>
      <c r="J56" s="417"/>
      <c r="K56" s="93"/>
      <c r="L56" s="109"/>
      <c r="M56" s="93"/>
      <c r="N56" s="120"/>
      <c r="O56" s="1"/>
    </row>
    <row r="57" spans="1:15" x14ac:dyDescent="0.25">
      <c r="A57" s="114"/>
      <c r="B57" s="416"/>
      <c r="C57" s="93"/>
      <c r="D57" s="93"/>
      <c r="E57" s="93"/>
      <c r="F57" s="93"/>
      <c r="G57" s="93"/>
      <c r="H57" s="93"/>
      <c r="I57" s="93"/>
      <c r="J57" s="417"/>
      <c r="K57" s="93"/>
      <c r="L57" s="109"/>
      <c r="M57" s="93"/>
      <c r="N57" s="120"/>
      <c r="O57" s="1"/>
    </row>
    <row r="58" spans="1:15" x14ac:dyDescent="0.25">
      <c r="A58" s="114"/>
      <c r="B58" s="416"/>
      <c r="C58" s="93"/>
      <c r="D58" s="93"/>
      <c r="E58" s="93"/>
      <c r="F58" s="93"/>
      <c r="G58" s="93"/>
      <c r="H58" s="93"/>
      <c r="I58" s="93"/>
      <c r="J58" s="417"/>
      <c r="K58" s="93"/>
      <c r="L58" s="109"/>
      <c r="M58" s="93"/>
      <c r="N58" s="120"/>
      <c r="O58" s="1"/>
    </row>
    <row r="59" spans="1:15" x14ac:dyDescent="0.25">
      <c r="A59" s="114"/>
      <c r="B59" s="418"/>
      <c r="C59" s="114"/>
      <c r="D59" s="114"/>
      <c r="E59" s="114"/>
      <c r="F59" s="114"/>
      <c r="G59" s="114"/>
      <c r="H59" s="114"/>
      <c r="I59" s="114"/>
      <c r="J59" s="419"/>
      <c r="K59" s="114"/>
      <c r="L59" s="455"/>
      <c r="M59" s="114"/>
      <c r="N59" s="120"/>
      <c r="O59" s="1"/>
    </row>
    <row r="60" spans="1:15" x14ac:dyDescent="0.25">
      <c r="A60" s="199"/>
      <c r="B60" s="418"/>
      <c r="C60" s="114"/>
      <c r="D60" s="114"/>
      <c r="E60" s="114"/>
      <c r="F60" s="114"/>
      <c r="G60" s="114"/>
      <c r="H60" s="114"/>
      <c r="I60" s="114"/>
      <c r="J60" s="419"/>
      <c r="K60" s="114"/>
      <c r="L60" s="455"/>
      <c r="M60" s="114"/>
      <c r="N60" s="120"/>
      <c r="O60" s="1"/>
    </row>
    <row r="61" spans="1:15" x14ac:dyDescent="0.25">
      <c r="A61" s="199"/>
      <c r="B61" s="416"/>
      <c r="C61" s="93"/>
      <c r="D61" s="93"/>
      <c r="E61" s="93"/>
      <c r="F61" s="93"/>
      <c r="G61" s="93"/>
      <c r="H61" s="93"/>
      <c r="I61" s="93"/>
      <c r="J61" s="417"/>
      <c r="K61" s="93"/>
      <c r="L61" s="109"/>
      <c r="M61" s="93"/>
    </row>
    <row r="62" spans="1:15" x14ac:dyDescent="0.25">
      <c r="A62" s="199"/>
      <c r="B62" s="411"/>
      <c r="C62" s="215"/>
      <c r="D62" s="215"/>
      <c r="E62" s="215"/>
      <c r="F62" s="215"/>
      <c r="G62" s="215"/>
      <c r="H62" s="215"/>
      <c r="I62" s="215"/>
      <c r="J62" s="412"/>
      <c r="K62" s="215"/>
      <c r="L62" s="450"/>
      <c r="M62" s="215"/>
      <c r="N62" s="120"/>
      <c r="O62" s="1"/>
    </row>
    <row r="63" spans="1:15" x14ac:dyDescent="0.25">
      <c r="A63" s="201"/>
      <c r="B63" s="577"/>
      <c r="C63" s="202"/>
      <c r="D63" s="202"/>
      <c r="E63" s="202"/>
      <c r="F63" s="202"/>
      <c r="G63" s="202"/>
      <c r="H63" s="202"/>
      <c r="I63" s="202"/>
      <c r="J63" s="460"/>
      <c r="K63" s="202"/>
      <c r="L63" s="469"/>
      <c r="M63" s="202"/>
      <c r="N63" s="120"/>
      <c r="O63" s="1"/>
    </row>
    <row r="64" spans="1:15" x14ac:dyDescent="0.25">
      <c r="A64" s="201"/>
      <c r="B64" s="577"/>
      <c r="C64" s="202"/>
      <c r="D64" s="202"/>
      <c r="E64" s="202"/>
      <c r="F64" s="202"/>
      <c r="G64" s="202"/>
      <c r="H64" s="202"/>
      <c r="I64" s="202"/>
      <c r="J64" s="460"/>
      <c r="K64" s="202"/>
      <c r="L64" s="469"/>
      <c r="M64" s="202"/>
      <c r="N64" s="120"/>
      <c r="O64" s="1"/>
    </row>
    <row r="65" spans="1:15" x14ac:dyDescent="0.25">
      <c r="A65" s="201"/>
      <c r="B65" s="577"/>
      <c r="C65" s="202"/>
      <c r="D65" s="202"/>
      <c r="E65" s="202"/>
      <c r="F65" s="202"/>
      <c r="G65" s="202"/>
      <c r="H65" s="202"/>
      <c r="I65" s="202"/>
      <c r="J65" s="460"/>
      <c r="K65" s="202"/>
      <c r="L65" s="469"/>
      <c r="M65" s="202"/>
      <c r="N65" s="120"/>
      <c r="O65" s="1"/>
    </row>
    <row r="66" spans="1:15" x14ac:dyDescent="0.25">
      <c r="A66" s="201"/>
      <c r="B66" s="577"/>
      <c r="C66" s="202"/>
      <c r="D66" s="202"/>
      <c r="E66" s="202"/>
      <c r="F66" s="202"/>
      <c r="G66" s="202"/>
      <c r="H66" s="202"/>
      <c r="I66" s="202"/>
      <c r="J66" s="460"/>
      <c r="K66" s="202"/>
      <c r="L66" s="469"/>
      <c r="M66" s="202"/>
      <c r="N66" s="120"/>
      <c r="O66" s="1"/>
    </row>
    <row r="67" spans="1:15" x14ac:dyDescent="0.25">
      <c r="A67" s="114"/>
      <c r="B67" s="418"/>
      <c r="C67" s="114"/>
      <c r="D67" s="114"/>
      <c r="E67" s="114"/>
      <c r="F67" s="114"/>
      <c r="G67" s="114"/>
      <c r="H67" s="114"/>
      <c r="I67" s="114"/>
      <c r="J67" s="419"/>
      <c r="K67" s="114"/>
      <c r="L67" s="455"/>
      <c r="M67" s="114"/>
      <c r="N67" s="120"/>
      <c r="O67" s="1"/>
    </row>
    <row r="68" spans="1:15" s="17" customFormat="1" x14ac:dyDescent="0.25">
      <c r="A68" s="205"/>
      <c r="B68" s="576"/>
      <c r="C68" s="140"/>
      <c r="D68" s="140"/>
      <c r="E68" s="140"/>
      <c r="F68" s="140"/>
      <c r="G68" s="140"/>
      <c r="H68" s="140"/>
      <c r="I68" s="140"/>
      <c r="J68" s="461"/>
      <c r="K68" s="140"/>
      <c r="L68" s="470"/>
      <c r="M68" s="140"/>
      <c r="N68" s="128"/>
      <c r="O68" s="32"/>
    </row>
    <row r="69" spans="1:15" x14ac:dyDescent="0.25">
      <c r="A69" s="141"/>
      <c r="B69" s="576"/>
      <c r="C69" s="140"/>
      <c r="D69" s="140"/>
      <c r="E69" s="140"/>
      <c r="F69" s="140"/>
      <c r="G69" s="140"/>
      <c r="H69" s="140"/>
      <c r="I69" s="140"/>
      <c r="J69" s="461"/>
      <c r="K69" s="140"/>
      <c r="L69" s="470"/>
      <c r="M69" s="140"/>
      <c r="N69" s="120"/>
      <c r="O69" s="1"/>
    </row>
    <row r="70" spans="1:15" x14ac:dyDescent="0.25">
      <c r="A70" s="114"/>
      <c r="B70" s="416"/>
      <c r="C70" s="93"/>
      <c r="D70" s="93"/>
      <c r="E70" s="93"/>
      <c r="F70" s="93"/>
      <c r="G70" s="93"/>
      <c r="H70" s="93"/>
      <c r="I70" s="93"/>
      <c r="J70" s="417"/>
      <c r="K70" s="93"/>
      <c r="L70" s="109"/>
      <c r="M70" s="93"/>
      <c r="N70" s="120"/>
      <c r="O70" s="1"/>
    </row>
    <row r="71" spans="1:15" ht="18.75" x14ac:dyDescent="0.3">
      <c r="A71" s="206"/>
      <c r="B71" s="411"/>
      <c r="C71" s="215"/>
      <c r="D71" s="215"/>
      <c r="E71" s="215"/>
      <c r="F71" s="215"/>
      <c r="G71" s="215"/>
      <c r="H71" s="215"/>
      <c r="I71" s="215"/>
      <c r="J71" s="412"/>
      <c r="K71" s="215"/>
      <c r="L71" s="450"/>
      <c r="M71" s="215"/>
      <c r="N71" s="120"/>
      <c r="O71" s="1"/>
    </row>
    <row r="72" spans="1:15" x14ac:dyDescent="0.25">
      <c r="A72" s="116"/>
      <c r="B72" s="639"/>
      <c r="C72" s="207"/>
      <c r="D72" s="207"/>
      <c r="E72" s="207"/>
      <c r="F72" s="207"/>
      <c r="G72" s="207"/>
      <c r="H72" s="207"/>
      <c r="I72" s="207"/>
      <c r="J72" s="462"/>
      <c r="K72" s="207"/>
      <c r="L72" s="471"/>
      <c r="M72" s="207"/>
      <c r="N72" s="120"/>
      <c r="O72" s="1"/>
    </row>
    <row r="73" spans="1:15" x14ac:dyDescent="0.25">
      <c r="A73" s="114"/>
      <c r="B73" s="416"/>
      <c r="C73" s="93"/>
      <c r="D73" s="93"/>
      <c r="E73" s="93"/>
      <c r="F73" s="93"/>
      <c r="G73" s="93"/>
      <c r="H73" s="93"/>
      <c r="I73" s="93"/>
      <c r="J73" s="417"/>
      <c r="K73" s="93"/>
      <c r="L73" s="109"/>
      <c r="M73" s="93"/>
      <c r="N73" s="120"/>
      <c r="O73" s="1"/>
    </row>
    <row r="74" spans="1:15" x14ac:dyDescent="0.25">
      <c r="A74" s="114"/>
      <c r="B74" s="416"/>
      <c r="C74" s="93"/>
      <c r="D74" s="93"/>
      <c r="E74" s="93"/>
      <c r="F74" s="93"/>
      <c r="G74" s="93"/>
      <c r="H74" s="93"/>
      <c r="I74" s="93"/>
      <c r="J74" s="417"/>
      <c r="K74" s="93"/>
      <c r="L74" s="109"/>
      <c r="M74" s="93"/>
      <c r="N74" s="120"/>
      <c r="O74" s="1"/>
    </row>
    <row r="75" spans="1:15" x14ac:dyDescent="0.25">
      <c r="A75" s="201"/>
      <c r="B75" s="416"/>
      <c r="C75" s="93"/>
      <c r="D75" s="93"/>
      <c r="E75" s="93"/>
      <c r="F75" s="93"/>
      <c r="G75" s="93"/>
      <c r="H75" s="93"/>
      <c r="I75" s="93"/>
      <c r="J75" s="417"/>
      <c r="K75" s="93"/>
      <c r="L75" s="109"/>
      <c r="M75" s="93"/>
      <c r="N75" s="120"/>
      <c r="O75" s="1"/>
    </row>
    <row r="76" spans="1:15" x14ac:dyDescent="0.25">
      <c r="A76" s="201"/>
      <c r="B76" s="416"/>
      <c r="C76" s="93"/>
      <c r="D76" s="93"/>
      <c r="E76" s="93"/>
      <c r="F76" s="93"/>
      <c r="G76" s="93"/>
      <c r="H76" s="93"/>
      <c r="I76" s="93"/>
      <c r="J76" s="417"/>
      <c r="K76" s="93"/>
      <c r="L76" s="109"/>
      <c r="M76" s="93"/>
      <c r="N76" s="120"/>
      <c r="O76" s="1"/>
    </row>
    <row r="77" spans="1:15" x14ac:dyDescent="0.25">
      <c r="A77" s="201"/>
      <c r="B77" s="416"/>
      <c r="C77" s="93"/>
      <c r="D77" s="93"/>
      <c r="E77" s="93"/>
      <c r="F77" s="93"/>
      <c r="G77" s="93"/>
      <c r="H77" s="93"/>
      <c r="I77" s="93"/>
      <c r="J77" s="417"/>
      <c r="K77" s="93"/>
      <c r="L77" s="109"/>
      <c r="M77" s="93"/>
      <c r="N77" s="120"/>
      <c r="O77" s="1"/>
    </row>
    <row r="78" spans="1:15" x14ac:dyDescent="0.25">
      <c r="A78" s="201"/>
      <c r="B78" s="416"/>
      <c r="C78" s="93"/>
      <c r="D78" s="93"/>
      <c r="E78" s="93"/>
      <c r="F78" s="93"/>
      <c r="G78" s="93"/>
      <c r="H78" s="93"/>
      <c r="I78" s="93"/>
      <c r="J78" s="417"/>
      <c r="K78" s="93"/>
      <c r="L78" s="109"/>
      <c r="M78" s="93"/>
      <c r="N78" s="120"/>
      <c r="O78" s="1"/>
    </row>
    <row r="79" spans="1:15" x14ac:dyDescent="0.25">
      <c r="A79" s="199"/>
      <c r="B79" s="416"/>
      <c r="C79" s="93"/>
      <c r="D79" s="93"/>
      <c r="E79" s="93"/>
      <c r="F79" s="93"/>
      <c r="G79" s="93"/>
      <c r="H79" s="93"/>
      <c r="I79" s="93"/>
      <c r="J79" s="417"/>
      <c r="K79" s="93"/>
      <c r="L79" s="109"/>
      <c r="M79" s="93"/>
      <c r="N79" s="120"/>
      <c r="O79" s="1"/>
    </row>
    <row r="80" spans="1:15" x14ac:dyDescent="0.25">
      <c r="A80" s="114"/>
      <c r="B80" s="416"/>
      <c r="C80" s="93"/>
      <c r="D80" s="93"/>
      <c r="E80" s="93"/>
      <c r="F80" s="93"/>
      <c r="G80" s="93"/>
      <c r="H80" s="93"/>
      <c r="I80" s="93"/>
      <c r="J80" s="417"/>
      <c r="K80" s="93"/>
      <c r="L80" s="109"/>
      <c r="M80" s="93"/>
      <c r="N80" s="120"/>
      <c r="O80" s="1"/>
    </row>
    <row r="81" spans="1:15" x14ac:dyDescent="0.25">
      <c r="A81" s="114"/>
      <c r="B81" s="215"/>
      <c r="C81" s="215"/>
      <c r="D81" s="215"/>
      <c r="E81" s="215"/>
      <c r="F81" s="215"/>
      <c r="G81" s="215"/>
      <c r="H81" s="215"/>
      <c r="I81" s="215"/>
      <c r="J81" s="412"/>
      <c r="K81" s="215"/>
      <c r="L81" s="450"/>
      <c r="M81" s="215"/>
      <c r="N81" s="120"/>
      <c r="O81" s="1"/>
    </row>
    <row r="82" spans="1:15" x14ac:dyDescent="0.25">
      <c r="A82" s="114"/>
      <c r="B82" s="112"/>
      <c r="C82" s="112"/>
      <c r="D82" s="112"/>
      <c r="E82" s="112"/>
      <c r="F82" s="112"/>
      <c r="G82" s="112"/>
      <c r="H82" s="112"/>
      <c r="I82" s="112"/>
      <c r="J82" s="112"/>
      <c r="K82" s="112"/>
      <c r="L82" s="112"/>
      <c r="M82" s="112"/>
      <c r="N82" s="26"/>
      <c r="O82" s="1"/>
    </row>
    <row r="83" spans="1:15" x14ac:dyDescent="0.25">
      <c r="A83" s="114"/>
      <c r="B83" s="93"/>
      <c r="C83" s="93"/>
      <c r="D83" s="93"/>
      <c r="E83" s="93"/>
      <c r="F83" s="93"/>
      <c r="G83" s="93"/>
      <c r="H83" s="93"/>
      <c r="I83" s="93"/>
      <c r="J83" s="93"/>
      <c r="K83" s="93"/>
      <c r="L83" s="93"/>
      <c r="M83" s="93"/>
      <c r="N83" s="26"/>
      <c r="O83" s="1"/>
    </row>
    <row r="84" spans="1:15" x14ac:dyDescent="0.25">
      <c r="A84" s="114"/>
      <c r="B84" s="93"/>
      <c r="C84" s="93"/>
      <c r="D84" s="93"/>
      <c r="E84" s="93"/>
      <c r="F84" s="93"/>
      <c r="G84" s="93"/>
      <c r="H84" s="93"/>
      <c r="I84" s="93"/>
      <c r="J84" s="93"/>
      <c r="K84" s="93"/>
      <c r="L84" s="93"/>
      <c r="M84" s="93"/>
      <c r="N84" s="26"/>
      <c r="O84" s="1"/>
    </row>
    <row r="85" spans="1:15" x14ac:dyDescent="0.25">
      <c r="A85" s="114"/>
      <c r="B85" s="93"/>
      <c r="C85" s="93"/>
      <c r="D85" s="93"/>
      <c r="E85" s="93"/>
      <c r="F85" s="93"/>
      <c r="G85" s="93"/>
      <c r="H85" s="93"/>
      <c r="I85" s="93"/>
      <c r="J85" s="93"/>
      <c r="K85" s="93"/>
      <c r="L85" s="93"/>
      <c r="M85" s="93"/>
      <c r="N85" s="26"/>
      <c r="O85" s="1"/>
    </row>
    <row r="86" spans="1:15" x14ac:dyDescent="0.25">
      <c r="A86" s="114"/>
      <c r="B86" s="93"/>
      <c r="C86" s="93"/>
      <c r="D86" s="93"/>
      <c r="E86" s="93"/>
      <c r="F86" s="93"/>
      <c r="G86" s="93"/>
      <c r="H86" s="93"/>
      <c r="I86" s="93"/>
      <c r="J86" s="93"/>
      <c r="K86" s="93"/>
      <c r="L86" s="93"/>
      <c r="M86" s="93"/>
      <c r="N86" s="26"/>
      <c r="O86" s="1"/>
    </row>
    <row r="87" spans="1:15" x14ac:dyDescent="0.25">
      <c r="A87" s="114"/>
      <c r="B87" s="93"/>
      <c r="C87" s="93"/>
      <c r="D87" s="93"/>
      <c r="E87" s="93"/>
      <c r="F87" s="93"/>
      <c r="G87" s="93"/>
      <c r="H87" s="93"/>
      <c r="I87" s="93"/>
      <c r="J87" s="93"/>
      <c r="K87" s="93"/>
      <c r="L87" s="93"/>
      <c r="M87" s="93"/>
      <c r="N87" s="26"/>
      <c r="O87" s="1"/>
    </row>
    <row r="88" spans="1:15" x14ac:dyDescent="0.25">
      <c r="A88" s="114"/>
      <c r="B88" s="93"/>
      <c r="C88" s="93"/>
      <c r="D88" s="93"/>
      <c r="E88" s="93"/>
      <c r="F88" s="93"/>
      <c r="G88" s="93"/>
      <c r="H88" s="93"/>
      <c r="I88" s="93"/>
      <c r="J88" s="93"/>
      <c r="K88" s="93"/>
      <c r="L88" s="93"/>
      <c r="M88" s="93"/>
      <c r="N88" s="26"/>
      <c r="O88" s="1"/>
    </row>
    <row r="89" spans="1:15" x14ac:dyDescent="0.25">
      <c r="A89" s="114"/>
      <c r="B89" s="93"/>
      <c r="C89" s="93"/>
      <c r="D89" s="93"/>
      <c r="E89" s="93"/>
      <c r="F89" s="93"/>
      <c r="G89" s="93"/>
      <c r="H89" s="93"/>
      <c r="I89" s="93"/>
      <c r="J89" s="93"/>
      <c r="K89" s="93"/>
      <c r="L89" s="93"/>
      <c r="M89" s="93"/>
      <c r="N89" s="26"/>
      <c r="O89" s="1"/>
    </row>
    <row r="90" spans="1:15" x14ac:dyDescent="0.25">
      <c r="A90" s="114"/>
      <c r="B90" s="114"/>
      <c r="C90" s="114"/>
      <c r="D90" s="114"/>
      <c r="E90" s="114"/>
      <c r="F90" s="114"/>
      <c r="G90" s="114"/>
      <c r="H90" s="114"/>
      <c r="I90" s="114"/>
      <c r="J90" s="114"/>
      <c r="K90" s="114"/>
      <c r="L90" s="114"/>
      <c r="M90" s="114"/>
      <c r="N90" s="26"/>
      <c r="O90" s="1"/>
    </row>
    <row r="91" spans="1:15" x14ac:dyDescent="0.25">
      <c r="A91" s="114"/>
      <c r="B91" s="114"/>
      <c r="C91" s="114"/>
      <c r="D91" s="114"/>
      <c r="E91" s="114"/>
      <c r="F91" s="114"/>
      <c r="G91" s="114"/>
      <c r="H91" s="114"/>
      <c r="I91" s="114"/>
      <c r="J91" s="114"/>
      <c r="K91" s="114"/>
      <c r="L91" s="114"/>
      <c r="M91" s="114"/>
      <c r="N91" s="26"/>
      <c r="O91" s="1"/>
    </row>
    <row r="92" spans="1:15" x14ac:dyDescent="0.25">
      <c r="A92" s="114"/>
      <c r="B92" s="114"/>
      <c r="C92" s="114"/>
      <c r="D92" s="114"/>
      <c r="E92" s="114"/>
      <c r="F92" s="114"/>
      <c r="G92" s="114"/>
      <c r="H92" s="114"/>
      <c r="I92" s="114"/>
      <c r="J92" s="114"/>
      <c r="K92" s="114"/>
      <c r="L92" s="114"/>
      <c r="M92" s="114"/>
      <c r="N92" s="26"/>
      <c r="O92" s="1"/>
    </row>
    <row r="93" spans="1:15" x14ac:dyDescent="0.25">
      <c r="A93" s="114"/>
      <c r="B93" s="114"/>
      <c r="C93" s="114"/>
      <c r="D93" s="114"/>
      <c r="E93" s="114"/>
      <c r="F93" s="114"/>
      <c r="G93" s="114"/>
      <c r="H93" s="114"/>
      <c r="I93" s="114"/>
      <c r="J93" s="114"/>
      <c r="K93" s="114"/>
      <c r="L93" s="114"/>
      <c r="M93" s="114"/>
      <c r="N93" s="26"/>
      <c r="O93" s="1"/>
    </row>
    <row r="94" spans="1:15" x14ac:dyDescent="0.25">
      <c r="A94" s="114"/>
      <c r="B94" s="114"/>
      <c r="C94" s="114"/>
      <c r="D94" s="114"/>
      <c r="E94" s="114"/>
      <c r="F94" s="114"/>
      <c r="G94" s="114"/>
      <c r="H94" s="114"/>
      <c r="I94" s="114"/>
      <c r="J94" s="114"/>
      <c r="K94" s="114"/>
      <c r="L94" s="114"/>
      <c r="M94" s="114"/>
      <c r="N94" s="26"/>
      <c r="O94" s="1"/>
    </row>
    <row r="95" spans="1:15" x14ac:dyDescent="0.25">
      <c r="A95" s="114"/>
      <c r="B95" s="114"/>
      <c r="C95" s="114"/>
      <c r="D95" s="114"/>
      <c r="E95" s="114"/>
      <c r="F95" s="114"/>
      <c r="G95" s="114"/>
      <c r="H95" s="114"/>
      <c r="I95" s="114"/>
      <c r="J95" s="114"/>
      <c r="K95" s="114"/>
      <c r="L95" s="114"/>
      <c r="M95" s="114"/>
      <c r="N95" s="26"/>
      <c r="O95" s="1"/>
    </row>
    <row r="96" spans="1:15" x14ac:dyDescent="0.25">
      <c r="A96" s="114"/>
      <c r="B96" s="114"/>
      <c r="C96" s="114"/>
      <c r="D96" s="114"/>
      <c r="E96" s="114"/>
      <c r="F96" s="114"/>
      <c r="G96" s="114"/>
      <c r="H96" s="114"/>
      <c r="I96" s="114"/>
      <c r="J96" s="114"/>
      <c r="K96" s="114"/>
      <c r="L96" s="114"/>
      <c r="M96" s="114"/>
      <c r="N96" s="26"/>
      <c r="O96" s="1"/>
    </row>
    <row r="97" spans="1:15" x14ac:dyDescent="0.25">
      <c r="A97" s="114"/>
      <c r="B97" s="93"/>
      <c r="C97" s="93"/>
      <c r="D97" s="93"/>
      <c r="E97" s="93"/>
      <c r="F97" s="93"/>
      <c r="G97" s="93"/>
      <c r="H97" s="93"/>
      <c r="I97" s="93"/>
      <c r="J97" s="93"/>
      <c r="K97" s="93"/>
      <c r="L97" s="93"/>
      <c r="M97" s="93"/>
      <c r="N97" s="26"/>
      <c r="O97" s="1"/>
    </row>
    <row r="98" spans="1:15" x14ac:dyDescent="0.25">
      <c r="A98" s="114"/>
      <c r="B98" s="93"/>
      <c r="C98" s="93"/>
      <c r="D98" s="93"/>
      <c r="E98" s="93"/>
      <c r="F98" s="93"/>
      <c r="G98" s="93"/>
      <c r="H98" s="93"/>
      <c r="I98" s="93"/>
      <c r="J98" s="93"/>
      <c r="K98" s="93"/>
      <c r="L98" s="93"/>
      <c r="M98" s="93"/>
      <c r="N98" s="26"/>
      <c r="O98" s="1"/>
    </row>
    <row r="99" spans="1:15" x14ac:dyDescent="0.25">
      <c r="A99" s="114"/>
      <c r="B99" s="93"/>
      <c r="C99" s="93"/>
      <c r="D99" s="93"/>
      <c r="E99" s="93"/>
      <c r="F99" s="93"/>
      <c r="G99" s="93"/>
      <c r="H99" s="93"/>
      <c r="I99" s="93"/>
      <c r="J99" s="93"/>
      <c r="K99" s="93"/>
      <c r="L99" s="93"/>
      <c r="M99" s="93"/>
      <c r="N99" s="26"/>
      <c r="O99" s="1"/>
    </row>
    <row r="100" spans="1:15" x14ac:dyDescent="0.25">
      <c r="A100" s="114"/>
      <c r="B100" s="93"/>
      <c r="C100" s="93"/>
      <c r="D100" s="93"/>
      <c r="E100" s="93"/>
      <c r="F100" s="93"/>
      <c r="G100" s="93"/>
      <c r="H100" s="93"/>
      <c r="I100" s="93"/>
      <c r="J100" s="93"/>
      <c r="K100" s="93"/>
      <c r="L100" s="93"/>
      <c r="M100" s="93"/>
      <c r="N100" s="26"/>
      <c r="O100" s="1"/>
    </row>
    <row r="101" spans="1:15" x14ac:dyDescent="0.25">
      <c r="A101" s="114"/>
      <c r="B101" s="93"/>
      <c r="C101" s="93"/>
      <c r="D101" s="93"/>
      <c r="E101" s="93"/>
      <c r="F101" s="93"/>
      <c r="G101" s="93"/>
      <c r="H101" s="93"/>
      <c r="I101" s="93"/>
      <c r="J101" s="93"/>
      <c r="K101" s="93"/>
      <c r="L101" s="93"/>
      <c r="M101" s="93"/>
      <c r="N101" s="26"/>
      <c r="O101" s="1"/>
    </row>
    <row r="102" spans="1:15" x14ac:dyDescent="0.25">
      <c r="A102" s="114"/>
      <c r="B102" s="93"/>
      <c r="C102" s="93"/>
      <c r="D102" s="93"/>
      <c r="E102" s="93"/>
      <c r="F102" s="93"/>
      <c r="G102" s="93"/>
      <c r="H102" s="93"/>
      <c r="I102" s="93"/>
      <c r="J102" s="93"/>
      <c r="K102" s="93"/>
      <c r="L102" s="93"/>
      <c r="M102" s="93"/>
      <c r="N102" s="26"/>
      <c r="O102" s="1"/>
    </row>
    <row r="103" spans="1:15" x14ac:dyDescent="0.25">
      <c r="A103" s="114"/>
      <c r="B103" s="93"/>
      <c r="C103" s="93"/>
      <c r="D103" s="93"/>
      <c r="E103" s="93"/>
      <c r="F103" s="93"/>
      <c r="G103" s="93"/>
      <c r="H103" s="93"/>
      <c r="I103" s="93"/>
      <c r="J103" s="93"/>
      <c r="K103" s="93"/>
      <c r="L103" s="93"/>
      <c r="M103" s="93"/>
      <c r="N103" s="26"/>
      <c r="O103" s="1"/>
    </row>
    <row r="104" spans="1:15" x14ac:dyDescent="0.25">
      <c r="A104" s="114"/>
      <c r="B104" s="93"/>
      <c r="C104" s="93"/>
      <c r="D104" s="93"/>
      <c r="E104" s="93"/>
      <c r="F104" s="93"/>
      <c r="G104" s="93"/>
      <c r="H104" s="93"/>
      <c r="I104" s="93"/>
      <c r="J104" s="93"/>
      <c r="K104" s="93"/>
      <c r="L104" s="93"/>
      <c r="M104" s="93"/>
      <c r="N104" s="26"/>
      <c r="O104" s="1"/>
    </row>
    <row r="105" spans="1:15" x14ac:dyDescent="0.25">
      <c r="A105" s="114"/>
      <c r="B105" s="93"/>
      <c r="C105" s="93"/>
      <c r="D105" s="93"/>
      <c r="E105" s="93"/>
      <c r="F105" s="93"/>
      <c r="G105" s="93"/>
      <c r="H105" s="93"/>
      <c r="I105" s="93"/>
      <c r="J105" s="93"/>
      <c r="K105" s="93"/>
      <c r="L105" s="93"/>
      <c r="M105" s="93"/>
      <c r="N105" s="26"/>
      <c r="O105" s="1"/>
    </row>
    <row r="106" spans="1:15" x14ac:dyDescent="0.25">
      <c r="A106" s="114"/>
      <c r="B106" s="93"/>
      <c r="C106" s="93"/>
      <c r="D106" s="93"/>
      <c r="E106" s="93"/>
      <c r="F106" s="93"/>
      <c r="G106" s="93"/>
      <c r="H106" s="93"/>
      <c r="I106" s="93"/>
      <c r="J106" s="93"/>
      <c r="K106" s="93"/>
      <c r="L106" s="93"/>
      <c r="M106" s="93"/>
      <c r="N106" s="26"/>
      <c r="O106" s="1"/>
    </row>
    <row r="107" spans="1:15" x14ac:dyDescent="0.25">
      <c r="A107" s="114"/>
      <c r="B107" s="93"/>
      <c r="C107" s="93"/>
      <c r="D107" s="93"/>
      <c r="E107" s="93"/>
      <c r="F107" s="93"/>
      <c r="G107" s="93"/>
      <c r="H107" s="93"/>
      <c r="I107" s="93"/>
      <c r="J107" s="93"/>
      <c r="K107" s="93"/>
      <c r="L107" s="93"/>
      <c r="M107" s="93"/>
      <c r="N107" s="26"/>
      <c r="O107" s="1"/>
    </row>
    <row r="108" spans="1:15" x14ac:dyDescent="0.25">
      <c r="A108" s="114"/>
      <c r="B108" s="93"/>
      <c r="C108" s="93"/>
      <c r="D108" s="93"/>
      <c r="E108" s="93"/>
      <c r="F108" s="93"/>
      <c r="G108" s="93"/>
      <c r="H108" s="93"/>
      <c r="I108" s="93"/>
      <c r="J108" s="93"/>
      <c r="K108" s="93"/>
      <c r="L108" s="93"/>
      <c r="M108" s="93"/>
      <c r="N108" s="26"/>
      <c r="O108" s="1"/>
    </row>
    <row r="109" spans="1:15" x14ac:dyDescent="0.25">
      <c r="A109" s="114"/>
      <c r="B109" s="93"/>
      <c r="C109" s="93"/>
      <c r="D109" s="93"/>
      <c r="E109" s="93"/>
      <c r="F109" s="93"/>
      <c r="G109" s="93"/>
      <c r="H109" s="93"/>
      <c r="I109" s="93"/>
      <c r="J109" s="93"/>
      <c r="K109" s="93"/>
      <c r="L109" s="93"/>
      <c r="M109" s="93"/>
      <c r="N109" s="26"/>
      <c r="O109" s="1"/>
    </row>
    <row r="110" spans="1:15" x14ac:dyDescent="0.25">
      <c r="A110" s="114"/>
      <c r="B110" s="93"/>
      <c r="C110" s="93"/>
      <c r="D110" s="93"/>
      <c r="E110" s="93"/>
      <c r="F110" s="93"/>
      <c r="G110" s="93"/>
      <c r="H110" s="93"/>
      <c r="I110" s="93"/>
      <c r="J110" s="93"/>
      <c r="K110" s="93"/>
      <c r="L110" s="93"/>
      <c r="M110" s="93"/>
      <c r="N110" s="26"/>
      <c r="O110" s="1"/>
    </row>
    <row r="111" spans="1:15" x14ac:dyDescent="0.25">
      <c r="A111" s="114"/>
      <c r="B111" s="93"/>
      <c r="C111" s="93"/>
      <c r="D111" s="93"/>
      <c r="E111" s="93"/>
      <c r="F111" s="93"/>
      <c r="G111" s="93"/>
      <c r="H111" s="93"/>
      <c r="I111" s="93"/>
      <c r="J111" s="93"/>
      <c r="K111" s="93"/>
      <c r="L111" s="93"/>
      <c r="M111" s="93"/>
      <c r="N111" s="26"/>
      <c r="O111" s="1"/>
    </row>
    <row r="112" spans="1:15" x14ac:dyDescent="0.25">
      <c r="A112" s="114"/>
      <c r="B112" s="93"/>
      <c r="C112" s="93"/>
      <c r="D112" s="93"/>
      <c r="E112" s="93"/>
      <c r="F112" s="93"/>
      <c r="G112" s="93"/>
      <c r="H112" s="93"/>
      <c r="I112" s="93"/>
      <c r="J112" s="93"/>
      <c r="K112" s="93"/>
      <c r="L112" s="93"/>
      <c r="M112" s="93"/>
      <c r="N112" s="26"/>
      <c r="O112" s="1"/>
    </row>
    <row r="113" spans="1:15" x14ac:dyDescent="0.25">
      <c r="A113" s="114"/>
      <c r="B113" s="93"/>
      <c r="C113" s="93"/>
      <c r="D113" s="93"/>
      <c r="E113" s="93"/>
      <c r="F113" s="93"/>
      <c r="G113" s="93"/>
      <c r="H113" s="93"/>
      <c r="I113" s="93"/>
      <c r="J113" s="93"/>
      <c r="K113" s="93"/>
      <c r="L113" s="93"/>
      <c r="M113" s="93"/>
      <c r="N113" s="26"/>
      <c r="O113" s="1"/>
    </row>
    <row r="114" spans="1:15" x14ac:dyDescent="0.25">
      <c r="A114" s="114"/>
      <c r="B114" s="93"/>
      <c r="C114" s="93"/>
      <c r="D114" s="93"/>
      <c r="E114" s="93"/>
      <c r="F114" s="93"/>
      <c r="G114" s="93"/>
      <c r="H114" s="93"/>
      <c r="I114" s="93"/>
      <c r="J114" s="93"/>
      <c r="K114" s="93"/>
      <c r="L114" s="93"/>
      <c r="M114" s="93"/>
      <c r="N114" s="26"/>
      <c r="O114" s="1"/>
    </row>
    <row r="115" spans="1:15" x14ac:dyDescent="0.25">
      <c r="A115" s="114"/>
      <c r="B115" s="93"/>
      <c r="C115" s="93"/>
      <c r="D115" s="93"/>
      <c r="E115" s="93"/>
      <c r="F115" s="93"/>
      <c r="G115" s="93"/>
      <c r="H115" s="93"/>
      <c r="I115" s="93"/>
      <c r="J115" s="93"/>
      <c r="K115" s="93"/>
      <c r="L115" s="93"/>
      <c r="M115" s="93"/>
      <c r="N115" s="26"/>
      <c r="O115" s="1"/>
    </row>
    <row r="116" spans="1:15" x14ac:dyDescent="0.25">
      <c r="A116" s="114"/>
      <c r="B116" s="93"/>
      <c r="C116" s="93"/>
      <c r="D116" s="93"/>
      <c r="E116" s="93"/>
      <c r="F116" s="93"/>
      <c r="G116" s="93"/>
      <c r="H116" s="93"/>
      <c r="I116" s="93"/>
      <c r="J116" s="93"/>
      <c r="K116" s="93"/>
      <c r="L116" s="93"/>
      <c r="M116" s="93"/>
      <c r="N116" s="26"/>
      <c r="O116" s="1"/>
    </row>
    <row r="117" spans="1:15" x14ac:dyDescent="0.25">
      <c r="A117" s="114"/>
      <c r="B117" s="93"/>
      <c r="C117" s="93"/>
      <c r="D117" s="93"/>
      <c r="E117" s="93"/>
      <c r="F117" s="93"/>
      <c r="G117" s="93"/>
      <c r="H117" s="93"/>
      <c r="I117" s="93"/>
      <c r="J117" s="93"/>
      <c r="K117" s="93"/>
      <c r="L117" s="93"/>
      <c r="M117" s="93"/>
      <c r="N117" s="26"/>
      <c r="O117" s="1"/>
    </row>
    <row r="118" spans="1:15" x14ac:dyDescent="0.25">
      <c r="A118" s="114"/>
      <c r="B118" s="93"/>
      <c r="C118" s="93"/>
      <c r="D118" s="93"/>
      <c r="E118" s="93"/>
      <c r="F118" s="93"/>
      <c r="G118" s="93"/>
      <c r="H118" s="93"/>
      <c r="I118" s="93"/>
      <c r="J118" s="93"/>
      <c r="K118" s="93"/>
      <c r="L118" s="93"/>
      <c r="M118" s="93"/>
      <c r="N118" s="26"/>
      <c r="O118" s="1"/>
    </row>
    <row r="119" spans="1:15" x14ac:dyDescent="0.25">
      <c r="A119" s="114"/>
      <c r="B119" s="93"/>
      <c r="C119" s="93"/>
      <c r="D119" s="93"/>
      <c r="E119" s="93"/>
      <c r="F119" s="93"/>
      <c r="G119" s="93"/>
      <c r="H119" s="93"/>
      <c r="I119" s="93"/>
      <c r="J119" s="93"/>
      <c r="K119" s="93"/>
      <c r="L119" s="93"/>
      <c r="M119" s="93"/>
      <c r="N119" s="26"/>
      <c r="O119" s="1"/>
    </row>
    <row r="120" spans="1:15" x14ac:dyDescent="0.25">
      <c r="A120" s="114"/>
      <c r="B120" s="93"/>
      <c r="C120" s="93"/>
      <c r="D120" s="93"/>
      <c r="E120" s="93"/>
      <c r="F120" s="93"/>
      <c r="G120" s="93"/>
      <c r="H120" s="93"/>
      <c r="I120" s="93"/>
      <c r="J120" s="93"/>
      <c r="K120" s="93"/>
      <c r="L120" s="93"/>
      <c r="M120" s="93"/>
      <c r="N120" s="26"/>
      <c r="O120" s="1"/>
    </row>
    <row r="121" spans="1:15" x14ac:dyDescent="0.25">
      <c r="A121" s="114"/>
      <c r="B121" s="93"/>
      <c r="C121" s="93"/>
      <c r="D121" s="93"/>
      <c r="E121" s="93"/>
      <c r="F121" s="93"/>
      <c r="G121" s="93"/>
      <c r="H121" s="93"/>
      <c r="I121" s="93"/>
      <c r="J121" s="93"/>
      <c r="K121" s="93"/>
      <c r="L121" s="93"/>
      <c r="M121" s="93"/>
      <c r="N121" s="26"/>
      <c r="O121" s="1"/>
    </row>
    <row r="122" spans="1:15" x14ac:dyDescent="0.25">
      <c r="A122" s="114"/>
      <c r="B122" s="93"/>
      <c r="C122" s="93"/>
      <c r="D122" s="93"/>
      <c r="E122" s="93"/>
      <c r="F122" s="93"/>
      <c r="G122" s="93"/>
      <c r="H122" s="93"/>
      <c r="I122" s="93"/>
      <c r="J122" s="93"/>
      <c r="K122" s="93"/>
      <c r="L122" s="93"/>
      <c r="M122" s="93"/>
      <c r="N122" s="26"/>
      <c r="O122" s="1"/>
    </row>
    <row r="123" spans="1:15" x14ac:dyDescent="0.25">
      <c r="A123" s="114"/>
      <c r="B123" s="114"/>
      <c r="C123" s="114"/>
      <c r="D123" s="114"/>
      <c r="E123" s="114"/>
      <c r="F123" s="114"/>
      <c r="G123" s="114"/>
      <c r="H123" s="114"/>
      <c r="I123" s="114"/>
      <c r="J123" s="114"/>
      <c r="K123" s="114"/>
      <c r="L123" s="114"/>
      <c r="M123" s="114"/>
      <c r="N123" s="26"/>
      <c r="O123" s="1"/>
    </row>
    <row r="124" spans="1:15" x14ac:dyDescent="0.25">
      <c r="A124" s="114"/>
      <c r="B124" s="114"/>
      <c r="C124" s="114"/>
      <c r="D124" s="114"/>
      <c r="E124" s="114"/>
      <c r="F124" s="114"/>
      <c r="G124" s="114"/>
      <c r="H124" s="114"/>
      <c r="I124" s="114"/>
      <c r="J124" s="114"/>
      <c r="K124" s="114"/>
      <c r="L124" s="114"/>
      <c r="M124" s="114"/>
      <c r="N124" s="26"/>
      <c r="O124" s="1"/>
    </row>
    <row r="125" spans="1:15" x14ac:dyDescent="0.25">
      <c r="A125" s="114"/>
      <c r="B125" s="114"/>
      <c r="C125" s="114"/>
      <c r="D125" s="114"/>
      <c r="E125" s="114"/>
      <c r="F125" s="114"/>
      <c r="G125" s="114"/>
      <c r="H125" s="114"/>
      <c r="I125" s="114"/>
      <c r="J125" s="114"/>
      <c r="K125" s="114"/>
      <c r="L125" s="114"/>
      <c r="M125" s="114"/>
      <c r="N125" s="26"/>
      <c r="O125" s="1"/>
    </row>
    <row r="126" spans="1:15" x14ac:dyDescent="0.25">
      <c r="A126" s="114"/>
      <c r="B126" s="114"/>
      <c r="C126" s="114"/>
      <c r="D126" s="114"/>
      <c r="E126" s="114"/>
      <c r="F126" s="114"/>
      <c r="G126" s="114"/>
      <c r="H126" s="114"/>
      <c r="I126" s="114"/>
      <c r="J126" s="114"/>
      <c r="K126" s="114"/>
      <c r="L126" s="114"/>
      <c r="M126" s="114"/>
      <c r="N126" s="26"/>
      <c r="O126" s="1"/>
    </row>
    <row r="127" spans="1:15" x14ac:dyDescent="0.25">
      <c r="A127" s="114"/>
      <c r="B127" s="114"/>
      <c r="C127" s="114"/>
      <c r="D127" s="114"/>
      <c r="E127" s="114"/>
      <c r="F127" s="114"/>
      <c r="G127" s="114"/>
      <c r="H127" s="114"/>
      <c r="I127" s="114"/>
      <c r="J127" s="114"/>
      <c r="K127" s="114"/>
      <c r="L127" s="114"/>
      <c r="M127" s="114"/>
      <c r="N127" s="26"/>
      <c r="O127" s="1"/>
    </row>
    <row r="128" spans="1:15" x14ac:dyDescent="0.25">
      <c r="A128" s="114"/>
      <c r="B128" s="114"/>
      <c r="C128" s="114"/>
      <c r="D128" s="114"/>
      <c r="E128" s="114"/>
      <c r="F128" s="114"/>
      <c r="G128" s="114"/>
      <c r="H128" s="114"/>
      <c r="I128" s="114"/>
      <c r="J128" s="114"/>
      <c r="K128" s="114"/>
      <c r="L128" s="114"/>
      <c r="M128" s="114"/>
      <c r="N128" s="26"/>
      <c r="O128" s="1"/>
    </row>
    <row r="129" spans="1:15" x14ac:dyDescent="0.25">
      <c r="A129" s="114"/>
      <c r="B129" s="114"/>
      <c r="C129" s="114"/>
      <c r="D129" s="114"/>
      <c r="E129" s="114"/>
      <c r="F129" s="114"/>
      <c r="G129" s="114"/>
      <c r="H129" s="114"/>
      <c r="I129" s="114"/>
      <c r="J129" s="114"/>
      <c r="K129" s="114"/>
      <c r="L129" s="114"/>
      <c r="M129" s="114"/>
      <c r="N129" s="26"/>
      <c r="O129" s="1"/>
    </row>
    <row r="130" spans="1:15" x14ac:dyDescent="0.25">
      <c r="A130" s="114"/>
      <c r="B130" s="114"/>
      <c r="C130" s="114"/>
      <c r="D130" s="114"/>
      <c r="E130" s="114"/>
      <c r="F130" s="114"/>
      <c r="G130" s="114"/>
      <c r="H130" s="114"/>
      <c r="I130" s="114"/>
      <c r="J130" s="114"/>
      <c r="K130" s="114"/>
      <c r="L130" s="114"/>
      <c r="M130" s="114"/>
      <c r="N130" s="26"/>
      <c r="O130" s="1"/>
    </row>
    <row r="131" spans="1:15" x14ac:dyDescent="0.25">
      <c r="A131" s="114"/>
      <c r="B131" s="114"/>
      <c r="C131" s="114"/>
      <c r="D131" s="114"/>
      <c r="E131" s="114"/>
      <c r="F131" s="114"/>
      <c r="G131" s="114"/>
      <c r="H131" s="114"/>
      <c r="I131" s="114"/>
      <c r="J131" s="114"/>
      <c r="K131" s="114"/>
      <c r="L131" s="114"/>
      <c r="M131" s="114"/>
      <c r="N131" s="26"/>
      <c r="O131" s="1"/>
    </row>
    <row r="132" spans="1:15" x14ac:dyDescent="0.25">
      <c r="A132" s="114"/>
      <c r="B132" s="114"/>
      <c r="C132" s="114"/>
      <c r="D132" s="114"/>
      <c r="E132" s="114"/>
      <c r="F132" s="114"/>
      <c r="G132" s="114"/>
      <c r="H132" s="114"/>
      <c r="I132" s="114"/>
      <c r="J132" s="114"/>
      <c r="K132" s="114"/>
      <c r="L132" s="114"/>
      <c r="M132" s="114"/>
      <c r="N132" s="26"/>
      <c r="O132" s="1"/>
    </row>
    <row r="133" spans="1:15" x14ac:dyDescent="0.25">
      <c r="A133" s="114"/>
      <c r="B133" s="114"/>
      <c r="C133" s="114"/>
      <c r="D133" s="114"/>
      <c r="E133" s="114"/>
      <c r="F133" s="114"/>
      <c r="G133" s="114"/>
      <c r="H133" s="114"/>
      <c r="I133" s="114"/>
      <c r="J133" s="114"/>
      <c r="K133" s="114"/>
      <c r="L133" s="114"/>
      <c r="M133" s="114"/>
      <c r="N133" s="26"/>
      <c r="O133" s="1"/>
    </row>
    <row r="134" spans="1:15" x14ac:dyDescent="0.25">
      <c r="A134" s="114"/>
      <c r="B134" s="114"/>
      <c r="C134" s="114"/>
      <c r="D134" s="114"/>
      <c r="E134" s="114"/>
      <c r="F134" s="114"/>
      <c r="G134" s="114"/>
      <c r="H134" s="114"/>
      <c r="I134" s="114"/>
      <c r="J134" s="114"/>
      <c r="K134" s="114"/>
      <c r="L134" s="114"/>
      <c r="M134" s="114"/>
      <c r="N134" s="26"/>
      <c r="O134" s="1"/>
    </row>
    <row r="135" spans="1:15" x14ac:dyDescent="0.25">
      <c r="A135" s="114"/>
      <c r="B135" s="114"/>
      <c r="C135" s="114"/>
      <c r="D135" s="114"/>
      <c r="E135" s="114"/>
      <c r="F135" s="114"/>
      <c r="G135" s="114"/>
      <c r="H135" s="114"/>
      <c r="I135" s="114"/>
      <c r="J135" s="114"/>
      <c r="K135" s="114"/>
      <c r="L135" s="114"/>
      <c r="M135" s="114"/>
      <c r="N135" s="26"/>
      <c r="O135" s="1"/>
    </row>
    <row r="136" spans="1:15" x14ac:dyDescent="0.25">
      <c r="A136" s="114"/>
      <c r="B136" s="114"/>
      <c r="C136" s="114"/>
      <c r="D136" s="114"/>
      <c r="E136" s="114"/>
      <c r="F136" s="114"/>
      <c r="G136" s="114"/>
      <c r="H136" s="114"/>
      <c r="I136" s="114"/>
      <c r="J136" s="114"/>
      <c r="K136" s="114"/>
      <c r="L136" s="114"/>
      <c r="M136" s="114"/>
      <c r="N136" s="26"/>
      <c r="O136" s="1"/>
    </row>
    <row r="137" spans="1:15" x14ac:dyDescent="0.25">
      <c r="A137" s="114"/>
      <c r="B137" s="114"/>
      <c r="C137" s="114"/>
      <c r="D137" s="114"/>
      <c r="E137" s="114"/>
      <c r="F137" s="114"/>
      <c r="G137" s="114"/>
      <c r="H137" s="114"/>
      <c r="I137" s="114"/>
      <c r="J137" s="114"/>
      <c r="K137" s="114"/>
      <c r="L137" s="114"/>
      <c r="M137" s="114"/>
      <c r="N137" s="26"/>
      <c r="O137" s="1"/>
    </row>
    <row r="138" spans="1:15" x14ac:dyDescent="0.25">
      <c r="A138" s="114"/>
      <c r="B138" s="114"/>
      <c r="C138" s="114"/>
      <c r="D138" s="114"/>
      <c r="E138" s="114"/>
      <c r="F138" s="114"/>
      <c r="G138" s="114"/>
      <c r="H138" s="114"/>
      <c r="I138" s="114"/>
      <c r="J138" s="114"/>
      <c r="K138" s="114"/>
      <c r="L138" s="114"/>
      <c r="M138" s="114"/>
      <c r="N138" s="26"/>
      <c r="O138" s="1"/>
    </row>
    <row r="139" spans="1:15" x14ac:dyDescent="0.25">
      <c r="A139" s="114"/>
      <c r="B139" s="114"/>
      <c r="C139" s="114"/>
      <c r="D139" s="114"/>
      <c r="E139" s="114"/>
      <c r="F139" s="114"/>
      <c r="G139" s="114"/>
      <c r="H139" s="114"/>
      <c r="I139" s="114"/>
      <c r="J139" s="114"/>
      <c r="K139" s="114"/>
      <c r="L139" s="114"/>
      <c r="M139" s="114"/>
      <c r="N139" s="26"/>
      <c r="O139" s="1"/>
    </row>
    <row r="140" spans="1:15" x14ac:dyDescent="0.25">
      <c r="A140" s="114"/>
      <c r="B140" s="114"/>
      <c r="C140" s="114"/>
      <c r="D140" s="114"/>
      <c r="E140" s="114"/>
      <c r="F140" s="114"/>
      <c r="G140" s="114"/>
      <c r="H140" s="114"/>
      <c r="I140" s="114"/>
      <c r="J140" s="114"/>
      <c r="K140" s="114"/>
      <c r="L140" s="114"/>
      <c r="M140" s="114"/>
      <c r="N140" s="26"/>
      <c r="O140" s="1"/>
    </row>
    <row r="141" spans="1:15" x14ac:dyDescent="0.25">
      <c r="A141" s="114"/>
      <c r="B141" s="114"/>
      <c r="C141" s="114"/>
      <c r="D141" s="114"/>
      <c r="E141" s="114"/>
      <c r="F141" s="114"/>
      <c r="G141" s="114"/>
      <c r="H141" s="114"/>
      <c r="I141" s="114"/>
      <c r="J141" s="114"/>
      <c r="K141" s="114"/>
      <c r="L141" s="114"/>
      <c r="M141" s="114"/>
      <c r="N141" s="26"/>
      <c r="O141" s="1"/>
    </row>
    <row r="142" spans="1:15" x14ac:dyDescent="0.25">
      <c r="A142" s="114"/>
      <c r="B142" s="114"/>
      <c r="C142" s="114"/>
      <c r="D142" s="114"/>
      <c r="E142" s="114"/>
      <c r="F142" s="114"/>
      <c r="G142" s="114"/>
      <c r="H142" s="114"/>
      <c r="I142" s="114"/>
      <c r="J142" s="114"/>
      <c r="K142" s="114"/>
      <c r="L142" s="114"/>
      <c r="M142" s="114"/>
      <c r="N142" s="26"/>
      <c r="O142" s="1"/>
    </row>
    <row r="143" spans="1:15" x14ac:dyDescent="0.25">
      <c r="A143" s="114"/>
      <c r="B143" s="114"/>
      <c r="C143" s="114"/>
      <c r="D143" s="114"/>
      <c r="E143" s="114"/>
      <c r="F143" s="114"/>
      <c r="G143" s="114"/>
      <c r="H143" s="114"/>
      <c r="I143" s="114"/>
      <c r="J143" s="114"/>
      <c r="K143" s="114"/>
      <c r="L143" s="114"/>
      <c r="M143" s="114"/>
      <c r="N143" s="26"/>
      <c r="O143" s="1"/>
    </row>
    <row r="144" spans="1:15" x14ac:dyDescent="0.25">
      <c r="A144" s="114"/>
      <c r="B144" s="114"/>
      <c r="C144" s="114"/>
      <c r="D144" s="114"/>
      <c r="E144" s="114"/>
      <c r="F144" s="114"/>
      <c r="G144" s="114"/>
      <c r="H144" s="114"/>
      <c r="I144" s="114"/>
      <c r="J144" s="114"/>
      <c r="K144" s="114"/>
      <c r="L144" s="114"/>
      <c r="M144" s="114"/>
      <c r="N144" s="26"/>
      <c r="O144" s="1"/>
    </row>
    <row r="145" spans="1:15" x14ac:dyDescent="0.25">
      <c r="A145" s="114"/>
      <c r="B145" s="114"/>
      <c r="C145" s="114"/>
      <c r="D145" s="114"/>
      <c r="E145" s="114"/>
      <c r="F145" s="114"/>
      <c r="G145" s="114"/>
      <c r="H145" s="114"/>
      <c r="I145" s="114"/>
      <c r="J145" s="114"/>
      <c r="K145" s="114"/>
      <c r="L145" s="114"/>
      <c r="M145" s="114"/>
      <c r="N145" s="26"/>
      <c r="O145" s="1"/>
    </row>
    <row r="146" spans="1:15" x14ac:dyDescent="0.25">
      <c r="A146" s="114"/>
      <c r="B146" s="114"/>
      <c r="C146" s="114"/>
      <c r="D146" s="114"/>
      <c r="E146" s="114"/>
      <c r="F146" s="114"/>
      <c r="G146" s="114"/>
      <c r="H146" s="114"/>
      <c r="I146" s="114"/>
      <c r="J146" s="114"/>
      <c r="K146" s="114"/>
      <c r="L146" s="114"/>
      <c r="M146" s="114"/>
      <c r="N146" s="26"/>
      <c r="O146" s="1"/>
    </row>
    <row r="147" spans="1:15" x14ac:dyDescent="0.25">
      <c r="A147" s="114"/>
      <c r="B147" s="114"/>
      <c r="C147" s="114"/>
      <c r="D147" s="114"/>
      <c r="E147" s="114"/>
      <c r="F147" s="114"/>
      <c r="G147" s="114"/>
      <c r="H147" s="114"/>
      <c r="I147" s="114"/>
      <c r="J147" s="114"/>
      <c r="K147" s="114"/>
      <c r="L147" s="114"/>
      <c r="M147" s="114"/>
      <c r="N147" s="26"/>
      <c r="O147" s="1"/>
    </row>
    <row r="148" spans="1:15" x14ac:dyDescent="0.25">
      <c r="A148" s="114"/>
      <c r="B148" s="93"/>
      <c r="C148" s="93"/>
      <c r="D148" s="93"/>
      <c r="E148" s="93"/>
      <c r="F148" s="93"/>
      <c r="G148" s="93"/>
      <c r="H148" s="93"/>
      <c r="I148" s="93"/>
      <c r="J148" s="93"/>
      <c r="K148" s="93"/>
      <c r="L148" s="93"/>
      <c r="M148" s="93"/>
      <c r="N148" s="26"/>
      <c r="O148" s="1"/>
    </row>
    <row r="149" spans="1:15" x14ac:dyDescent="0.25">
      <c r="A149" s="114"/>
      <c r="B149" s="93"/>
      <c r="C149" s="93"/>
      <c r="D149" s="93"/>
      <c r="E149" s="93"/>
      <c r="F149" s="93"/>
      <c r="G149" s="93"/>
      <c r="H149" s="93"/>
      <c r="I149" s="93"/>
      <c r="J149" s="93"/>
      <c r="K149" s="93"/>
      <c r="L149" s="93"/>
      <c r="M149" s="93"/>
      <c r="N149" s="26"/>
      <c r="O149" s="1"/>
    </row>
    <row r="150" spans="1:15" x14ac:dyDescent="0.25">
      <c r="A150" s="114"/>
      <c r="B150" s="93"/>
      <c r="C150" s="93"/>
      <c r="D150" s="93"/>
      <c r="E150" s="93"/>
      <c r="F150" s="93"/>
      <c r="G150" s="93"/>
      <c r="H150" s="93"/>
      <c r="I150" s="93"/>
      <c r="J150" s="93"/>
      <c r="K150" s="93"/>
      <c r="L150" s="93"/>
      <c r="M150" s="93"/>
      <c r="N150" s="26"/>
      <c r="O150" s="1"/>
    </row>
    <row r="151" spans="1:15" x14ac:dyDescent="0.25">
      <c r="A151" s="114"/>
      <c r="B151" s="93"/>
      <c r="C151" s="93"/>
      <c r="D151" s="93"/>
      <c r="E151" s="93"/>
      <c r="F151" s="93"/>
      <c r="G151" s="93"/>
      <c r="H151" s="93"/>
      <c r="I151" s="93"/>
      <c r="J151" s="93"/>
      <c r="K151" s="93"/>
      <c r="L151" s="93"/>
      <c r="M151" s="93"/>
      <c r="N151" s="26"/>
      <c r="O151" s="1"/>
    </row>
    <row r="152" spans="1:15" x14ac:dyDescent="0.25">
      <c r="A152" s="114"/>
      <c r="B152" s="93"/>
      <c r="C152" s="93"/>
      <c r="D152" s="93"/>
      <c r="E152" s="93"/>
      <c r="F152" s="93"/>
      <c r="G152" s="93"/>
      <c r="H152" s="93"/>
      <c r="I152" s="93"/>
      <c r="J152" s="93"/>
      <c r="K152" s="93"/>
      <c r="L152" s="93"/>
      <c r="M152" s="93"/>
      <c r="N152" s="26"/>
      <c r="O152" s="1"/>
    </row>
    <row r="153" spans="1:15" x14ac:dyDescent="0.25">
      <c r="A153" s="114"/>
      <c r="B153" s="93"/>
      <c r="C153" s="93"/>
      <c r="D153" s="93"/>
      <c r="E153" s="93"/>
      <c r="F153" s="93"/>
      <c r="G153" s="93"/>
      <c r="H153" s="93"/>
      <c r="I153" s="93"/>
      <c r="J153" s="93"/>
      <c r="K153" s="93"/>
      <c r="L153" s="93"/>
      <c r="M153" s="93"/>
      <c r="N153" s="26"/>
      <c r="O153" s="1"/>
    </row>
    <row r="154" spans="1:15" x14ac:dyDescent="0.25">
      <c r="A154" s="114"/>
      <c r="B154" s="93"/>
      <c r="C154" s="93"/>
      <c r="D154" s="93"/>
      <c r="E154" s="93"/>
      <c r="F154" s="93"/>
      <c r="G154" s="93"/>
      <c r="H154" s="93"/>
      <c r="I154" s="93"/>
      <c r="J154" s="93"/>
      <c r="K154" s="93"/>
      <c r="L154" s="93"/>
      <c r="M154" s="93"/>
      <c r="N154" s="26"/>
      <c r="O154" s="1"/>
    </row>
    <row r="155" spans="1:15" x14ac:dyDescent="0.25">
      <c r="A155" s="114"/>
      <c r="B155" s="93"/>
      <c r="C155" s="93"/>
      <c r="D155" s="93"/>
      <c r="E155" s="93"/>
      <c r="F155" s="93"/>
      <c r="G155" s="93"/>
      <c r="H155" s="93"/>
      <c r="I155" s="93"/>
      <c r="J155" s="93"/>
      <c r="K155" s="93"/>
      <c r="L155" s="93"/>
      <c r="M155" s="93"/>
      <c r="N155" s="26"/>
      <c r="O155" s="1"/>
    </row>
    <row r="156" spans="1:15" x14ac:dyDescent="0.25">
      <c r="A156" s="114"/>
      <c r="B156" s="93"/>
      <c r="C156" s="93"/>
      <c r="D156" s="93"/>
      <c r="E156" s="93"/>
      <c r="F156" s="93"/>
      <c r="G156" s="93"/>
      <c r="H156" s="93"/>
      <c r="I156" s="93"/>
      <c r="J156" s="93"/>
      <c r="K156" s="93"/>
      <c r="L156" s="93"/>
      <c r="M156" s="93"/>
      <c r="N156" s="26"/>
      <c r="O156" s="1"/>
    </row>
    <row r="157" spans="1:15" x14ac:dyDescent="0.25">
      <c r="A157" s="114"/>
      <c r="B157" s="93"/>
      <c r="C157" s="93"/>
      <c r="D157" s="93"/>
      <c r="E157" s="93"/>
      <c r="F157" s="93"/>
      <c r="G157" s="93"/>
      <c r="H157" s="93"/>
      <c r="I157" s="93"/>
      <c r="J157" s="93"/>
      <c r="K157" s="93"/>
      <c r="L157" s="93"/>
      <c r="M157" s="93"/>
      <c r="N157" s="26"/>
      <c r="O157" s="1"/>
    </row>
    <row r="158" spans="1:15" x14ac:dyDescent="0.25">
      <c r="A158" s="114"/>
      <c r="B158" s="93"/>
      <c r="C158" s="93"/>
      <c r="D158" s="93"/>
      <c r="E158" s="93"/>
      <c r="F158" s="93"/>
      <c r="G158" s="93"/>
      <c r="H158" s="93"/>
      <c r="I158" s="93"/>
      <c r="J158" s="93"/>
      <c r="K158" s="93"/>
      <c r="L158" s="93"/>
      <c r="M158" s="93"/>
      <c r="N158" s="26"/>
      <c r="O158" s="1"/>
    </row>
    <row r="159" spans="1:15" x14ac:dyDescent="0.25">
      <c r="A159" s="114"/>
      <c r="B159" s="93"/>
      <c r="C159" s="93"/>
      <c r="D159" s="93"/>
      <c r="E159" s="93"/>
      <c r="F159" s="93"/>
      <c r="G159" s="93"/>
      <c r="H159" s="93"/>
      <c r="I159" s="93"/>
      <c r="J159" s="93"/>
      <c r="K159" s="93"/>
      <c r="L159" s="93"/>
      <c r="M159" s="93"/>
      <c r="N159" s="26"/>
      <c r="O159" s="1"/>
    </row>
    <row r="160" spans="1:15" x14ac:dyDescent="0.25">
      <c r="A160" s="114"/>
      <c r="B160" s="93"/>
      <c r="C160" s="93"/>
      <c r="D160" s="93"/>
      <c r="E160" s="93"/>
      <c r="F160" s="93"/>
      <c r="G160" s="93"/>
      <c r="H160" s="93"/>
      <c r="I160" s="93"/>
      <c r="J160" s="93"/>
      <c r="K160" s="93"/>
      <c r="L160" s="93"/>
      <c r="M160" s="93"/>
      <c r="N160" s="26"/>
      <c r="O160" s="1"/>
    </row>
    <row r="161" spans="1:15" x14ac:dyDescent="0.25">
      <c r="A161" s="114"/>
      <c r="B161" s="93"/>
      <c r="C161" s="93"/>
      <c r="D161" s="93"/>
      <c r="E161" s="93"/>
      <c r="F161" s="93"/>
      <c r="G161" s="93"/>
      <c r="H161" s="93"/>
      <c r="I161" s="93"/>
      <c r="J161" s="93"/>
      <c r="K161" s="93"/>
      <c r="L161" s="93"/>
      <c r="M161" s="93"/>
      <c r="N161" s="26"/>
      <c r="O161" s="1"/>
    </row>
    <row r="162" spans="1:15" x14ac:dyDescent="0.25">
      <c r="A162" s="114"/>
      <c r="B162" s="93"/>
      <c r="C162" s="93"/>
      <c r="D162" s="93"/>
      <c r="E162" s="93"/>
      <c r="F162" s="93"/>
      <c r="G162" s="93"/>
      <c r="H162" s="93"/>
      <c r="I162" s="93"/>
      <c r="J162" s="93"/>
      <c r="K162" s="93"/>
      <c r="L162" s="93"/>
      <c r="M162" s="93"/>
      <c r="N162" s="26"/>
      <c r="O162" s="1"/>
    </row>
    <row r="163" spans="1:15" x14ac:dyDescent="0.25">
      <c r="A163" s="114"/>
      <c r="B163" s="93"/>
      <c r="C163" s="93"/>
      <c r="D163" s="93"/>
      <c r="E163" s="93"/>
      <c r="F163" s="93"/>
      <c r="G163" s="93"/>
      <c r="H163" s="93"/>
      <c r="I163" s="93"/>
      <c r="J163" s="93"/>
      <c r="K163" s="93"/>
      <c r="L163" s="93"/>
      <c r="M163" s="93"/>
      <c r="N163" s="26"/>
      <c r="O163" s="1"/>
    </row>
    <row r="164" spans="1:15" x14ac:dyDescent="0.25">
      <c r="A164" s="114"/>
      <c r="B164" s="93"/>
      <c r="C164" s="93"/>
      <c r="D164" s="93"/>
      <c r="E164" s="93"/>
      <c r="F164" s="93"/>
      <c r="G164" s="93"/>
      <c r="H164" s="93"/>
      <c r="I164" s="93"/>
      <c r="J164" s="93"/>
      <c r="K164" s="93"/>
      <c r="L164" s="93"/>
      <c r="M164" s="93"/>
      <c r="N164" s="26"/>
      <c r="O164" s="1"/>
    </row>
    <row r="165" spans="1:15" x14ac:dyDescent="0.25">
      <c r="B165" s="1"/>
      <c r="C165" s="1"/>
      <c r="D165" s="1"/>
      <c r="E165" s="1"/>
      <c r="F165" s="1"/>
      <c r="G165" s="1"/>
      <c r="H165" s="1"/>
      <c r="I165" s="1"/>
      <c r="J165" s="1"/>
      <c r="K165" s="1"/>
      <c r="L165" s="1"/>
      <c r="M165" s="1"/>
      <c r="N165" s="26"/>
      <c r="O165" s="1"/>
    </row>
    <row r="166" spans="1:15" x14ac:dyDescent="0.25">
      <c r="B166" s="1"/>
      <c r="C166" s="1"/>
      <c r="D166" s="1"/>
      <c r="E166" s="1"/>
      <c r="F166" s="1"/>
      <c r="G166" s="1"/>
      <c r="H166" s="1"/>
      <c r="I166" s="1"/>
      <c r="J166" s="1"/>
      <c r="K166" s="1"/>
      <c r="L166" s="1"/>
      <c r="M166" s="1"/>
      <c r="N166" s="26"/>
      <c r="O166" s="1"/>
    </row>
    <row r="167" spans="1:15" x14ac:dyDescent="0.25">
      <c r="B167" s="1"/>
      <c r="C167" s="1"/>
      <c r="D167" s="1"/>
      <c r="E167" s="1"/>
      <c r="F167" s="1"/>
      <c r="G167" s="1"/>
      <c r="H167" s="1"/>
      <c r="I167" s="1"/>
      <c r="J167" s="1"/>
      <c r="K167" s="1"/>
      <c r="L167" s="1"/>
      <c r="M167" s="1"/>
      <c r="N167" s="26"/>
      <c r="O167" s="1"/>
    </row>
    <row r="168" spans="1:15" x14ac:dyDescent="0.25">
      <c r="B168" s="1"/>
      <c r="C168" s="1"/>
      <c r="D168" s="1"/>
      <c r="E168" s="1"/>
      <c r="F168" s="1"/>
      <c r="G168" s="1"/>
      <c r="H168" s="1"/>
      <c r="I168" s="1"/>
      <c r="J168" s="1"/>
      <c r="K168" s="1"/>
      <c r="L168" s="1"/>
      <c r="M168" s="1"/>
      <c r="N168" s="26"/>
      <c r="O168" s="1"/>
    </row>
    <row r="169" spans="1:15" x14ac:dyDescent="0.25">
      <c r="B169" s="1"/>
      <c r="C169" s="1"/>
      <c r="D169" s="1"/>
      <c r="E169" s="1"/>
      <c r="F169" s="1"/>
      <c r="G169" s="1"/>
      <c r="H169" s="1"/>
      <c r="I169" s="1"/>
      <c r="J169" s="1"/>
      <c r="K169" s="1"/>
      <c r="L169" s="1"/>
      <c r="M169" s="1"/>
      <c r="N169" s="26"/>
      <c r="O169" s="1"/>
    </row>
    <row r="170" spans="1:15" x14ac:dyDescent="0.25">
      <c r="B170" s="1"/>
      <c r="C170" s="1"/>
      <c r="D170" s="1"/>
      <c r="E170" s="1"/>
      <c r="F170" s="1"/>
      <c r="G170" s="1"/>
      <c r="H170" s="1"/>
      <c r="I170" s="1"/>
      <c r="J170" s="1"/>
      <c r="K170" s="1"/>
      <c r="L170" s="1"/>
      <c r="M170" s="1"/>
      <c r="N170" s="26"/>
      <c r="O170" s="1"/>
    </row>
    <row r="171" spans="1:15" x14ac:dyDescent="0.25">
      <c r="B171" s="1"/>
      <c r="C171" s="1"/>
      <c r="D171" s="1"/>
      <c r="E171" s="1"/>
      <c r="F171" s="1"/>
      <c r="G171" s="1"/>
      <c r="H171" s="1"/>
      <c r="I171" s="1"/>
      <c r="J171" s="1"/>
      <c r="K171" s="1"/>
      <c r="L171" s="1"/>
      <c r="M171" s="1"/>
      <c r="N171" s="26"/>
      <c r="O171" s="1"/>
    </row>
    <row r="172" spans="1:15" x14ac:dyDescent="0.25">
      <c r="B172" s="1"/>
      <c r="C172" s="1"/>
      <c r="D172" s="1"/>
      <c r="E172" s="1"/>
      <c r="F172" s="1"/>
      <c r="G172" s="1"/>
      <c r="H172" s="1"/>
      <c r="I172" s="1"/>
      <c r="J172" s="1"/>
      <c r="K172" s="1"/>
      <c r="L172" s="1"/>
      <c r="M172" s="1"/>
      <c r="N172" s="26"/>
      <c r="O172" s="1"/>
    </row>
    <row r="173" spans="1:15" x14ac:dyDescent="0.25">
      <c r="B173" s="1"/>
      <c r="C173" s="1"/>
      <c r="D173" s="1"/>
      <c r="E173" s="1"/>
      <c r="F173" s="1"/>
      <c r="G173" s="1"/>
      <c r="H173" s="1"/>
      <c r="I173" s="1"/>
      <c r="J173" s="1"/>
      <c r="K173" s="1"/>
      <c r="L173" s="1"/>
      <c r="M173" s="1"/>
      <c r="N173" s="26"/>
      <c r="O173" s="1"/>
    </row>
    <row r="174" spans="1:15" x14ac:dyDescent="0.25">
      <c r="B174" s="1"/>
      <c r="C174" s="1"/>
      <c r="D174" s="1"/>
      <c r="E174" s="1"/>
      <c r="F174" s="1"/>
      <c r="G174" s="1"/>
      <c r="H174" s="1"/>
      <c r="I174" s="1"/>
      <c r="J174" s="1"/>
      <c r="K174" s="1"/>
      <c r="L174" s="1"/>
      <c r="M174" s="1"/>
      <c r="N174" s="26"/>
      <c r="O174" s="1"/>
    </row>
    <row r="175" spans="1:15" x14ac:dyDescent="0.25">
      <c r="N175" s="19"/>
    </row>
    <row r="176" spans="1:15" x14ac:dyDescent="0.25">
      <c r="N176" s="19"/>
    </row>
    <row r="177" spans="14:14" x14ac:dyDescent="0.25">
      <c r="N177" s="19"/>
    </row>
    <row r="178" spans="14:14" x14ac:dyDescent="0.25">
      <c r="N178" s="19"/>
    </row>
    <row r="179" spans="14:14" x14ac:dyDescent="0.25">
      <c r="N179" s="19"/>
    </row>
    <row r="180" spans="14:14" x14ac:dyDescent="0.25">
      <c r="N180" s="19"/>
    </row>
    <row r="181" spans="14:14" x14ac:dyDescent="0.25">
      <c r="N181" s="19"/>
    </row>
    <row r="182" spans="14:14" x14ac:dyDescent="0.25">
      <c r="N182" s="19"/>
    </row>
    <row r="183" spans="14:14" x14ac:dyDescent="0.25">
      <c r="N183" s="19"/>
    </row>
    <row r="184" spans="14:14" x14ac:dyDescent="0.25">
      <c r="N184" s="19"/>
    </row>
    <row r="185" spans="14:14" x14ac:dyDescent="0.25">
      <c r="N185" s="19"/>
    </row>
    <row r="186" spans="14:14" x14ac:dyDescent="0.25">
      <c r="N186" s="19"/>
    </row>
    <row r="187" spans="14:14" x14ac:dyDescent="0.25">
      <c r="N187" s="19"/>
    </row>
    <row r="188" spans="14:14" x14ac:dyDescent="0.25">
      <c r="N188" s="19"/>
    </row>
    <row r="189" spans="14:14" x14ac:dyDescent="0.25">
      <c r="N189" s="19"/>
    </row>
    <row r="190" spans="14:14" x14ac:dyDescent="0.25">
      <c r="N190" s="19"/>
    </row>
    <row r="191" spans="14:14" x14ac:dyDescent="0.25">
      <c r="N191" s="19"/>
    </row>
    <row r="192" spans="14:14" x14ac:dyDescent="0.25">
      <c r="N192" s="19"/>
    </row>
    <row r="193" spans="14:14" x14ac:dyDescent="0.25">
      <c r="N193" s="19"/>
    </row>
    <row r="194" spans="14:14" x14ac:dyDescent="0.25">
      <c r="N194" s="19"/>
    </row>
    <row r="195" spans="14:14" x14ac:dyDescent="0.25">
      <c r="N195" s="19"/>
    </row>
    <row r="196" spans="14:14" x14ac:dyDescent="0.25">
      <c r="N196" s="19"/>
    </row>
    <row r="197" spans="14:14" x14ac:dyDescent="0.25">
      <c r="N197" s="19"/>
    </row>
    <row r="198" spans="14:14" x14ac:dyDescent="0.25">
      <c r="N198" s="19"/>
    </row>
    <row r="199" spans="14:14" x14ac:dyDescent="0.25">
      <c r="N199" s="19"/>
    </row>
    <row r="200" spans="14:14" x14ac:dyDescent="0.25">
      <c r="N200" s="19"/>
    </row>
    <row r="201" spans="14:14" x14ac:dyDescent="0.25">
      <c r="N201" s="19"/>
    </row>
    <row r="202" spans="14:14" x14ac:dyDescent="0.25">
      <c r="N202" s="19"/>
    </row>
    <row r="203" spans="14:14" x14ac:dyDescent="0.25">
      <c r="N203" s="19"/>
    </row>
    <row r="204" spans="14:14" x14ac:dyDescent="0.25">
      <c r="N204" s="19"/>
    </row>
    <row r="205" spans="14:14" x14ac:dyDescent="0.25">
      <c r="N205" s="19"/>
    </row>
    <row r="206" spans="14:14" x14ac:dyDescent="0.25">
      <c r="N206" s="19"/>
    </row>
    <row r="207" spans="14:14" x14ac:dyDescent="0.25">
      <c r="N207" s="19"/>
    </row>
    <row r="208" spans="14:14" x14ac:dyDescent="0.25">
      <c r="N208" s="19"/>
    </row>
    <row r="209" spans="14:14" x14ac:dyDescent="0.25">
      <c r="N209" s="19"/>
    </row>
    <row r="210" spans="14:14" x14ac:dyDescent="0.25">
      <c r="N210" s="19"/>
    </row>
    <row r="211" spans="14:14" x14ac:dyDescent="0.25">
      <c r="N211" s="19"/>
    </row>
    <row r="212" spans="14:14" x14ac:dyDescent="0.25">
      <c r="N212" s="19"/>
    </row>
    <row r="213" spans="14:14" x14ac:dyDescent="0.25">
      <c r="N213" s="19"/>
    </row>
    <row r="214" spans="14:14" x14ac:dyDescent="0.25">
      <c r="N214" s="19"/>
    </row>
    <row r="215" spans="14:14" x14ac:dyDescent="0.25">
      <c r="N215" s="19"/>
    </row>
    <row r="216" spans="14:14" x14ac:dyDescent="0.25">
      <c r="N216" s="19"/>
    </row>
    <row r="217" spans="14:14" x14ac:dyDescent="0.25">
      <c r="N217" s="19"/>
    </row>
    <row r="218" spans="14:14" x14ac:dyDescent="0.25">
      <c r="N218" s="19"/>
    </row>
    <row r="219" spans="14:14" x14ac:dyDescent="0.25">
      <c r="N219" s="19"/>
    </row>
    <row r="220" spans="14:14" x14ac:dyDescent="0.25">
      <c r="N220" s="19"/>
    </row>
    <row r="221" spans="14:14" x14ac:dyDescent="0.25">
      <c r="N221" s="19"/>
    </row>
    <row r="222" spans="14:14" x14ac:dyDescent="0.25">
      <c r="N222" s="19"/>
    </row>
    <row r="223" spans="14:14" x14ac:dyDescent="0.25">
      <c r="N223" s="19"/>
    </row>
    <row r="224" spans="14:14" x14ac:dyDescent="0.25">
      <c r="N224" s="19"/>
    </row>
    <row r="225" spans="14:14" x14ac:dyDescent="0.25">
      <c r="N225" s="19"/>
    </row>
    <row r="226" spans="14:14" x14ac:dyDescent="0.25">
      <c r="N226" s="19"/>
    </row>
    <row r="227" spans="14:14" x14ac:dyDescent="0.25">
      <c r="N227" s="19"/>
    </row>
    <row r="228" spans="14:14" x14ac:dyDescent="0.25">
      <c r="N228" s="19"/>
    </row>
    <row r="229" spans="14:14" x14ac:dyDescent="0.25">
      <c r="N229" s="19"/>
    </row>
    <row r="230" spans="14:14" x14ac:dyDescent="0.25">
      <c r="N230" s="19"/>
    </row>
    <row r="231" spans="14:14" x14ac:dyDescent="0.25">
      <c r="N231" s="19"/>
    </row>
    <row r="232" spans="14:14" x14ac:dyDescent="0.25">
      <c r="N232" s="19"/>
    </row>
    <row r="233" spans="14:14" x14ac:dyDescent="0.25">
      <c r="N233" s="19"/>
    </row>
    <row r="234" spans="14:14" x14ac:dyDescent="0.25">
      <c r="N234" s="19"/>
    </row>
    <row r="235" spans="14:14" x14ac:dyDescent="0.25">
      <c r="N235" s="19"/>
    </row>
    <row r="236" spans="14:14" x14ac:dyDescent="0.25">
      <c r="N236" s="19"/>
    </row>
    <row r="237" spans="14:14" x14ac:dyDescent="0.25">
      <c r="N237" s="19"/>
    </row>
    <row r="238" spans="14:14" x14ac:dyDescent="0.25">
      <c r="N238" s="19"/>
    </row>
    <row r="239" spans="14:14" x14ac:dyDescent="0.25">
      <c r="N239" s="19"/>
    </row>
    <row r="240" spans="14:14" x14ac:dyDescent="0.25">
      <c r="N240" s="19"/>
    </row>
    <row r="241" spans="14:14" x14ac:dyDescent="0.25">
      <c r="N241" s="19"/>
    </row>
    <row r="242" spans="14:14" x14ac:dyDescent="0.25">
      <c r="N242" s="19"/>
    </row>
    <row r="243" spans="14:14" x14ac:dyDescent="0.25">
      <c r="N243" s="19"/>
    </row>
    <row r="244" spans="14:14" x14ac:dyDescent="0.25">
      <c r="N244" s="19"/>
    </row>
    <row r="245" spans="14:14" x14ac:dyDescent="0.25">
      <c r="N245" s="19"/>
    </row>
    <row r="246" spans="14:14" x14ac:dyDescent="0.25">
      <c r="N246" s="19"/>
    </row>
    <row r="247" spans="14:14" x14ac:dyDescent="0.25">
      <c r="N247" s="19"/>
    </row>
    <row r="248" spans="14:14" x14ac:dyDescent="0.25">
      <c r="N248" s="19"/>
    </row>
    <row r="249" spans="14:14" x14ac:dyDescent="0.25">
      <c r="N249" s="19"/>
    </row>
    <row r="250" spans="14:14" x14ac:dyDescent="0.25">
      <c r="N250" s="19"/>
    </row>
    <row r="251" spans="14:14" x14ac:dyDescent="0.25">
      <c r="N251" s="19"/>
    </row>
    <row r="252" spans="14:14" x14ac:dyDescent="0.25">
      <c r="N252" s="19"/>
    </row>
    <row r="253" spans="14:14" x14ac:dyDescent="0.25">
      <c r="N253" s="19"/>
    </row>
    <row r="254" spans="14:14" x14ac:dyDescent="0.25">
      <c r="N254" s="19"/>
    </row>
    <row r="255" spans="14:14" x14ac:dyDescent="0.25">
      <c r="N255" s="19"/>
    </row>
    <row r="256" spans="14:14" x14ac:dyDescent="0.25">
      <c r="N256" s="19"/>
    </row>
    <row r="257" spans="14:14" x14ac:dyDescent="0.25">
      <c r="N257" s="19"/>
    </row>
    <row r="258" spans="14:14" x14ac:dyDescent="0.25">
      <c r="N258" s="19"/>
    </row>
    <row r="259" spans="14:14" x14ac:dyDescent="0.25">
      <c r="N259" s="19"/>
    </row>
    <row r="260" spans="14:14" x14ac:dyDescent="0.25">
      <c r="N260" s="19"/>
    </row>
    <row r="261" spans="14:14" x14ac:dyDescent="0.25">
      <c r="N261" s="19"/>
    </row>
    <row r="262" spans="14:14" x14ac:dyDescent="0.25">
      <c r="N262" s="19"/>
    </row>
    <row r="263" spans="14:14" x14ac:dyDescent="0.25">
      <c r="N263" s="19"/>
    </row>
    <row r="264" spans="14:14" x14ac:dyDescent="0.25">
      <c r="N264" s="19"/>
    </row>
    <row r="265" spans="14:14" x14ac:dyDescent="0.25">
      <c r="N265" s="19"/>
    </row>
    <row r="266" spans="14:14" x14ac:dyDescent="0.25">
      <c r="N266" s="19"/>
    </row>
    <row r="267" spans="14:14" x14ac:dyDescent="0.25">
      <c r="N267" s="19"/>
    </row>
    <row r="268" spans="14:14" x14ac:dyDescent="0.25">
      <c r="N268" s="19"/>
    </row>
    <row r="269" spans="14:14" x14ac:dyDescent="0.25">
      <c r="N269" s="19"/>
    </row>
    <row r="270" spans="14:14" x14ac:dyDescent="0.25">
      <c r="N270" s="19"/>
    </row>
    <row r="271" spans="14:14" x14ac:dyDescent="0.25">
      <c r="N271" s="19"/>
    </row>
    <row r="272" spans="14:14" x14ac:dyDescent="0.25">
      <c r="N272" s="19"/>
    </row>
    <row r="273" spans="14:14" x14ac:dyDescent="0.25">
      <c r="N273" s="19"/>
    </row>
    <row r="274" spans="14:14" x14ac:dyDescent="0.25">
      <c r="N274" s="19"/>
    </row>
    <row r="275" spans="14:14" x14ac:dyDescent="0.25">
      <c r="N275" s="19"/>
    </row>
    <row r="276" spans="14:14" x14ac:dyDescent="0.25">
      <c r="N276" s="19"/>
    </row>
    <row r="277" spans="14:14" x14ac:dyDescent="0.25">
      <c r="N277" s="19"/>
    </row>
    <row r="278" spans="14:14" x14ac:dyDescent="0.25">
      <c r="N278" s="19"/>
    </row>
    <row r="279" spans="14:14" x14ac:dyDescent="0.25">
      <c r="N279" s="19"/>
    </row>
    <row r="280" spans="14:14" x14ac:dyDescent="0.25">
      <c r="N280" s="19"/>
    </row>
    <row r="281" spans="14:14" x14ac:dyDescent="0.25">
      <c r="N281" s="19"/>
    </row>
    <row r="282" spans="14:14" x14ac:dyDescent="0.25">
      <c r="N282" s="19"/>
    </row>
    <row r="283" spans="14:14" x14ac:dyDescent="0.25">
      <c r="N283" s="19"/>
    </row>
    <row r="284" spans="14:14" x14ac:dyDescent="0.25">
      <c r="N284" s="19"/>
    </row>
    <row r="285" spans="14:14" x14ac:dyDescent="0.25">
      <c r="N285" s="19"/>
    </row>
    <row r="286" spans="14:14" x14ac:dyDescent="0.25">
      <c r="N286" s="19"/>
    </row>
    <row r="287" spans="14:14" x14ac:dyDescent="0.25">
      <c r="N287" s="19"/>
    </row>
    <row r="288" spans="14:14" x14ac:dyDescent="0.25">
      <c r="N288" s="19"/>
    </row>
    <row r="289" spans="14:14" x14ac:dyDescent="0.25">
      <c r="N289" s="19"/>
    </row>
    <row r="290" spans="14:14" x14ac:dyDescent="0.25">
      <c r="N290" s="19"/>
    </row>
    <row r="291" spans="14:14" x14ac:dyDescent="0.25">
      <c r="N291" s="19"/>
    </row>
    <row r="292" spans="14:14" x14ac:dyDescent="0.25">
      <c r="N292" s="19"/>
    </row>
    <row r="293" spans="14:14" x14ac:dyDescent="0.25">
      <c r="N293" s="19"/>
    </row>
    <row r="294" spans="14:14" x14ac:dyDescent="0.25">
      <c r="N294" s="19"/>
    </row>
    <row r="295" spans="14:14" x14ac:dyDescent="0.25">
      <c r="N295" s="19"/>
    </row>
    <row r="296" spans="14:14" x14ac:dyDescent="0.25">
      <c r="N296" s="19"/>
    </row>
    <row r="297" spans="14:14" x14ac:dyDescent="0.25">
      <c r="N297" s="19"/>
    </row>
    <row r="298" spans="14:14" x14ac:dyDescent="0.25">
      <c r="N298" s="19"/>
    </row>
    <row r="299" spans="14:14" x14ac:dyDescent="0.25">
      <c r="N299" s="19"/>
    </row>
    <row r="300" spans="14:14" x14ac:dyDescent="0.25">
      <c r="N300" s="19"/>
    </row>
    <row r="301" spans="14:14" x14ac:dyDescent="0.25">
      <c r="N301" s="19"/>
    </row>
    <row r="302" spans="14:14" x14ac:dyDescent="0.25">
      <c r="N302" s="19"/>
    </row>
    <row r="303" spans="14:14" x14ac:dyDescent="0.25">
      <c r="N303" s="19"/>
    </row>
    <row r="304" spans="14:14" x14ac:dyDescent="0.25">
      <c r="N304" s="19"/>
    </row>
    <row r="305" spans="14:14" x14ac:dyDescent="0.25">
      <c r="N305" s="19"/>
    </row>
    <row r="306" spans="14:14" x14ac:dyDescent="0.25">
      <c r="N306" s="19"/>
    </row>
    <row r="307" spans="14:14" x14ac:dyDescent="0.25">
      <c r="N307" s="19"/>
    </row>
    <row r="308" spans="14:14" x14ac:dyDescent="0.25">
      <c r="N308" s="19"/>
    </row>
    <row r="309" spans="14:14" x14ac:dyDescent="0.25">
      <c r="N309" s="19"/>
    </row>
    <row r="310" spans="14:14" x14ac:dyDescent="0.25">
      <c r="N310" s="19"/>
    </row>
    <row r="311" spans="14:14" x14ac:dyDescent="0.25">
      <c r="N311" s="19"/>
    </row>
    <row r="312" spans="14:14" x14ac:dyDescent="0.25">
      <c r="N312" s="19"/>
    </row>
    <row r="313" spans="14:14" x14ac:dyDescent="0.25">
      <c r="N313" s="19"/>
    </row>
    <row r="314" spans="14:14" x14ac:dyDescent="0.25">
      <c r="N314" s="19"/>
    </row>
    <row r="315" spans="14:14" x14ac:dyDescent="0.25">
      <c r="N315" s="19"/>
    </row>
    <row r="316" spans="14:14" x14ac:dyDescent="0.25">
      <c r="N316" s="19"/>
    </row>
    <row r="317" spans="14:14" x14ac:dyDescent="0.25">
      <c r="N317" s="19"/>
    </row>
    <row r="318" spans="14:14" x14ac:dyDescent="0.25">
      <c r="N318" s="19"/>
    </row>
    <row r="319" spans="14:14" x14ac:dyDescent="0.25">
      <c r="N319" s="19"/>
    </row>
    <row r="320" spans="14:14" x14ac:dyDescent="0.25">
      <c r="N320" s="19"/>
    </row>
    <row r="321" spans="14:14" x14ac:dyDescent="0.25">
      <c r="N321" s="19"/>
    </row>
    <row r="322" spans="14:14" x14ac:dyDescent="0.25">
      <c r="N322" s="19"/>
    </row>
    <row r="323" spans="14:14" x14ac:dyDescent="0.25">
      <c r="N323" s="19"/>
    </row>
    <row r="324" spans="14:14" x14ac:dyDescent="0.25">
      <c r="N324" s="19"/>
    </row>
    <row r="325" spans="14:14" x14ac:dyDescent="0.25">
      <c r="N325" s="19"/>
    </row>
    <row r="326" spans="14:14" x14ac:dyDescent="0.25">
      <c r="N326" s="19"/>
    </row>
    <row r="327" spans="14:14" x14ac:dyDescent="0.25">
      <c r="N327" s="19"/>
    </row>
    <row r="328" spans="14:14" x14ac:dyDescent="0.25">
      <c r="N328" s="19"/>
    </row>
    <row r="329" spans="14:14" x14ac:dyDescent="0.25">
      <c r="N329" s="19"/>
    </row>
    <row r="330" spans="14:14" x14ac:dyDescent="0.25">
      <c r="N330" s="19"/>
    </row>
    <row r="331" spans="14:14" x14ac:dyDescent="0.25">
      <c r="N331" s="19"/>
    </row>
    <row r="332" spans="14:14" x14ac:dyDescent="0.25">
      <c r="N332" s="19"/>
    </row>
    <row r="333" spans="14:14" x14ac:dyDescent="0.25">
      <c r="N333" s="19"/>
    </row>
    <row r="334" spans="14:14" x14ac:dyDescent="0.25">
      <c r="N334" s="19"/>
    </row>
    <row r="335" spans="14:14" x14ac:dyDescent="0.25">
      <c r="N335" s="19"/>
    </row>
    <row r="336" spans="14:14" x14ac:dyDescent="0.25">
      <c r="N336" s="19"/>
    </row>
    <row r="337" spans="2:14" x14ac:dyDescent="0.25">
      <c r="N337" s="19"/>
    </row>
    <row r="338" spans="2:14" x14ac:dyDescent="0.25">
      <c r="N338" s="19"/>
    </row>
    <row r="339" spans="2:14" x14ac:dyDescent="0.25">
      <c r="B339" s="1"/>
      <c r="C339" s="1"/>
      <c r="D339" s="1"/>
      <c r="E339" s="1"/>
      <c r="F339" s="1"/>
      <c r="G339" s="1"/>
      <c r="H339" s="1"/>
      <c r="I339" s="1"/>
      <c r="J339" s="1"/>
      <c r="K339" s="1"/>
      <c r="L339" s="1"/>
      <c r="M339" s="1"/>
      <c r="N339" s="19"/>
    </row>
    <row r="340" spans="2:14" x14ac:dyDescent="0.25">
      <c r="B340" s="1"/>
      <c r="C340" s="1"/>
      <c r="D340" s="1"/>
      <c r="E340" s="1"/>
      <c r="F340" s="1"/>
      <c r="G340" s="1"/>
      <c r="H340" s="1"/>
      <c r="I340" s="1"/>
      <c r="J340" s="1"/>
      <c r="K340" s="1"/>
      <c r="L340" s="1"/>
      <c r="M340" s="1"/>
      <c r="N340" s="19"/>
    </row>
    <row r="341" spans="2:14" x14ac:dyDescent="0.25">
      <c r="B341" s="1"/>
      <c r="C341" s="1"/>
      <c r="D341" s="1"/>
      <c r="E341" s="1"/>
      <c r="F341" s="1"/>
      <c r="G341" s="1"/>
      <c r="H341" s="1"/>
      <c r="I341" s="1"/>
      <c r="J341" s="1"/>
      <c r="K341" s="1"/>
      <c r="L341" s="1"/>
      <c r="M341" s="1"/>
      <c r="N341" s="19"/>
    </row>
    <row r="342" spans="2:14" x14ac:dyDescent="0.25">
      <c r="B342" s="1"/>
      <c r="C342" s="1"/>
      <c r="D342" s="1"/>
      <c r="E342" s="1"/>
      <c r="F342" s="1"/>
      <c r="G342" s="1"/>
      <c r="H342" s="1"/>
      <c r="I342" s="1"/>
      <c r="J342" s="1"/>
      <c r="K342" s="1"/>
      <c r="L342" s="1"/>
      <c r="M342" s="1"/>
      <c r="N342" s="19"/>
    </row>
    <row r="343" spans="2:14" x14ac:dyDescent="0.25">
      <c r="B343" s="1"/>
      <c r="C343" s="1"/>
      <c r="D343" s="1"/>
      <c r="E343" s="1"/>
      <c r="F343" s="1"/>
      <c r="G343" s="1"/>
      <c r="H343" s="1"/>
      <c r="I343" s="1"/>
      <c r="J343" s="1"/>
      <c r="K343" s="1"/>
      <c r="L343" s="1"/>
      <c r="M343" s="1"/>
      <c r="N343" s="19"/>
    </row>
    <row r="344" spans="2:14" x14ac:dyDescent="0.25">
      <c r="B344" s="1"/>
      <c r="C344" s="1"/>
      <c r="D344" s="1"/>
      <c r="E344" s="1"/>
      <c r="F344" s="1"/>
      <c r="G344" s="1"/>
      <c r="H344" s="1"/>
      <c r="I344" s="1"/>
      <c r="J344" s="1"/>
      <c r="K344" s="1"/>
      <c r="L344" s="1"/>
      <c r="M344" s="1"/>
      <c r="N344" s="19"/>
    </row>
    <row r="345" spans="2:14" x14ac:dyDescent="0.25">
      <c r="B345" s="1"/>
      <c r="C345" s="1"/>
      <c r="D345" s="1"/>
      <c r="E345" s="1"/>
      <c r="F345" s="1"/>
      <c r="G345" s="1"/>
      <c r="H345" s="1"/>
      <c r="I345" s="1"/>
      <c r="J345" s="1"/>
      <c r="K345" s="1"/>
      <c r="L345" s="1"/>
      <c r="M345" s="1"/>
      <c r="N345" s="19"/>
    </row>
    <row r="346" spans="2:14" x14ac:dyDescent="0.25">
      <c r="B346" s="1"/>
      <c r="C346" s="1"/>
      <c r="D346" s="1"/>
      <c r="E346" s="1"/>
      <c r="F346" s="1"/>
      <c r="G346" s="1"/>
      <c r="H346" s="1"/>
      <c r="I346" s="1"/>
      <c r="J346" s="1"/>
      <c r="K346" s="1"/>
      <c r="L346" s="1"/>
      <c r="M346" s="1"/>
      <c r="N346" s="19"/>
    </row>
    <row r="347" spans="2:14" x14ac:dyDescent="0.25">
      <c r="B347" s="1"/>
      <c r="C347" s="1"/>
      <c r="D347" s="1"/>
      <c r="E347" s="1"/>
      <c r="F347" s="1"/>
      <c r="G347" s="1"/>
      <c r="H347" s="1"/>
      <c r="I347" s="1"/>
      <c r="J347" s="1"/>
      <c r="K347" s="1"/>
      <c r="L347" s="1"/>
      <c r="M347" s="1"/>
      <c r="N347" s="19"/>
    </row>
    <row r="348" spans="2:14" x14ac:dyDescent="0.25">
      <c r="B348" s="1"/>
      <c r="C348" s="1"/>
      <c r="D348" s="1"/>
      <c r="E348" s="1"/>
      <c r="F348" s="1"/>
      <c r="G348" s="1"/>
      <c r="H348" s="1"/>
      <c r="I348" s="1"/>
      <c r="J348" s="1"/>
      <c r="K348" s="1"/>
      <c r="L348" s="1"/>
      <c r="M348" s="1"/>
      <c r="N348" s="19"/>
    </row>
    <row r="349" spans="2:14" x14ac:dyDescent="0.25">
      <c r="B349" s="1"/>
      <c r="C349" s="1"/>
      <c r="D349" s="1"/>
      <c r="E349" s="1"/>
      <c r="F349" s="1"/>
      <c r="G349" s="1"/>
      <c r="H349" s="1"/>
      <c r="I349" s="1"/>
      <c r="J349" s="1"/>
      <c r="K349" s="1"/>
      <c r="L349" s="1"/>
      <c r="M349" s="1"/>
      <c r="N349" s="19"/>
    </row>
    <row r="350" spans="2:14" x14ac:dyDescent="0.25">
      <c r="B350" s="1"/>
      <c r="C350" s="1"/>
      <c r="D350" s="1"/>
      <c r="E350" s="1"/>
      <c r="F350" s="1"/>
      <c r="G350" s="1"/>
      <c r="H350" s="1"/>
      <c r="I350" s="1"/>
      <c r="J350" s="1"/>
      <c r="K350" s="1"/>
      <c r="L350" s="1"/>
      <c r="M350" s="1"/>
      <c r="N350" s="19"/>
    </row>
    <row r="351" spans="2:14" x14ac:dyDescent="0.25">
      <c r="B351" s="1"/>
      <c r="C351" s="1"/>
      <c r="D351" s="1"/>
      <c r="E351" s="1"/>
      <c r="F351" s="1"/>
      <c r="G351" s="1"/>
      <c r="H351" s="1"/>
      <c r="I351" s="1"/>
      <c r="J351" s="1"/>
      <c r="K351" s="1"/>
      <c r="L351" s="1"/>
      <c r="M351" s="1"/>
      <c r="N351" s="19"/>
    </row>
    <row r="352" spans="2:14" x14ac:dyDescent="0.25">
      <c r="B352" s="1"/>
      <c r="C352" s="1"/>
      <c r="D352" s="1"/>
      <c r="E352" s="1"/>
      <c r="F352" s="1"/>
      <c r="G352" s="1"/>
      <c r="H352" s="1"/>
      <c r="I352" s="1"/>
      <c r="J352" s="1"/>
      <c r="K352" s="1"/>
      <c r="L352" s="1"/>
      <c r="M352" s="1"/>
      <c r="N352" s="19"/>
    </row>
    <row r="353" spans="2:14" x14ac:dyDescent="0.25">
      <c r="B353" s="1"/>
      <c r="C353" s="1"/>
      <c r="D353" s="1"/>
      <c r="E353" s="1"/>
      <c r="F353" s="1"/>
      <c r="G353" s="1"/>
      <c r="H353" s="1"/>
      <c r="I353" s="1"/>
      <c r="J353" s="1"/>
      <c r="K353" s="1"/>
      <c r="L353" s="1"/>
      <c r="M353" s="1"/>
      <c r="N353" s="19"/>
    </row>
    <row r="354" spans="2:14" x14ac:dyDescent="0.25">
      <c r="B354" s="1"/>
      <c r="C354" s="1"/>
      <c r="D354" s="1"/>
      <c r="E354" s="1"/>
      <c r="F354" s="1"/>
      <c r="G354" s="1"/>
      <c r="H354" s="1"/>
      <c r="I354" s="1"/>
      <c r="J354" s="1"/>
      <c r="K354" s="1"/>
      <c r="L354" s="1"/>
      <c r="M354" s="1"/>
      <c r="N354" s="19"/>
    </row>
    <row r="355" spans="2:14" x14ac:dyDescent="0.25">
      <c r="B355" s="1"/>
      <c r="C355" s="1"/>
      <c r="D355" s="1"/>
      <c r="E355" s="1"/>
      <c r="F355" s="1"/>
      <c r="G355" s="1"/>
      <c r="H355" s="1"/>
      <c r="I355" s="1"/>
      <c r="J355" s="1"/>
      <c r="K355" s="1"/>
      <c r="L355" s="1"/>
      <c r="M355" s="1"/>
      <c r="N355" s="19"/>
    </row>
    <row r="356" spans="2:14" x14ac:dyDescent="0.25">
      <c r="B356" s="1"/>
      <c r="C356" s="1"/>
      <c r="D356" s="1"/>
      <c r="E356" s="1"/>
      <c r="F356" s="1"/>
      <c r="G356" s="1"/>
      <c r="H356" s="1"/>
      <c r="I356" s="1"/>
      <c r="J356" s="1"/>
      <c r="K356" s="1"/>
      <c r="L356" s="1"/>
      <c r="M356" s="1"/>
      <c r="N356" s="19"/>
    </row>
    <row r="357" spans="2:14" x14ac:dyDescent="0.25">
      <c r="B357" s="1"/>
      <c r="C357" s="1"/>
      <c r="D357" s="1"/>
      <c r="E357" s="1"/>
      <c r="F357" s="1"/>
      <c r="G357" s="1"/>
      <c r="H357" s="1"/>
      <c r="I357" s="1"/>
      <c r="J357" s="1"/>
      <c r="K357" s="1"/>
      <c r="L357" s="1"/>
      <c r="M357" s="1"/>
      <c r="N357" s="19"/>
    </row>
    <row r="358" spans="2:14" x14ac:dyDescent="0.25">
      <c r="B358" s="1"/>
      <c r="C358" s="1"/>
      <c r="D358" s="1"/>
      <c r="E358" s="1"/>
      <c r="F358" s="1"/>
      <c r="G358" s="1"/>
      <c r="H358" s="1"/>
      <c r="I358" s="1"/>
      <c r="J358" s="1"/>
      <c r="K358" s="1"/>
      <c r="L358" s="1"/>
      <c r="M358" s="1"/>
      <c r="N358" s="19"/>
    </row>
    <row r="359" spans="2:14" x14ac:dyDescent="0.25">
      <c r="B359" s="1"/>
      <c r="C359" s="1"/>
      <c r="D359" s="1"/>
      <c r="E359" s="1"/>
      <c r="F359" s="1"/>
      <c r="G359" s="1"/>
      <c r="H359" s="1"/>
      <c r="I359" s="1"/>
      <c r="J359" s="1"/>
      <c r="K359" s="1"/>
      <c r="L359" s="1"/>
      <c r="M359" s="1"/>
      <c r="N359" s="19"/>
    </row>
    <row r="360" spans="2:14" x14ac:dyDescent="0.25">
      <c r="B360" s="1"/>
      <c r="C360" s="1"/>
      <c r="D360" s="1"/>
      <c r="E360" s="1"/>
      <c r="F360" s="1"/>
      <c r="G360" s="1"/>
      <c r="H360" s="1"/>
      <c r="I360" s="1"/>
      <c r="J360" s="1"/>
      <c r="K360" s="1"/>
      <c r="L360" s="1"/>
      <c r="M360" s="1"/>
      <c r="N360" s="19"/>
    </row>
    <row r="361" spans="2:14" x14ac:dyDescent="0.25">
      <c r="B361" s="1"/>
      <c r="C361" s="1"/>
      <c r="D361" s="1"/>
      <c r="E361" s="1"/>
      <c r="F361" s="1"/>
      <c r="G361" s="1"/>
      <c r="H361" s="1"/>
      <c r="I361" s="1"/>
      <c r="J361" s="1"/>
      <c r="K361" s="1"/>
      <c r="L361" s="1"/>
      <c r="M361" s="1"/>
      <c r="N361" s="19"/>
    </row>
    <row r="362" spans="2:14" x14ac:dyDescent="0.25">
      <c r="B362" s="1"/>
      <c r="C362" s="1"/>
      <c r="D362" s="1"/>
      <c r="E362" s="1"/>
      <c r="F362" s="1"/>
      <c r="G362" s="1"/>
      <c r="H362" s="1"/>
      <c r="I362" s="1"/>
      <c r="J362" s="1"/>
      <c r="K362" s="1"/>
      <c r="L362" s="1"/>
      <c r="M362" s="1"/>
      <c r="N362" s="19"/>
    </row>
    <row r="363" spans="2:14" x14ac:dyDescent="0.25">
      <c r="B363" s="1"/>
      <c r="C363" s="1"/>
      <c r="D363" s="1"/>
      <c r="E363" s="1"/>
      <c r="F363" s="1"/>
      <c r="G363" s="1"/>
      <c r="H363" s="1"/>
      <c r="I363" s="1"/>
      <c r="J363" s="1"/>
      <c r="K363" s="1"/>
      <c r="L363" s="1"/>
      <c r="M363" s="1"/>
      <c r="N363" s="19"/>
    </row>
    <row r="364" spans="2:14" x14ac:dyDescent="0.25">
      <c r="B364" s="1"/>
      <c r="C364" s="1"/>
      <c r="D364" s="1"/>
      <c r="E364" s="1"/>
      <c r="F364" s="1"/>
      <c r="G364" s="1"/>
      <c r="H364" s="1"/>
      <c r="I364" s="1"/>
      <c r="J364" s="1"/>
      <c r="K364" s="1"/>
      <c r="L364" s="1"/>
      <c r="M364" s="1"/>
      <c r="N364" s="19"/>
    </row>
    <row r="365" spans="2:14" x14ac:dyDescent="0.25">
      <c r="B365" s="1"/>
      <c r="C365" s="1"/>
      <c r="D365" s="1"/>
      <c r="E365" s="1"/>
      <c r="F365" s="1"/>
      <c r="G365" s="1"/>
      <c r="H365" s="1"/>
      <c r="I365" s="1"/>
      <c r="J365" s="1"/>
      <c r="K365" s="1"/>
      <c r="L365" s="1"/>
      <c r="M365" s="1"/>
      <c r="N365" s="19"/>
    </row>
    <row r="366" spans="2:14" x14ac:dyDescent="0.25">
      <c r="B366" s="1"/>
      <c r="C366" s="1"/>
      <c r="D366" s="1"/>
      <c r="E366" s="1"/>
      <c r="F366" s="1"/>
      <c r="G366" s="1"/>
      <c r="H366" s="1"/>
      <c r="I366" s="1"/>
      <c r="J366" s="1"/>
      <c r="K366" s="1"/>
      <c r="L366" s="1"/>
      <c r="M366" s="1"/>
      <c r="N366" s="19"/>
    </row>
    <row r="367" spans="2:14" x14ac:dyDescent="0.25">
      <c r="B367" s="1"/>
      <c r="C367" s="1"/>
      <c r="D367" s="1"/>
      <c r="E367" s="1"/>
      <c r="F367" s="1"/>
      <c r="G367" s="1"/>
      <c r="H367" s="1"/>
      <c r="I367" s="1"/>
      <c r="J367" s="1"/>
      <c r="K367" s="1"/>
      <c r="L367" s="1"/>
      <c r="M367" s="1"/>
      <c r="N367" s="19"/>
    </row>
    <row r="368" spans="2:14" x14ac:dyDescent="0.25">
      <c r="B368" s="1"/>
      <c r="C368" s="1"/>
      <c r="D368" s="1"/>
      <c r="E368" s="1"/>
      <c r="F368" s="1"/>
      <c r="G368" s="1"/>
      <c r="H368" s="1"/>
      <c r="I368" s="1"/>
      <c r="J368" s="1"/>
      <c r="K368" s="1"/>
      <c r="L368" s="1"/>
      <c r="M368" s="1"/>
    </row>
    <row r="369" spans="2:13" x14ac:dyDescent="0.25">
      <c r="B369" s="1"/>
      <c r="C369" s="1"/>
      <c r="D369" s="1"/>
      <c r="E369" s="1"/>
      <c r="F369" s="1"/>
      <c r="G369" s="1"/>
      <c r="H369" s="1"/>
      <c r="I369" s="1"/>
      <c r="J369" s="1"/>
      <c r="K369" s="1"/>
      <c r="L369" s="1"/>
      <c r="M369" s="1"/>
    </row>
  </sheetData>
  <mergeCells count="1">
    <mergeCell ref="F1:H1"/>
  </mergeCells>
  <pageMargins left="0.75" right="0.75" top="1" bottom="1" header="0.5" footer="0.5"/>
  <pageSetup orientation="portrait" horizontalDpi="4294967292" verticalDpi="4294967292"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CC"/>
  </sheetPr>
  <dimension ref="A1:AB329"/>
  <sheetViews>
    <sheetView zoomScaleNormal="100" workbookViewId="0">
      <pane ySplit="4" topLeftCell="A5" activePane="bottomLeft" state="frozen"/>
      <selection pane="bottomLeft" activeCell="W30" sqref="W30"/>
    </sheetView>
  </sheetViews>
  <sheetFormatPr defaultColWidth="11" defaultRowHeight="15.75" x14ac:dyDescent="0.25"/>
  <cols>
    <col min="1" max="1" width="30.875" customWidth="1"/>
    <col min="2" max="2" width="15.125" bestFit="1" customWidth="1"/>
    <col min="3" max="9" width="12.5" bestFit="1" customWidth="1"/>
    <col min="10" max="10" width="11.125" bestFit="1" customWidth="1"/>
    <col min="11" max="11" width="13.875" style="278" customWidth="1"/>
    <col min="12" max="12" width="13.875" customWidth="1"/>
    <col min="13" max="13" width="15.125" hidden="1" customWidth="1"/>
    <col min="14" max="14" width="11" style="124"/>
    <col min="23" max="28" width="11" style="19"/>
  </cols>
  <sheetData>
    <row r="1" spans="1:28" ht="18.75" x14ac:dyDescent="0.3">
      <c r="A1" s="36" t="s">
        <v>40</v>
      </c>
      <c r="F1" s="1020" t="s">
        <v>154</v>
      </c>
      <c r="G1" s="1020"/>
      <c r="H1" s="1020"/>
      <c r="J1" s="357"/>
      <c r="K1" s="295"/>
      <c r="L1" s="357"/>
      <c r="M1" s="357"/>
    </row>
    <row r="2" spans="1:28" x14ac:dyDescent="0.25">
      <c r="A2" s="2"/>
    </row>
    <row r="3" spans="1:28" x14ac:dyDescent="0.25">
      <c r="A3" s="2"/>
      <c r="B3" s="435" t="s">
        <v>58</v>
      </c>
      <c r="C3" s="360" t="s">
        <v>58</v>
      </c>
      <c r="D3" s="360" t="s">
        <v>58</v>
      </c>
      <c r="E3" s="360" t="s">
        <v>58</v>
      </c>
      <c r="F3" s="360" t="s">
        <v>58</v>
      </c>
      <c r="G3" s="360" t="s">
        <v>58</v>
      </c>
      <c r="H3" s="360" t="s">
        <v>58</v>
      </c>
      <c r="I3" s="360" t="s">
        <v>58</v>
      </c>
      <c r="J3" s="436" t="s">
        <v>58</v>
      </c>
      <c r="K3" s="435" t="s">
        <v>58</v>
      </c>
      <c r="L3" s="360" t="s">
        <v>58</v>
      </c>
      <c r="M3" s="441" t="s">
        <v>58</v>
      </c>
    </row>
    <row r="4" spans="1:28" x14ac:dyDescent="0.25">
      <c r="A4" s="2"/>
      <c r="B4" s="437" t="s">
        <v>55</v>
      </c>
      <c r="C4" s="205" t="s">
        <v>55</v>
      </c>
      <c r="D4" s="205" t="s">
        <v>55</v>
      </c>
      <c r="E4" s="205" t="s">
        <v>55</v>
      </c>
      <c r="F4" s="205" t="s">
        <v>55</v>
      </c>
      <c r="G4" s="205" t="s">
        <v>55</v>
      </c>
      <c r="H4" s="205" t="s">
        <v>55</v>
      </c>
      <c r="I4" s="205" t="s">
        <v>55</v>
      </c>
      <c r="J4" s="438" t="s">
        <v>55</v>
      </c>
      <c r="K4" s="437" t="s">
        <v>151</v>
      </c>
      <c r="L4" s="205" t="s">
        <v>56</v>
      </c>
      <c r="M4" s="442" t="s">
        <v>253</v>
      </c>
    </row>
    <row r="5" spans="1:28" ht="16.5" thickBot="1" x14ac:dyDescent="0.3">
      <c r="B5" s="439">
        <v>2009</v>
      </c>
      <c r="C5" s="367">
        <v>2010</v>
      </c>
      <c r="D5" s="367">
        <v>2011</v>
      </c>
      <c r="E5" s="367">
        <v>2012</v>
      </c>
      <c r="F5" s="367">
        <v>2013</v>
      </c>
      <c r="G5" s="367">
        <v>2014</v>
      </c>
      <c r="H5" s="367">
        <v>2015</v>
      </c>
      <c r="I5" s="367">
        <v>2016</v>
      </c>
      <c r="J5" s="440">
        <v>2017</v>
      </c>
      <c r="K5" s="439">
        <v>2018</v>
      </c>
      <c r="L5" s="367">
        <v>2019</v>
      </c>
      <c r="M5" s="456">
        <v>2018</v>
      </c>
      <c r="O5" s="2"/>
    </row>
    <row r="6" spans="1:28" s="278" customFormat="1" ht="18.75" x14ac:dyDescent="0.3">
      <c r="A6" s="850" t="s">
        <v>333</v>
      </c>
      <c r="B6" s="378"/>
      <c r="C6" s="371"/>
      <c r="D6" s="371"/>
      <c r="E6" s="371"/>
      <c r="F6" s="371"/>
      <c r="G6" s="371"/>
      <c r="H6" s="371"/>
      <c r="I6" s="371"/>
      <c r="J6" s="379"/>
      <c r="K6" s="463"/>
      <c r="L6" s="464"/>
      <c r="M6" s="379"/>
      <c r="N6" s="126"/>
      <c r="O6" s="2"/>
      <c r="W6" s="19"/>
      <c r="X6" s="19"/>
      <c r="Y6" s="19"/>
      <c r="Z6" s="19"/>
      <c r="AA6" s="19"/>
      <c r="AB6" s="19"/>
    </row>
    <row r="7" spans="1:28" x14ac:dyDescent="0.25">
      <c r="A7" s="851" t="s">
        <v>92</v>
      </c>
      <c r="B7" s="380">
        <v>270782</v>
      </c>
      <c r="C7" s="315">
        <v>155502</v>
      </c>
      <c r="D7" s="315">
        <f>10629+69137+61938+8077</f>
        <v>149781</v>
      </c>
      <c r="E7" s="315">
        <f>13836+84525+121098</f>
        <v>219459</v>
      </c>
      <c r="F7" s="315">
        <f>17443+67671+16023+52669</f>
        <v>153806</v>
      </c>
      <c r="G7" s="315">
        <f>23466+63970+15602+84091+64401</f>
        <v>251530</v>
      </c>
      <c r="H7" s="315">
        <f>24727+60295+19793+40506+851</f>
        <v>146172</v>
      </c>
      <c r="I7" s="315">
        <f>24578+52390+19056+46498+927</f>
        <v>143449</v>
      </c>
      <c r="J7" s="381">
        <f>45895+471+38293+19944</f>
        <v>104603</v>
      </c>
      <c r="K7" s="315">
        <f>101144+48500</f>
        <v>149644</v>
      </c>
      <c r="L7" s="372">
        <f>54056+20200+20000</f>
        <v>94256</v>
      </c>
      <c r="M7" s="381">
        <f>53700+48500</f>
        <v>102200</v>
      </c>
      <c r="N7" s="121"/>
      <c r="O7" s="3"/>
    </row>
    <row r="8" spans="1:28" x14ac:dyDescent="0.25">
      <c r="A8" s="852" t="s">
        <v>88</v>
      </c>
      <c r="B8" s="380">
        <v>0</v>
      </c>
      <c r="C8" s="315">
        <v>0</v>
      </c>
      <c r="D8" s="315">
        <v>0</v>
      </c>
      <c r="E8" s="315">
        <v>0</v>
      </c>
      <c r="F8" s="315">
        <v>0</v>
      </c>
      <c r="G8" s="315">
        <v>0</v>
      </c>
      <c r="H8" s="315">
        <v>0</v>
      </c>
      <c r="I8" s="315">
        <v>0</v>
      </c>
      <c r="J8" s="381">
        <v>0</v>
      </c>
      <c r="K8" s="315">
        <v>0</v>
      </c>
      <c r="L8" s="372">
        <v>0</v>
      </c>
      <c r="M8" s="381">
        <v>0</v>
      </c>
      <c r="N8" s="121"/>
      <c r="O8" s="3"/>
    </row>
    <row r="9" spans="1:28" x14ac:dyDescent="0.25">
      <c r="A9" s="853" t="s">
        <v>93</v>
      </c>
      <c r="B9" s="380">
        <v>0</v>
      </c>
      <c r="C9" s="315">
        <v>0</v>
      </c>
      <c r="D9" s="315">
        <v>0</v>
      </c>
      <c r="E9" s="315">
        <v>0</v>
      </c>
      <c r="F9" s="315">
        <v>0</v>
      </c>
      <c r="G9" s="315">
        <v>0</v>
      </c>
      <c r="H9" s="315">
        <v>0</v>
      </c>
      <c r="I9" s="315">
        <v>0</v>
      </c>
      <c r="J9" s="381">
        <v>0</v>
      </c>
      <c r="K9" s="315">
        <v>0</v>
      </c>
      <c r="L9" s="372">
        <v>0</v>
      </c>
      <c r="M9" s="381">
        <v>0</v>
      </c>
      <c r="N9" s="121"/>
      <c r="O9" s="3"/>
    </row>
    <row r="10" spans="1:28" x14ac:dyDescent="0.25">
      <c r="A10" s="854" t="s">
        <v>78</v>
      </c>
      <c r="B10" s="380">
        <v>193038</v>
      </c>
      <c r="C10" s="315">
        <f>128961</f>
        <v>128961</v>
      </c>
      <c r="D10" s="315">
        <f>220484</f>
        <v>220484</v>
      </c>
      <c r="E10" s="315">
        <v>209558</v>
      </c>
      <c r="F10" s="315">
        <v>241796</v>
      </c>
      <c r="G10" s="315">
        <v>265710</v>
      </c>
      <c r="H10" s="315">
        <v>435818</v>
      </c>
      <c r="I10" s="315">
        <v>439156</v>
      </c>
      <c r="J10" s="381">
        <v>235607</v>
      </c>
      <c r="K10" s="315">
        <v>459456</v>
      </c>
      <c r="L10" s="372">
        <v>405207</v>
      </c>
      <c r="M10" s="381">
        <v>459456</v>
      </c>
      <c r="N10" s="121"/>
      <c r="O10" s="3"/>
    </row>
    <row r="11" spans="1:28" ht="16.5" thickBot="1" x14ac:dyDescent="0.3">
      <c r="A11" s="856"/>
      <c r="B11" s="382"/>
      <c r="C11" s="369"/>
      <c r="D11" s="369"/>
      <c r="E11" s="369"/>
      <c r="F11" s="369"/>
      <c r="G11" s="369"/>
      <c r="H11" s="369"/>
      <c r="I11" s="369"/>
      <c r="J11" s="383"/>
      <c r="K11" s="369"/>
      <c r="L11" s="373"/>
      <c r="M11" s="383"/>
      <c r="N11" s="121"/>
      <c r="O11" s="2"/>
    </row>
    <row r="12" spans="1:28" ht="17.25" thickTop="1" thickBot="1" x14ac:dyDescent="0.3">
      <c r="A12" s="896" t="s">
        <v>100</v>
      </c>
      <c r="B12" s="475">
        <f>SUM(B7:B11)</f>
        <v>463820</v>
      </c>
      <c r="C12" s="476">
        <f>SUM(C7:C11)</f>
        <v>284463</v>
      </c>
      <c r="D12" s="476">
        <f>SUM(D7:D11)</f>
        <v>370265</v>
      </c>
      <c r="E12" s="476">
        <f>SUM(E7:E11)</f>
        <v>429017</v>
      </c>
      <c r="F12" s="476">
        <f t="shared" ref="F12:L12" si="0">SUM(F7:F11)</f>
        <v>395602</v>
      </c>
      <c r="G12" s="476">
        <f t="shared" si="0"/>
        <v>517240</v>
      </c>
      <c r="H12" s="476">
        <f t="shared" si="0"/>
        <v>581990</v>
      </c>
      <c r="I12" s="476">
        <f t="shared" si="0"/>
        <v>582605</v>
      </c>
      <c r="J12" s="477">
        <f t="shared" si="0"/>
        <v>340210</v>
      </c>
      <c r="K12" s="476">
        <f>SUM(K7:K11)</f>
        <v>609100</v>
      </c>
      <c r="L12" s="478">
        <f t="shared" si="0"/>
        <v>499463</v>
      </c>
      <c r="M12" s="433">
        <f>SUM(M7:M11)</f>
        <v>561656</v>
      </c>
      <c r="N12" s="126"/>
      <c r="O12" s="2"/>
    </row>
    <row r="13" spans="1:28" x14ac:dyDescent="0.25">
      <c r="A13" s="858"/>
      <c r="B13" s="407"/>
      <c r="C13" s="312"/>
      <c r="D13" s="312"/>
      <c r="E13" s="312"/>
      <c r="F13" s="312"/>
      <c r="G13" s="312"/>
      <c r="H13" s="312"/>
      <c r="I13" s="312"/>
      <c r="J13" s="400"/>
      <c r="K13" s="312"/>
      <c r="L13" s="444"/>
      <c r="M13" s="444"/>
      <c r="N13" s="126"/>
      <c r="O13" s="2"/>
      <c r="W13" s="19" t="s">
        <v>377</v>
      </c>
    </row>
    <row r="14" spans="1:28" ht="16.5" thickBot="1" x14ac:dyDescent="0.3">
      <c r="A14" s="874"/>
      <c r="B14" s="380"/>
      <c r="C14" s="313"/>
      <c r="D14" s="313"/>
      <c r="E14" s="313"/>
      <c r="F14" s="313"/>
      <c r="G14" s="313"/>
      <c r="H14" s="313"/>
      <c r="I14" s="313"/>
      <c r="J14" s="381"/>
      <c r="K14" s="313"/>
      <c r="L14" s="372"/>
      <c r="M14" s="372"/>
      <c r="N14" s="126"/>
      <c r="O14" s="2"/>
    </row>
    <row r="15" spans="1:28" ht="18.75" x14ac:dyDescent="0.3">
      <c r="A15" s="860" t="s">
        <v>332</v>
      </c>
      <c r="B15" s="521">
        <v>2009</v>
      </c>
      <c r="C15" s="522">
        <v>2010</v>
      </c>
      <c r="D15" s="522">
        <v>2011</v>
      </c>
      <c r="E15" s="522">
        <v>2012</v>
      </c>
      <c r="F15" s="522">
        <v>2013</v>
      </c>
      <c r="G15" s="522">
        <v>2014</v>
      </c>
      <c r="H15" s="522">
        <v>2015</v>
      </c>
      <c r="I15" s="522">
        <v>2016</v>
      </c>
      <c r="J15" s="523">
        <v>2017</v>
      </c>
      <c r="K15" s="522">
        <v>2018</v>
      </c>
      <c r="L15" s="524">
        <v>2019</v>
      </c>
      <c r="M15" s="520">
        <v>2018</v>
      </c>
      <c r="N15" s="535"/>
      <c r="O15" s="2"/>
    </row>
    <row r="16" spans="1:28" x14ac:dyDescent="0.25">
      <c r="A16" s="851" t="s">
        <v>92</v>
      </c>
      <c r="B16" s="380">
        <v>2705755</v>
      </c>
      <c r="C16" s="315">
        <v>2394183</v>
      </c>
      <c r="D16" s="315">
        <v>2318491</v>
      </c>
      <c r="E16" s="315">
        <v>2408997</v>
      </c>
      <c r="F16" s="315">
        <v>2799235</v>
      </c>
      <c r="G16" s="315">
        <v>3065549</v>
      </c>
      <c r="H16" s="315">
        <v>3158826</v>
      </c>
      <c r="I16" s="315">
        <v>3283976</v>
      </c>
      <c r="J16" s="381">
        <v>3762506</v>
      </c>
      <c r="K16" s="315">
        <v>4389757</v>
      </c>
      <c r="L16" s="372">
        <v>3230341</v>
      </c>
      <c r="M16" s="381">
        <v>4278817</v>
      </c>
      <c r="N16" s="126"/>
      <c r="O16" s="10"/>
    </row>
    <row r="17" spans="1:23" x14ac:dyDescent="0.25">
      <c r="A17" s="852" t="s">
        <v>88</v>
      </c>
      <c r="B17" s="380">
        <v>0</v>
      </c>
      <c r="C17" s="315">
        <v>0</v>
      </c>
      <c r="D17" s="315">
        <v>0</v>
      </c>
      <c r="E17" s="315">
        <v>0</v>
      </c>
      <c r="F17" s="315">
        <v>0</v>
      </c>
      <c r="G17" s="315">
        <v>0</v>
      </c>
      <c r="H17" s="315">
        <v>0</v>
      </c>
      <c r="I17" s="315">
        <v>0</v>
      </c>
      <c r="J17" s="381">
        <v>0</v>
      </c>
      <c r="K17" s="315">
        <v>0</v>
      </c>
      <c r="L17" s="372">
        <v>0</v>
      </c>
      <c r="M17" s="381">
        <v>0</v>
      </c>
      <c r="N17" s="127"/>
    </row>
    <row r="18" spans="1:23" x14ac:dyDescent="0.25">
      <c r="A18" s="853" t="s">
        <v>93</v>
      </c>
      <c r="B18" s="380">
        <v>0</v>
      </c>
      <c r="C18" s="315">
        <v>0</v>
      </c>
      <c r="D18" s="315">
        <v>0</v>
      </c>
      <c r="E18" s="315">
        <v>0</v>
      </c>
      <c r="F18" s="315">
        <v>0</v>
      </c>
      <c r="G18" s="315">
        <v>0</v>
      </c>
      <c r="H18" s="315">
        <v>0</v>
      </c>
      <c r="I18" s="315">
        <v>0</v>
      </c>
      <c r="J18" s="381">
        <v>0</v>
      </c>
      <c r="K18" s="315">
        <v>0</v>
      </c>
      <c r="L18" s="372">
        <v>0</v>
      </c>
      <c r="M18" s="381">
        <v>0</v>
      </c>
    </row>
    <row r="19" spans="1:23" x14ac:dyDescent="0.25">
      <c r="A19" s="854" t="s">
        <v>78</v>
      </c>
      <c r="B19" s="380">
        <v>199904</v>
      </c>
      <c r="C19" s="315">
        <f>1329251</f>
        <v>1329251</v>
      </c>
      <c r="D19" s="315">
        <f>2594910</f>
        <v>2594910</v>
      </c>
      <c r="E19" s="315">
        <v>250000</v>
      </c>
      <c r="F19" s="315">
        <v>10690</v>
      </c>
      <c r="G19" s="315">
        <v>3276</v>
      </c>
      <c r="H19" s="315">
        <v>0</v>
      </c>
      <c r="I19" s="315">
        <v>0</v>
      </c>
      <c r="J19" s="381">
        <v>0</v>
      </c>
      <c r="K19" s="315">
        <v>75000</v>
      </c>
      <c r="L19" s="372">
        <v>0</v>
      </c>
      <c r="M19" s="381">
        <v>0</v>
      </c>
      <c r="O19" s="1"/>
    </row>
    <row r="20" spans="1:23" ht="16.5" thickBot="1" x14ac:dyDescent="0.3">
      <c r="A20" s="907"/>
      <c r="B20" s="382"/>
      <c r="C20" s="369"/>
      <c r="D20" s="369"/>
      <c r="E20" s="369"/>
      <c r="F20" s="369"/>
      <c r="G20" s="369"/>
      <c r="H20" s="369"/>
      <c r="I20" s="369"/>
      <c r="J20" s="383"/>
      <c r="K20" s="369"/>
      <c r="L20" s="373"/>
      <c r="M20" s="383">
        <v>0</v>
      </c>
      <c r="N20" s="488"/>
      <c r="O20" s="1"/>
    </row>
    <row r="21" spans="1:23" ht="17.25" thickTop="1" thickBot="1" x14ac:dyDescent="0.3">
      <c r="A21" s="896" t="s">
        <v>102</v>
      </c>
      <c r="B21" s="475">
        <f t="shared" ref="B21:L21" si="1">SUM(B16:B19)</f>
        <v>2905659</v>
      </c>
      <c r="C21" s="476">
        <f t="shared" si="1"/>
        <v>3723434</v>
      </c>
      <c r="D21" s="476">
        <f t="shared" si="1"/>
        <v>4913401</v>
      </c>
      <c r="E21" s="476">
        <f t="shared" si="1"/>
        <v>2658997</v>
      </c>
      <c r="F21" s="476">
        <f t="shared" si="1"/>
        <v>2809925</v>
      </c>
      <c r="G21" s="476">
        <f t="shared" si="1"/>
        <v>3068825</v>
      </c>
      <c r="H21" s="476">
        <f t="shared" si="1"/>
        <v>3158826</v>
      </c>
      <c r="I21" s="476">
        <f t="shared" si="1"/>
        <v>3283976</v>
      </c>
      <c r="J21" s="477">
        <f t="shared" si="1"/>
        <v>3762506</v>
      </c>
      <c r="K21" s="476">
        <f>SUM(K16:K19)</f>
        <v>4464757</v>
      </c>
      <c r="L21" s="478">
        <f t="shared" si="1"/>
        <v>3230341</v>
      </c>
      <c r="M21" s="433">
        <f>SUM(M16:M19)</f>
        <v>4278817</v>
      </c>
      <c r="N21" s="488"/>
      <c r="O21" s="1"/>
    </row>
    <row r="22" spans="1:23" ht="18.75" x14ac:dyDescent="0.3">
      <c r="A22" s="861"/>
      <c r="B22" s="401"/>
      <c r="C22" s="120"/>
      <c r="D22" s="120"/>
      <c r="E22" s="120"/>
      <c r="F22" s="120"/>
      <c r="G22" s="120"/>
      <c r="H22" s="120"/>
      <c r="I22" s="120"/>
      <c r="J22" s="402"/>
      <c r="K22" s="120"/>
      <c r="L22" s="445"/>
      <c r="M22" s="445"/>
      <c r="N22" s="120"/>
      <c r="O22" s="1"/>
    </row>
    <row r="23" spans="1:23" x14ac:dyDescent="0.25">
      <c r="A23" s="875"/>
      <c r="B23" s="392"/>
      <c r="J23" s="393"/>
      <c r="L23" s="163"/>
      <c r="M23" s="163"/>
      <c r="N23" s="120"/>
      <c r="O23" s="1"/>
    </row>
    <row r="24" spans="1:23" x14ac:dyDescent="0.25">
      <c r="A24" s="875"/>
      <c r="B24" s="525">
        <v>2009</v>
      </c>
      <c r="C24" s="46">
        <v>2010</v>
      </c>
      <c r="D24" s="46">
        <v>2011</v>
      </c>
      <c r="E24" s="46">
        <v>2012</v>
      </c>
      <c r="F24" s="46">
        <v>2013</v>
      </c>
      <c r="G24" s="46">
        <v>2014</v>
      </c>
      <c r="H24" s="46">
        <v>2015</v>
      </c>
      <c r="I24" s="46">
        <v>2016</v>
      </c>
      <c r="J24" s="526">
        <v>2017</v>
      </c>
      <c r="K24" s="46">
        <v>2018</v>
      </c>
      <c r="L24" s="443">
        <v>2019</v>
      </c>
      <c r="M24" s="485">
        <v>2018</v>
      </c>
      <c r="N24" s="120"/>
      <c r="O24" s="1"/>
    </row>
    <row r="25" spans="1:23" x14ac:dyDescent="0.25">
      <c r="A25" s="851" t="s">
        <v>152</v>
      </c>
      <c r="B25" s="610">
        <f t="shared" ref="B25:M25" si="2">+B16/B26</f>
        <v>42.838336341471141</v>
      </c>
      <c r="C25" s="611">
        <f t="shared" si="2"/>
        <v>35.342667768887836</v>
      </c>
      <c r="D25" s="611">
        <f t="shared" si="2"/>
        <v>33.718110556856359</v>
      </c>
      <c r="E25" s="611">
        <f t="shared" si="2"/>
        <v>34.741307451579871</v>
      </c>
      <c r="F25" s="611">
        <f t="shared" si="2"/>
        <v>39.778811993747333</v>
      </c>
      <c r="G25" s="611">
        <f t="shared" si="2"/>
        <v>43.160333394342999</v>
      </c>
      <c r="H25" s="611">
        <f t="shared" si="2"/>
        <v>43.024053391446472</v>
      </c>
      <c r="I25" s="611">
        <f t="shared" si="2"/>
        <v>44.148363245277949</v>
      </c>
      <c r="J25" s="612">
        <f t="shared" si="2"/>
        <v>49.611102320675109</v>
      </c>
      <c r="K25" s="611">
        <f t="shared" si="2"/>
        <v>56.816507468095573</v>
      </c>
      <c r="L25" s="613">
        <f t="shared" si="2"/>
        <v>40.900747024563181</v>
      </c>
      <c r="M25" s="448">
        <f t="shared" si="2"/>
        <v>55.380614014651442</v>
      </c>
      <c r="N25" s="120"/>
      <c r="O25" s="1"/>
    </row>
    <row r="26" spans="1:23" x14ac:dyDescent="0.25">
      <c r="A26" s="875" t="s">
        <v>340</v>
      </c>
      <c r="B26" s="515">
        <f>Stats!D4</f>
        <v>63162</v>
      </c>
      <c r="C26" s="125">
        <f>Stats!E4</f>
        <v>67742</v>
      </c>
      <c r="D26" s="125">
        <f>Stats!F4</f>
        <v>68761</v>
      </c>
      <c r="E26" s="125">
        <f>Stats!G4</f>
        <v>69341</v>
      </c>
      <c r="F26" s="125">
        <f>Stats!H4</f>
        <v>70370</v>
      </c>
      <c r="G26" s="125">
        <f>Stats!I4</f>
        <v>71027</v>
      </c>
      <c r="H26" s="125">
        <f>Stats!J4</f>
        <v>73420</v>
      </c>
      <c r="I26" s="125">
        <f>Stats!K4</f>
        <v>74385</v>
      </c>
      <c r="J26" s="483">
        <f>Stats!L4</f>
        <v>75840</v>
      </c>
      <c r="K26" s="125">
        <f>Stats!M4</f>
        <v>77262</v>
      </c>
      <c r="L26" s="486">
        <f>Stats!N4</f>
        <v>78980</v>
      </c>
      <c r="M26" s="160">
        <f>Stats!M4</f>
        <v>77262</v>
      </c>
      <c r="N26" s="120"/>
      <c r="O26" s="1"/>
    </row>
    <row r="27" spans="1:23" x14ac:dyDescent="0.25">
      <c r="A27" s="875"/>
      <c r="B27" s="392"/>
      <c r="C27" s="50"/>
      <c r="D27" s="50"/>
      <c r="E27" s="50"/>
      <c r="F27" s="50"/>
      <c r="G27" s="50"/>
      <c r="H27" s="50"/>
      <c r="I27" s="50"/>
      <c r="J27" s="393"/>
      <c r="K27" s="50"/>
      <c r="L27" s="163"/>
      <c r="M27" s="163"/>
      <c r="N27" s="120"/>
      <c r="O27" s="1"/>
    </row>
    <row r="28" spans="1:23" x14ac:dyDescent="0.25">
      <c r="A28" s="851" t="s">
        <v>130</v>
      </c>
      <c r="B28" s="614">
        <f t="shared" ref="B28:M28" si="3">+B16/B29</f>
        <v>98248.184458968783</v>
      </c>
      <c r="C28" s="615">
        <f t="shared" si="3"/>
        <v>86934.749455337689</v>
      </c>
      <c r="D28" s="615">
        <f t="shared" si="3"/>
        <v>77463.782158369533</v>
      </c>
      <c r="E28" s="615">
        <f t="shared" si="3"/>
        <v>79609.94712491738</v>
      </c>
      <c r="F28" s="615">
        <f t="shared" si="3"/>
        <v>90884.253246753244</v>
      </c>
      <c r="G28" s="615">
        <f t="shared" si="3"/>
        <v>99112.479793081147</v>
      </c>
      <c r="H28" s="615">
        <f t="shared" si="3"/>
        <v>99084.8808030113</v>
      </c>
      <c r="I28" s="615">
        <f t="shared" si="3"/>
        <v>102209.02583255526</v>
      </c>
      <c r="J28" s="616">
        <f t="shared" si="3"/>
        <v>114885.67938931298</v>
      </c>
      <c r="K28" s="615">
        <f t="shared" si="3"/>
        <v>134038.38167938931</v>
      </c>
      <c r="L28" s="617">
        <f t="shared" si="3"/>
        <v>97519.728301886789</v>
      </c>
      <c r="M28" s="446">
        <f t="shared" si="3"/>
        <v>130650.90076335878</v>
      </c>
      <c r="N28" s="120"/>
      <c r="O28" s="1"/>
    </row>
    <row r="29" spans="1:23" x14ac:dyDescent="0.25">
      <c r="A29" s="875" t="s">
        <v>341</v>
      </c>
      <c r="B29" s="515">
        <f>+B42</f>
        <v>27.54</v>
      </c>
      <c r="C29" s="125">
        <f t="shared" ref="C29:L29" si="4">+C42</f>
        <v>27.54</v>
      </c>
      <c r="D29" s="125">
        <f t="shared" si="4"/>
        <v>29.93</v>
      </c>
      <c r="E29" s="125">
        <f t="shared" si="4"/>
        <v>30.26</v>
      </c>
      <c r="F29" s="125">
        <f t="shared" si="4"/>
        <v>30.8</v>
      </c>
      <c r="G29" s="125">
        <f t="shared" si="4"/>
        <v>30.93</v>
      </c>
      <c r="H29" s="125">
        <f t="shared" si="4"/>
        <v>31.88</v>
      </c>
      <c r="I29" s="125">
        <f t="shared" si="4"/>
        <v>32.129999999999995</v>
      </c>
      <c r="J29" s="483">
        <f t="shared" si="4"/>
        <v>32.75</v>
      </c>
      <c r="K29" s="125">
        <f t="shared" ref="K29" si="5">+K42</f>
        <v>32.75</v>
      </c>
      <c r="L29" s="486">
        <f t="shared" si="4"/>
        <v>33.125</v>
      </c>
      <c r="M29" s="454">
        <f>+M42</f>
        <v>32.75</v>
      </c>
      <c r="N29" s="120"/>
      <c r="O29" s="1"/>
    </row>
    <row r="30" spans="1:23" x14ac:dyDescent="0.25">
      <c r="A30" s="875"/>
      <c r="B30" s="392"/>
      <c r="J30" s="393"/>
      <c r="L30" s="163"/>
      <c r="M30" s="163"/>
      <c r="N30" s="120"/>
      <c r="O30" s="1"/>
      <c r="W30" s="19" t="s">
        <v>379</v>
      </c>
    </row>
    <row r="31" spans="1:23" x14ac:dyDescent="0.25">
      <c r="A31" s="877"/>
      <c r="B31" s="408"/>
      <c r="C31" s="124"/>
      <c r="D31" s="124"/>
      <c r="E31" s="124"/>
      <c r="F31" s="124"/>
      <c r="G31" s="124"/>
      <c r="H31" s="124"/>
      <c r="I31" s="124"/>
      <c r="J31" s="410"/>
      <c r="K31" s="124"/>
      <c r="L31" s="449"/>
      <c r="M31" s="449"/>
      <c r="N31" s="120"/>
      <c r="O31" s="1"/>
    </row>
    <row r="32" spans="1:23" x14ac:dyDescent="0.25">
      <c r="A32" s="877"/>
      <c r="B32" s="408"/>
      <c r="C32" s="124"/>
      <c r="D32" s="124"/>
      <c r="E32" s="124"/>
      <c r="F32" s="124"/>
      <c r="G32" s="124"/>
      <c r="H32" s="124"/>
      <c r="I32" s="124"/>
      <c r="J32" s="410"/>
      <c r="K32" s="124"/>
      <c r="L32" s="449"/>
      <c r="M32" s="449"/>
      <c r="N32" s="120"/>
      <c r="O32" s="1"/>
    </row>
    <row r="33" spans="1:17" x14ac:dyDescent="0.25">
      <c r="A33" s="862"/>
      <c r="B33" s="416"/>
      <c r="C33" s="93"/>
      <c r="D33" s="93"/>
      <c r="E33" s="93"/>
      <c r="F33" s="93"/>
      <c r="G33" s="93"/>
      <c r="H33" s="93"/>
      <c r="I33" s="93"/>
      <c r="J33" s="417"/>
      <c r="K33" s="93"/>
      <c r="L33" s="109"/>
      <c r="M33" s="109"/>
      <c r="N33" s="120"/>
      <c r="O33" s="1"/>
    </row>
    <row r="34" spans="1:17" x14ac:dyDescent="0.25">
      <c r="A34" s="878" t="s">
        <v>60</v>
      </c>
      <c r="B34" s="480"/>
      <c r="C34" s="146"/>
      <c r="D34" s="146"/>
      <c r="E34" s="146"/>
      <c r="F34" s="146"/>
      <c r="G34" s="146"/>
      <c r="H34" s="146"/>
      <c r="I34" s="146"/>
      <c r="J34" s="482"/>
      <c r="K34" s="146"/>
      <c r="L34" s="485"/>
      <c r="M34" s="485"/>
      <c r="N34" s="120"/>
      <c r="O34" s="1"/>
    </row>
    <row r="35" spans="1:17" x14ac:dyDescent="0.25">
      <c r="A35" s="879" t="s">
        <v>178</v>
      </c>
      <c r="B35" s="791">
        <v>27.54</v>
      </c>
      <c r="C35" s="745">
        <v>27.54</v>
      </c>
      <c r="D35" s="745">
        <v>29.93</v>
      </c>
      <c r="E35" s="745">
        <v>30.26</v>
      </c>
      <c r="F35" s="745">
        <v>7.89</v>
      </c>
      <c r="G35" s="745">
        <v>7.89</v>
      </c>
      <c r="H35" s="745">
        <v>7.65</v>
      </c>
      <c r="I35" s="745">
        <v>7.77</v>
      </c>
      <c r="J35" s="746">
        <v>6.125</v>
      </c>
      <c r="K35" s="745">
        <v>6.125</v>
      </c>
      <c r="L35" s="794">
        <v>6.125</v>
      </c>
      <c r="M35" s="452">
        <v>6.125</v>
      </c>
      <c r="N35" s="120"/>
      <c r="O35" s="1"/>
    </row>
    <row r="36" spans="1:17" x14ac:dyDescent="0.25">
      <c r="A36" s="879" t="s">
        <v>179</v>
      </c>
      <c r="B36" s="791">
        <v>0</v>
      </c>
      <c r="C36" s="745">
        <v>0</v>
      </c>
      <c r="D36" s="745">
        <v>0</v>
      </c>
      <c r="E36" s="745">
        <v>0</v>
      </c>
      <c r="F36" s="745">
        <v>6.38</v>
      </c>
      <c r="G36" s="745">
        <v>6.38</v>
      </c>
      <c r="H36" s="745">
        <v>6.38</v>
      </c>
      <c r="I36" s="745">
        <v>6.38</v>
      </c>
      <c r="J36" s="746">
        <v>6.25</v>
      </c>
      <c r="K36" s="745">
        <v>6.25</v>
      </c>
      <c r="L36" s="794">
        <v>6.25</v>
      </c>
      <c r="M36" s="452">
        <v>6.25</v>
      </c>
      <c r="N36" s="120"/>
      <c r="O36" s="1"/>
    </row>
    <row r="37" spans="1:17" x14ac:dyDescent="0.25">
      <c r="A37" s="879" t="s">
        <v>180</v>
      </c>
      <c r="B37" s="791">
        <v>0</v>
      </c>
      <c r="C37" s="745">
        <v>0</v>
      </c>
      <c r="D37" s="745">
        <v>0</v>
      </c>
      <c r="E37" s="745">
        <v>0</v>
      </c>
      <c r="F37" s="745">
        <v>5.39</v>
      </c>
      <c r="G37" s="745">
        <v>5.39</v>
      </c>
      <c r="H37" s="745">
        <v>5.39</v>
      </c>
      <c r="I37" s="745">
        <v>5.46</v>
      </c>
      <c r="J37" s="746">
        <v>6</v>
      </c>
      <c r="K37" s="745">
        <v>6</v>
      </c>
      <c r="L37" s="794">
        <v>6.375</v>
      </c>
      <c r="M37" s="452">
        <v>6</v>
      </c>
      <c r="N37" s="120"/>
      <c r="O37" s="1"/>
    </row>
    <row r="38" spans="1:17" x14ac:dyDescent="0.25">
      <c r="A38" s="879" t="s">
        <v>181</v>
      </c>
      <c r="B38" s="791">
        <v>0</v>
      </c>
      <c r="C38" s="745">
        <v>0</v>
      </c>
      <c r="D38" s="745">
        <v>0</v>
      </c>
      <c r="E38" s="745">
        <v>0</v>
      </c>
      <c r="F38" s="745">
        <v>4.8899999999999997</v>
      </c>
      <c r="G38" s="745">
        <v>5.0199999999999996</v>
      </c>
      <c r="H38" s="745">
        <v>5.08</v>
      </c>
      <c r="I38" s="745">
        <v>5.14</v>
      </c>
      <c r="J38" s="746">
        <v>5.875</v>
      </c>
      <c r="K38" s="745">
        <v>5.875</v>
      </c>
      <c r="L38" s="794">
        <v>5.875</v>
      </c>
      <c r="M38" s="452">
        <v>5.875</v>
      </c>
      <c r="N38" s="120"/>
      <c r="O38" s="1"/>
    </row>
    <row r="39" spans="1:17" x14ac:dyDescent="0.25">
      <c r="A39" s="879" t="s">
        <v>182</v>
      </c>
      <c r="B39" s="791">
        <v>0</v>
      </c>
      <c r="C39" s="745">
        <v>0</v>
      </c>
      <c r="D39" s="745">
        <v>0</v>
      </c>
      <c r="E39" s="745">
        <v>0</v>
      </c>
      <c r="F39" s="745">
        <v>4</v>
      </c>
      <c r="G39" s="745">
        <v>4</v>
      </c>
      <c r="H39" s="745">
        <v>4.13</v>
      </c>
      <c r="I39" s="745">
        <v>4.13</v>
      </c>
      <c r="J39" s="746">
        <v>4.75</v>
      </c>
      <c r="K39" s="745">
        <v>4.75</v>
      </c>
      <c r="L39" s="794">
        <v>4.75</v>
      </c>
      <c r="M39" s="452">
        <v>4.75</v>
      </c>
      <c r="N39" s="120"/>
      <c r="O39" s="1"/>
    </row>
    <row r="40" spans="1:17" x14ac:dyDescent="0.25">
      <c r="A40" s="879" t="s">
        <v>183</v>
      </c>
      <c r="B40" s="791">
        <v>0</v>
      </c>
      <c r="C40" s="744">
        <v>0</v>
      </c>
      <c r="D40" s="744">
        <v>0</v>
      </c>
      <c r="E40" s="744">
        <v>0</v>
      </c>
      <c r="F40" s="744">
        <v>2.25</v>
      </c>
      <c r="G40" s="744">
        <v>2.25</v>
      </c>
      <c r="H40" s="744">
        <v>3.25</v>
      </c>
      <c r="I40" s="744">
        <v>3.25</v>
      </c>
      <c r="J40" s="746">
        <v>3.75</v>
      </c>
      <c r="K40" s="744">
        <v>3.75</v>
      </c>
      <c r="L40" s="794">
        <v>3.75</v>
      </c>
      <c r="M40" s="452">
        <v>3.75</v>
      </c>
      <c r="N40" s="120"/>
      <c r="O40" s="1"/>
    </row>
    <row r="41" spans="1:17" ht="16.5" thickBot="1" x14ac:dyDescent="0.3">
      <c r="A41" s="879" t="s">
        <v>184</v>
      </c>
      <c r="B41" s="792"/>
      <c r="C41" s="274"/>
      <c r="D41" s="274"/>
      <c r="E41" s="274"/>
      <c r="F41" s="274"/>
      <c r="G41" s="274"/>
      <c r="H41" s="274"/>
      <c r="I41" s="286"/>
      <c r="J41" s="640"/>
      <c r="K41" s="274"/>
      <c r="L41" s="641"/>
      <c r="M41" s="641"/>
      <c r="N41" s="120"/>
      <c r="O41" s="1"/>
      <c r="P41" s="1"/>
      <c r="Q41" s="1"/>
    </row>
    <row r="42" spans="1:17" x14ac:dyDescent="0.25">
      <c r="A42" s="880" t="s">
        <v>335</v>
      </c>
      <c r="B42" s="793">
        <f t="shared" ref="B42:L42" si="6">SUM(B35:B40)</f>
        <v>27.54</v>
      </c>
      <c r="C42" s="305">
        <f t="shared" si="6"/>
        <v>27.54</v>
      </c>
      <c r="D42" s="305">
        <f t="shared" si="6"/>
        <v>29.93</v>
      </c>
      <c r="E42" s="305">
        <f t="shared" si="6"/>
        <v>30.26</v>
      </c>
      <c r="F42" s="305">
        <f t="shared" si="6"/>
        <v>30.8</v>
      </c>
      <c r="G42" s="305">
        <f t="shared" si="6"/>
        <v>30.93</v>
      </c>
      <c r="H42" s="305">
        <f t="shared" si="6"/>
        <v>31.88</v>
      </c>
      <c r="I42" s="305">
        <f t="shared" si="6"/>
        <v>32.129999999999995</v>
      </c>
      <c r="J42" s="620">
        <f t="shared" si="6"/>
        <v>32.75</v>
      </c>
      <c r="K42" s="619">
        <f t="shared" ref="K42" si="7">SUM(K35:K40)</f>
        <v>32.75</v>
      </c>
      <c r="L42" s="973">
        <f t="shared" si="6"/>
        <v>33.125</v>
      </c>
      <c r="M42" s="544">
        <f>SUM(M35:M40)</f>
        <v>32.75</v>
      </c>
      <c r="N42" s="120"/>
      <c r="O42" s="1"/>
    </row>
    <row r="43" spans="1:17" x14ac:dyDescent="0.25">
      <c r="A43" s="885"/>
      <c r="B43" s="416"/>
      <c r="C43" s="93"/>
      <c r="D43" s="93"/>
      <c r="E43" s="93"/>
      <c r="F43" s="93"/>
      <c r="G43" s="93"/>
      <c r="H43" s="93"/>
      <c r="I43" s="93"/>
      <c r="J43" s="417"/>
      <c r="K43" s="193"/>
      <c r="L43" s="465"/>
      <c r="M43" s="109"/>
      <c r="N43" s="120"/>
      <c r="O43" s="1"/>
    </row>
    <row r="44" spans="1:17" x14ac:dyDescent="0.25">
      <c r="A44" s="882"/>
      <c r="B44" s="416"/>
      <c r="C44" s="93"/>
      <c r="D44" s="93"/>
      <c r="E44" s="93"/>
      <c r="F44" s="93"/>
      <c r="G44" s="93"/>
      <c r="H44" s="93"/>
      <c r="I44" s="93"/>
      <c r="J44" s="417"/>
      <c r="K44" s="93"/>
      <c r="L44" s="109"/>
      <c r="M44" s="109"/>
      <c r="N44" s="120"/>
      <c r="O44" s="1"/>
    </row>
    <row r="45" spans="1:17" x14ac:dyDescent="0.25">
      <c r="A45" s="864"/>
      <c r="B45" s="416"/>
      <c r="C45" s="93"/>
      <c r="D45" s="93"/>
      <c r="E45" s="93"/>
      <c r="F45" s="93"/>
      <c r="G45" s="93"/>
      <c r="H45" s="93"/>
      <c r="I45" s="93"/>
      <c r="J45" s="417"/>
      <c r="K45" s="93"/>
      <c r="L45" s="109"/>
      <c r="M45" s="109"/>
      <c r="N45" s="120"/>
      <c r="O45" s="1"/>
    </row>
    <row r="46" spans="1:17" x14ac:dyDescent="0.25">
      <c r="A46" s="865"/>
      <c r="B46" s="416"/>
      <c r="C46" s="93"/>
      <c r="D46" s="93"/>
      <c r="E46" s="93"/>
      <c r="F46" s="93"/>
      <c r="G46" s="93"/>
      <c r="H46" s="93"/>
      <c r="I46" s="93"/>
      <c r="J46" s="417"/>
      <c r="K46" s="93"/>
      <c r="L46" s="109"/>
      <c r="M46" s="109"/>
      <c r="N46" s="120"/>
      <c r="O46" s="1"/>
    </row>
    <row r="47" spans="1:17" x14ac:dyDescent="0.25">
      <c r="A47" s="865"/>
      <c r="B47" s="416"/>
      <c r="C47" s="93"/>
      <c r="D47" s="93"/>
      <c r="E47" s="93"/>
      <c r="F47" s="93"/>
      <c r="G47" s="93"/>
      <c r="H47" s="93"/>
      <c r="I47" s="93"/>
      <c r="J47" s="417"/>
      <c r="K47" s="93"/>
      <c r="L47" s="109"/>
      <c r="M47" s="109"/>
      <c r="N47" s="120"/>
      <c r="O47" s="1"/>
    </row>
    <row r="48" spans="1:17" x14ac:dyDescent="0.25">
      <c r="A48" s="931"/>
      <c r="B48" s="416"/>
      <c r="C48" s="93"/>
      <c r="D48" s="93"/>
      <c r="E48" s="93"/>
      <c r="F48" s="93"/>
      <c r="G48" s="93"/>
      <c r="H48" s="93"/>
      <c r="I48" s="93"/>
      <c r="J48" s="417"/>
      <c r="K48" s="93"/>
      <c r="L48" s="109"/>
      <c r="M48" s="109"/>
      <c r="N48" s="120"/>
      <c r="O48" s="1"/>
    </row>
    <row r="49" spans="1:15" x14ac:dyDescent="0.25">
      <c r="A49" s="882"/>
      <c r="B49" s="416"/>
      <c r="C49" s="93"/>
      <c r="D49" s="93"/>
      <c r="E49" s="93"/>
      <c r="F49" s="93"/>
      <c r="G49" s="93"/>
      <c r="H49" s="93"/>
      <c r="I49" s="93"/>
      <c r="J49" s="417"/>
      <c r="K49" s="93"/>
      <c r="L49" s="109"/>
      <c r="M49" s="109"/>
      <c r="N49" s="120"/>
      <c r="O49" s="1"/>
    </row>
    <row r="50" spans="1:15" x14ac:dyDescent="0.25">
      <c r="A50" s="887"/>
      <c r="B50" s="380"/>
      <c r="C50" s="105"/>
      <c r="D50" s="105"/>
      <c r="E50" s="105"/>
      <c r="F50" s="105"/>
      <c r="G50" s="105"/>
      <c r="H50" s="105"/>
      <c r="I50" s="105"/>
      <c r="J50" s="381"/>
      <c r="K50" s="105"/>
      <c r="L50" s="372"/>
      <c r="M50" s="372"/>
      <c r="N50" s="120"/>
      <c r="O50" s="1"/>
    </row>
    <row r="51" spans="1:15" x14ac:dyDescent="0.25">
      <c r="A51" s="887"/>
      <c r="B51" s="407"/>
      <c r="C51" s="116"/>
      <c r="D51" s="116"/>
      <c r="E51" s="116"/>
      <c r="F51" s="116"/>
      <c r="G51" s="116"/>
      <c r="H51" s="116"/>
      <c r="I51" s="116"/>
      <c r="J51" s="400"/>
      <c r="K51" s="116"/>
      <c r="L51" s="444"/>
      <c r="M51" s="444"/>
      <c r="N51" s="120"/>
      <c r="O51" s="1"/>
    </row>
    <row r="52" spans="1:15" x14ac:dyDescent="0.25">
      <c r="A52" s="888"/>
      <c r="B52" s="589"/>
      <c r="C52" s="104"/>
      <c r="D52" s="104"/>
      <c r="E52" s="104"/>
      <c r="F52" s="104"/>
      <c r="G52" s="104"/>
      <c r="H52" s="104"/>
      <c r="I52" s="104"/>
      <c r="J52" s="595"/>
      <c r="K52" s="104"/>
      <c r="L52" s="601"/>
      <c r="M52" s="601"/>
      <c r="N52" s="120"/>
      <c r="O52" s="1"/>
    </row>
    <row r="53" spans="1:15" x14ac:dyDescent="0.25">
      <c r="A53" s="888"/>
      <c r="B53" s="589"/>
      <c r="C53" s="104"/>
      <c r="D53" s="104"/>
      <c r="E53" s="104"/>
      <c r="F53" s="104"/>
      <c r="G53" s="104"/>
      <c r="H53" s="104"/>
      <c r="I53" s="104"/>
      <c r="J53" s="595"/>
      <c r="K53" s="104"/>
      <c r="L53" s="601"/>
      <c r="M53" s="601"/>
      <c r="N53" s="120"/>
      <c r="O53" s="1"/>
    </row>
    <row r="54" spans="1:15" x14ac:dyDescent="0.25">
      <c r="A54" s="888"/>
      <c r="B54" s="411"/>
      <c r="C54" s="215"/>
      <c r="D54" s="215"/>
      <c r="E54" s="215"/>
      <c r="F54" s="215"/>
      <c r="G54" s="215"/>
      <c r="H54" s="215"/>
      <c r="I54" s="215"/>
      <c r="J54" s="412"/>
      <c r="K54" s="215"/>
      <c r="L54" s="450"/>
      <c r="M54" s="450"/>
      <c r="N54" s="120"/>
      <c r="O54" s="1"/>
    </row>
    <row r="55" spans="1:15" x14ac:dyDescent="0.25">
      <c r="A55" s="887"/>
      <c r="B55" s="589"/>
      <c r="C55" s="104"/>
      <c r="D55" s="104"/>
      <c r="E55" s="104"/>
      <c r="F55" s="104"/>
      <c r="G55" s="104"/>
      <c r="H55" s="104"/>
      <c r="I55" s="104"/>
      <c r="J55" s="595"/>
      <c r="K55" s="104"/>
      <c r="L55" s="601"/>
      <c r="M55" s="601"/>
      <c r="N55" s="120"/>
      <c r="O55" s="1"/>
    </row>
    <row r="56" spans="1:15" x14ac:dyDescent="0.25">
      <c r="A56" s="887"/>
      <c r="B56" s="416"/>
      <c r="C56" s="93"/>
      <c r="D56" s="93"/>
      <c r="E56" s="93"/>
      <c r="F56" s="93"/>
      <c r="G56" s="93"/>
      <c r="H56" s="93"/>
      <c r="I56" s="93"/>
      <c r="J56" s="417"/>
      <c r="K56" s="93"/>
      <c r="L56" s="109"/>
      <c r="M56" s="109"/>
      <c r="N56" s="120"/>
      <c r="O56" s="1"/>
    </row>
    <row r="57" spans="1:15" x14ac:dyDescent="0.25">
      <c r="A57" s="882"/>
      <c r="B57" s="416"/>
      <c r="C57" s="93"/>
      <c r="D57" s="93"/>
      <c r="E57" s="93"/>
      <c r="F57" s="93"/>
      <c r="G57" s="93"/>
      <c r="H57" s="93"/>
      <c r="I57" s="93"/>
      <c r="J57" s="417"/>
      <c r="K57" s="93"/>
      <c r="L57" s="109"/>
      <c r="M57" s="109"/>
      <c r="N57" s="120"/>
      <c r="O57" s="1"/>
    </row>
    <row r="58" spans="1:15" x14ac:dyDescent="0.25">
      <c r="A58" s="882"/>
      <c r="B58" s="418"/>
      <c r="C58" s="114"/>
      <c r="D58" s="114"/>
      <c r="E58" s="114"/>
      <c r="F58" s="114"/>
      <c r="G58" s="114"/>
      <c r="H58" s="114"/>
      <c r="I58" s="114"/>
      <c r="J58" s="419"/>
      <c r="K58" s="114"/>
      <c r="L58" s="455"/>
      <c r="M58" s="455"/>
      <c r="N58" s="120"/>
      <c r="O58" s="1"/>
    </row>
    <row r="59" spans="1:15" x14ac:dyDescent="0.25">
      <c r="A59" s="883"/>
      <c r="B59" s="418"/>
      <c r="C59" s="114"/>
      <c r="D59" s="114"/>
      <c r="E59" s="114"/>
      <c r="F59" s="114"/>
      <c r="G59" s="114"/>
      <c r="H59" s="114"/>
      <c r="I59" s="114"/>
      <c r="J59" s="419"/>
      <c r="K59" s="114"/>
      <c r="L59" s="455"/>
      <c r="M59" s="455"/>
      <c r="N59" s="120"/>
      <c r="O59" s="1"/>
    </row>
    <row r="60" spans="1:15" x14ac:dyDescent="0.25">
      <c r="A60" s="883"/>
      <c r="B60" s="416"/>
      <c r="C60" s="93"/>
      <c r="D60" s="93"/>
      <c r="E60" s="93"/>
      <c r="F60" s="93"/>
      <c r="G60" s="93"/>
      <c r="H60" s="93"/>
      <c r="I60" s="93"/>
      <c r="J60" s="417"/>
      <c r="K60" s="93"/>
      <c r="L60" s="109"/>
      <c r="M60" s="109"/>
      <c r="N60" s="120"/>
      <c r="O60" s="1"/>
    </row>
    <row r="61" spans="1:15" x14ac:dyDescent="0.25">
      <c r="A61" s="199"/>
      <c r="B61" s="215"/>
      <c r="C61" s="215"/>
      <c r="D61" s="215"/>
      <c r="E61" s="215"/>
      <c r="F61" s="215"/>
      <c r="G61" s="215"/>
      <c r="H61" s="215"/>
      <c r="I61" s="215"/>
      <c r="J61" s="215"/>
      <c r="K61" s="215"/>
      <c r="L61" s="215"/>
      <c r="M61" s="450"/>
      <c r="N61" s="26"/>
      <c r="O61" s="1"/>
    </row>
    <row r="62" spans="1:15" x14ac:dyDescent="0.25">
      <c r="A62" s="201"/>
      <c r="B62" s="202"/>
      <c r="C62" s="202"/>
      <c r="D62" s="202"/>
      <c r="E62" s="202"/>
      <c r="F62" s="202"/>
      <c r="G62" s="202"/>
      <c r="H62" s="202"/>
      <c r="I62" s="202"/>
      <c r="J62" s="202"/>
      <c r="K62" s="202"/>
      <c r="L62" s="202"/>
      <c r="M62" s="469"/>
      <c r="N62" s="19"/>
    </row>
    <row r="63" spans="1:15" x14ac:dyDescent="0.25">
      <c r="A63" s="201"/>
      <c r="B63" s="202"/>
      <c r="C63" s="202"/>
      <c r="D63" s="202"/>
      <c r="E63" s="202"/>
      <c r="F63" s="202"/>
      <c r="G63" s="202"/>
      <c r="H63" s="202"/>
      <c r="I63" s="202"/>
      <c r="J63" s="202"/>
      <c r="K63" s="202"/>
      <c r="L63" s="202"/>
      <c r="M63" s="469"/>
      <c r="N63" s="26"/>
      <c r="O63" s="1"/>
    </row>
    <row r="64" spans="1:15" x14ac:dyDescent="0.25">
      <c r="A64" s="201"/>
      <c r="B64" s="202"/>
      <c r="C64" s="202"/>
      <c r="D64" s="202"/>
      <c r="E64" s="202"/>
      <c r="F64" s="202"/>
      <c r="G64" s="202"/>
      <c r="H64" s="202"/>
      <c r="I64" s="202"/>
      <c r="J64" s="202"/>
      <c r="K64" s="202"/>
      <c r="L64" s="202"/>
      <c r="M64" s="469"/>
      <c r="N64" s="26"/>
      <c r="O64" s="1"/>
    </row>
    <row r="65" spans="1:28" x14ac:dyDescent="0.25">
      <c r="A65" s="201"/>
      <c r="B65" s="202"/>
      <c r="C65" s="202"/>
      <c r="D65" s="202"/>
      <c r="E65" s="202"/>
      <c r="F65" s="202"/>
      <c r="G65" s="202"/>
      <c r="H65" s="202"/>
      <c r="I65" s="202"/>
      <c r="J65" s="202"/>
      <c r="K65" s="202"/>
      <c r="L65" s="202"/>
      <c r="M65" s="469"/>
      <c r="N65" s="26"/>
      <c r="O65" s="1"/>
    </row>
    <row r="66" spans="1:28" x14ac:dyDescent="0.25">
      <c r="A66" s="201"/>
      <c r="B66" s="202"/>
      <c r="C66" s="202"/>
      <c r="D66" s="202"/>
      <c r="E66" s="202"/>
      <c r="F66" s="202"/>
      <c r="G66" s="202"/>
      <c r="H66" s="202"/>
      <c r="I66" s="202"/>
      <c r="J66" s="202"/>
      <c r="K66" s="202"/>
      <c r="L66" s="202"/>
      <c r="M66" s="469"/>
      <c r="N66" s="26"/>
      <c r="O66" s="1"/>
    </row>
    <row r="67" spans="1:28" x14ac:dyDescent="0.25">
      <c r="A67" s="201"/>
      <c r="B67" s="202"/>
      <c r="C67" s="202"/>
      <c r="D67" s="202"/>
      <c r="E67" s="202"/>
      <c r="F67" s="202"/>
      <c r="G67" s="202"/>
      <c r="H67" s="202"/>
      <c r="I67" s="202"/>
      <c r="J67" s="202"/>
      <c r="K67" s="202"/>
      <c r="L67" s="202"/>
      <c r="M67" s="469"/>
      <c r="N67" s="26"/>
      <c r="O67" s="1"/>
    </row>
    <row r="68" spans="1:28" x14ac:dyDescent="0.25">
      <c r="A68" s="201"/>
      <c r="B68" s="112"/>
      <c r="C68" s="112"/>
      <c r="D68" s="112"/>
      <c r="E68" s="112"/>
      <c r="F68" s="112"/>
      <c r="G68" s="112"/>
      <c r="H68" s="112"/>
      <c r="I68" s="112"/>
      <c r="J68" s="112"/>
      <c r="K68" s="112"/>
      <c r="L68" s="112"/>
      <c r="M68" s="113"/>
      <c r="N68" s="26"/>
      <c r="O68" s="1"/>
    </row>
    <row r="69" spans="1:28" x14ac:dyDescent="0.25">
      <c r="A69" s="114"/>
      <c r="B69" s="114"/>
      <c r="C69" s="114"/>
      <c r="D69" s="114"/>
      <c r="E69" s="114"/>
      <c r="F69" s="114"/>
      <c r="G69" s="114"/>
      <c r="H69" s="114"/>
      <c r="I69" s="114"/>
      <c r="J69" s="316"/>
      <c r="K69" s="114"/>
      <c r="L69" s="114"/>
      <c r="M69" s="455"/>
      <c r="N69" s="26"/>
      <c r="O69" s="1"/>
    </row>
    <row r="70" spans="1:28" x14ac:dyDescent="0.25">
      <c r="A70" s="205"/>
      <c r="B70" s="200"/>
      <c r="C70" s="140"/>
      <c r="D70" s="140"/>
      <c r="E70" s="140"/>
      <c r="F70" s="140"/>
      <c r="G70" s="140"/>
      <c r="H70" s="140"/>
      <c r="I70" s="140"/>
      <c r="J70" s="140"/>
      <c r="K70" s="140"/>
      <c r="L70" s="140"/>
      <c r="M70" s="470"/>
      <c r="N70" s="26"/>
      <c r="O70" s="1"/>
    </row>
    <row r="71" spans="1:28" x14ac:dyDescent="0.25">
      <c r="A71" s="141"/>
      <c r="B71" s="200"/>
      <c r="C71" s="140"/>
      <c r="D71" s="140"/>
      <c r="E71" s="140"/>
      <c r="F71" s="140"/>
      <c r="G71" s="140"/>
      <c r="H71" s="140"/>
      <c r="I71" s="140"/>
      <c r="J71" s="140"/>
      <c r="K71" s="140"/>
      <c r="L71" s="140"/>
      <c r="M71" s="470"/>
      <c r="N71" s="26"/>
      <c r="O71" s="1"/>
    </row>
    <row r="72" spans="1:28" s="17" customFormat="1" x14ac:dyDescent="0.25">
      <c r="A72" s="114"/>
      <c r="B72" s="93"/>
      <c r="C72" s="93"/>
      <c r="D72" s="93"/>
      <c r="E72" s="93"/>
      <c r="F72" s="93"/>
      <c r="G72" s="93"/>
      <c r="H72" s="93"/>
      <c r="I72" s="93"/>
      <c r="J72" s="93"/>
      <c r="K72" s="93"/>
      <c r="L72" s="93"/>
      <c r="M72" s="109"/>
      <c r="N72" s="68"/>
      <c r="O72" s="32"/>
      <c r="W72" s="69"/>
      <c r="X72" s="69"/>
      <c r="Y72" s="69"/>
      <c r="Z72" s="69"/>
      <c r="AA72" s="69"/>
      <c r="AB72" s="69"/>
    </row>
    <row r="73" spans="1:28" ht="18.75" x14ac:dyDescent="0.3">
      <c r="A73" s="206"/>
      <c r="B73" s="215"/>
      <c r="C73" s="215"/>
      <c r="D73" s="215"/>
      <c r="E73" s="215"/>
      <c r="F73" s="215"/>
      <c r="G73" s="215"/>
      <c r="H73" s="215"/>
      <c r="I73" s="215"/>
      <c r="J73" s="215"/>
      <c r="K73" s="215"/>
      <c r="L73" s="215"/>
      <c r="M73" s="450"/>
      <c r="N73" s="26"/>
      <c r="O73" s="1"/>
    </row>
    <row r="74" spans="1:28" x14ac:dyDescent="0.25">
      <c r="A74" s="116"/>
      <c r="B74" s="207"/>
      <c r="C74" s="207"/>
      <c r="D74" s="207"/>
      <c r="E74" s="207"/>
      <c r="F74" s="207"/>
      <c r="G74" s="207"/>
      <c r="H74" s="207"/>
      <c r="I74" s="207"/>
      <c r="J74" s="207"/>
      <c r="K74" s="207"/>
      <c r="L74" s="207"/>
      <c r="M74" s="471"/>
      <c r="N74" s="26"/>
      <c r="O74" s="1"/>
    </row>
    <row r="75" spans="1:28" x14ac:dyDescent="0.25">
      <c r="A75" s="114"/>
      <c r="B75" s="93"/>
      <c r="C75" s="93"/>
      <c r="D75" s="93"/>
      <c r="E75" s="93"/>
      <c r="F75" s="93"/>
      <c r="G75" s="93"/>
      <c r="H75" s="93"/>
      <c r="I75" s="93"/>
      <c r="J75" s="93"/>
      <c r="K75" s="93"/>
      <c r="L75" s="93"/>
      <c r="M75" s="109"/>
      <c r="N75" s="26"/>
      <c r="O75" s="1"/>
    </row>
    <row r="76" spans="1:28" x14ac:dyDescent="0.25">
      <c r="A76" s="114"/>
      <c r="B76" s="93"/>
      <c r="C76" s="93"/>
      <c r="D76" s="93"/>
      <c r="E76" s="93"/>
      <c r="F76" s="93"/>
      <c r="G76" s="93"/>
      <c r="H76" s="93"/>
      <c r="I76" s="93"/>
      <c r="J76" s="93"/>
      <c r="K76" s="93"/>
      <c r="L76" s="93"/>
      <c r="M76" s="109"/>
      <c r="N76" s="26"/>
      <c r="O76" s="1"/>
    </row>
    <row r="77" spans="1:28" x14ac:dyDescent="0.25">
      <c r="A77" s="201"/>
      <c r="B77" s="93"/>
      <c r="C77" s="93"/>
      <c r="D77" s="93"/>
      <c r="E77" s="93"/>
      <c r="F77" s="93"/>
      <c r="G77" s="93"/>
      <c r="H77" s="93"/>
      <c r="I77" s="93"/>
      <c r="J77" s="93"/>
      <c r="K77" s="93"/>
      <c r="L77" s="93"/>
      <c r="M77" s="109"/>
      <c r="N77" s="26"/>
      <c r="O77" s="1"/>
    </row>
    <row r="78" spans="1:28" x14ac:dyDescent="0.25">
      <c r="A78" s="201"/>
      <c r="B78" s="93"/>
      <c r="C78" s="93"/>
      <c r="D78" s="93"/>
      <c r="E78" s="93"/>
      <c r="F78" s="93"/>
      <c r="G78" s="93"/>
      <c r="H78" s="93"/>
      <c r="I78" s="93"/>
      <c r="J78" s="93"/>
      <c r="K78" s="93"/>
      <c r="L78" s="93"/>
      <c r="M78" s="109"/>
      <c r="N78" s="26"/>
      <c r="O78" s="1"/>
    </row>
    <row r="79" spans="1:28" x14ac:dyDescent="0.25">
      <c r="A79" s="201"/>
      <c r="B79" s="93"/>
      <c r="C79" s="93"/>
      <c r="D79" s="93"/>
      <c r="E79" s="93"/>
      <c r="F79" s="93"/>
      <c r="G79" s="93"/>
      <c r="H79" s="93"/>
      <c r="I79" s="93"/>
      <c r="J79" s="93"/>
      <c r="K79" s="93"/>
      <c r="L79" s="93"/>
      <c r="M79" s="109"/>
      <c r="N79" s="26"/>
      <c r="O79" s="1"/>
    </row>
    <row r="80" spans="1:28" x14ac:dyDescent="0.25">
      <c r="A80" s="201"/>
      <c r="B80" s="93"/>
      <c r="C80" s="93"/>
      <c r="D80" s="93"/>
      <c r="E80" s="93"/>
      <c r="F80" s="93"/>
      <c r="G80" s="93"/>
      <c r="H80" s="93"/>
      <c r="I80" s="93"/>
      <c r="J80" s="93"/>
      <c r="K80" s="93"/>
      <c r="L80" s="93"/>
      <c r="M80" s="109"/>
      <c r="N80" s="26"/>
      <c r="O80" s="1"/>
    </row>
    <row r="81" spans="1:15" x14ac:dyDescent="0.25">
      <c r="A81" s="199"/>
      <c r="B81" s="93"/>
      <c r="C81" s="93"/>
      <c r="D81" s="93"/>
      <c r="E81" s="93"/>
      <c r="F81" s="93"/>
      <c r="G81" s="93"/>
      <c r="H81" s="93"/>
      <c r="I81" s="93"/>
      <c r="J81" s="93"/>
      <c r="K81" s="93"/>
      <c r="L81" s="93"/>
      <c r="M81" s="109"/>
      <c r="N81" s="26"/>
      <c r="O81" s="1"/>
    </row>
    <row r="82" spans="1:15" x14ac:dyDescent="0.25">
      <c r="A82" s="114"/>
      <c r="B82" s="93"/>
      <c r="C82" s="93"/>
      <c r="D82" s="93"/>
      <c r="E82" s="93"/>
      <c r="F82" s="93"/>
      <c r="G82" s="93"/>
      <c r="H82" s="93"/>
      <c r="I82" s="93"/>
      <c r="J82" s="93"/>
      <c r="K82" s="93"/>
      <c r="L82" s="93"/>
      <c r="M82" s="109"/>
      <c r="N82" s="26"/>
      <c r="O82" s="1"/>
    </row>
    <row r="83" spans="1:15" x14ac:dyDescent="0.25">
      <c r="A83" s="114"/>
      <c r="B83" s="215"/>
      <c r="C83" s="215"/>
      <c r="D83" s="215"/>
      <c r="E83" s="215"/>
      <c r="F83" s="215"/>
      <c r="G83" s="215"/>
      <c r="H83" s="215"/>
      <c r="I83" s="215"/>
      <c r="J83" s="215"/>
      <c r="K83" s="215"/>
      <c r="L83" s="215"/>
      <c r="M83" s="450"/>
      <c r="N83" s="26"/>
      <c r="O83" s="1"/>
    </row>
    <row r="84" spans="1:15" x14ac:dyDescent="0.25">
      <c r="A84" s="114"/>
      <c r="B84" s="112"/>
      <c r="C84" s="112"/>
      <c r="D84" s="112"/>
      <c r="E84" s="112"/>
      <c r="F84" s="112"/>
      <c r="G84" s="112"/>
      <c r="H84" s="112"/>
      <c r="I84" s="112"/>
      <c r="J84" s="112"/>
      <c r="K84" s="112"/>
      <c r="L84" s="112"/>
      <c r="M84" s="113"/>
      <c r="N84" s="26"/>
      <c r="O84" s="1"/>
    </row>
    <row r="85" spans="1:15" x14ac:dyDescent="0.25">
      <c r="A85" s="114"/>
      <c r="B85" s="93"/>
      <c r="C85" s="93"/>
      <c r="D85" s="93"/>
      <c r="E85" s="93"/>
      <c r="F85" s="93"/>
      <c r="G85" s="93"/>
      <c r="H85" s="93"/>
      <c r="I85" s="93"/>
      <c r="J85" s="93"/>
      <c r="K85" s="93"/>
      <c r="L85" s="93"/>
      <c r="M85" s="93"/>
      <c r="N85" s="26"/>
      <c r="O85" s="1"/>
    </row>
    <row r="86" spans="1:15" x14ac:dyDescent="0.25">
      <c r="A86" s="114"/>
      <c r="B86" s="93"/>
      <c r="C86" s="93"/>
      <c r="D86" s="93"/>
      <c r="E86" s="93"/>
      <c r="F86" s="93"/>
      <c r="G86" s="93"/>
      <c r="H86" s="93"/>
      <c r="I86" s="93"/>
      <c r="J86" s="93"/>
      <c r="K86" s="93"/>
      <c r="L86" s="93"/>
      <c r="M86" s="93"/>
      <c r="N86" s="26"/>
      <c r="O86" s="1"/>
    </row>
    <row r="87" spans="1:15" x14ac:dyDescent="0.25">
      <c r="A87" s="114"/>
      <c r="B87" s="93"/>
      <c r="C87" s="93"/>
      <c r="D87" s="93"/>
      <c r="E87" s="93"/>
      <c r="F87" s="93"/>
      <c r="G87" s="93"/>
      <c r="H87" s="93"/>
      <c r="I87" s="93"/>
      <c r="J87" s="93"/>
      <c r="K87" s="93"/>
      <c r="L87" s="93"/>
      <c r="M87" s="93"/>
      <c r="N87" s="26"/>
      <c r="O87" s="1"/>
    </row>
    <row r="88" spans="1:15" x14ac:dyDescent="0.25">
      <c r="A88" s="114"/>
      <c r="B88" s="93"/>
      <c r="C88" s="93"/>
      <c r="D88" s="93"/>
      <c r="E88" s="93"/>
      <c r="F88" s="93"/>
      <c r="G88" s="93"/>
      <c r="H88" s="93"/>
      <c r="I88" s="93"/>
      <c r="J88" s="93"/>
      <c r="K88" s="93"/>
      <c r="L88" s="93"/>
      <c r="M88" s="93"/>
      <c r="N88" s="26"/>
      <c r="O88" s="1"/>
    </row>
    <row r="89" spans="1:15" x14ac:dyDescent="0.25">
      <c r="A89" s="114"/>
      <c r="B89" s="93"/>
      <c r="C89" s="93"/>
      <c r="D89" s="93"/>
      <c r="E89" s="93"/>
      <c r="F89" s="93"/>
      <c r="G89" s="93"/>
      <c r="H89" s="93"/>
      <c r="I89" s="93"/>
      <c r="J89" s="93"/>
      <c r="K89" s="93"/>
      <c r="L89" s="93"/>
      <c r="M89" s="93"/>
      <c r="N89" s="26"/>
      <c r="O89" s="1"/>
    </row>
    <row r="90" spans="1:15" x14ac:dyDescent="0.25">
      <c r="A90" s="114"/>
      <c r="B90" s="93"/>
      <c r="C90" s="93"/>
      <c r="D90" s="93"/>
      <c r="E90" s="93"/>
      <c r="F90" s="93"/>
      <c r="G90" s="93"/>
      <c r="H90" s="93"/>
      <c r="I90" s="93"/>
      <c r="J90" s="93"/>
      <c r="K90" s="93"/>
      <c r="L90" s="93"/>
      <c r="M90" s="93"/>
      <c r="N90" s="26"/>
      <c r="O90" s="1"/>
    </row>
    <row r="91" spans="1:15" x14ac:dyDescent="0.25">
      <c r="A91" s="114"/>
      <c r="B91" s="93"/>
      <c r="C91" s="93"/>
      <c r="D91" s="93"/>
      <c r="E91" s="93"/>
      <c r="F91" s="93"/>
      <c r="G91" s="93"/>
      <c r="H91" s="93"/>
      <c r="I91" s="93"/>
      <c r="J91" s="93"/>
      <c r="K91" s="93"/>
      <c r="L91" s="93"/>
      <c r="M91" s="93"/>
      <c r="N91" s="26"/>
      <c r="O91" s="1"/>
    </row>
    <row r="92" spans="1:15" x14ac:dyDescent="0.25">
      <c r="A92" s="114"/>
      <c r="B92" s="93"/>
      <c r="C92" s="93"/>
      <c r="D92" s="93"/>
      <c r="E92" s="93"/>
      <c r="F92" s="93"/>
      <c r="G92" s="93"/>
      <c r="H92" s="93"/>
      <c r="I92" s="93"/>
      <c r="J92" s="93"/>
      <c r="K92" s="93"/>
      <c r="L92" s="93"/>
      <c r="M92" s="93"/>
      <c r="N92" s="26"/>
      <c r="O92" s="1"/>
    </row>
    <row r="93" spans="1:15" x14ac:dyDescent="0.25">
      <c r="A93" s="114"/>
      <c r="B93" s="93"/>
      <c r="C93" s="93"/>
      <c r="D93" s="93"/>
      <c r="E93" s="93"/>
      <c r="F93" s="93"/>
      <c r="G93" s="93"/>
      <c r="H93" s="93"/>
      <c r="I93" s="93"/>
      <c r="J93" s="93"/>
      <c r="K93" s="93"/>
      <c r="L93" s="93"/>
      <c r="M93" s="93"/>
      <c r="N93" s="26"/>
      <c r="O93" s="1"/>
    </row>
    <row r="94" spans="1:15" x14ac:dyDescent="0.25">
      <c r="A94" s="114"/>
      <c r="B94" s="93"/>
      <c r="C94" s="93"/>
      <c r="D94" s="93"/>
      <c r="E94" s="93"/>
      <c r="F94" s="93"/>
      <c r="G94" s="93"/>
      <c r="H94" s="93"/>
      <c r="I94" s="93"/>
      <c r="J94" s="93"/>
      <c r="K94" s="93"/>
      <c r="L94" s="93"/>
      <c r="M94" s="93"/>
      <c r="N94" s="26"/>
      <c r="O94" s="1"/>
    </row>
    <row r="95" spans="1:15" x14ac:dyDescent="0.25">
      <c r="A95" s="114"/>
      <c r="B95" s="93"/>
      <c r="C95" s="93"/>
      <c r="D95" s="93"/>
      <c r="E95" s="93"/>
      <c r="F95" s="93"/>
      <c r="G95" s="93"/>
      <c r="H95" s="93"/>
      <c r="I95" s="93"/>
      <c r="J95" s="93"/>
      <c r="K95" s="93"/>
      <c r="L95" s="93"/>
      <c r="M95" s="93"/>
      <c r="N95" s="26"/>
      <c r="O95" s="1"/>
    </row>
    <row r="96" spans="1:15" x14ac:dyDescent="0.25">
      <c r="A96" s="114"/>
      <c r="B96" s="93"/>
      <c r="C96" s="93"/>
      <c r="D96" s="93"/>
      <c r="E96" s="93"/>
      <c r="F96" s="93"/>
      <c r="G96" s="93"/>
      <c r="H96" s="93"/>
      <c r="I96" s="93"/>
      <c r="J96" s="93"/>
      <c r="K96" s="93"/>
      <c r="L96" s="93"/>
      <c r="M96" s="93"/>
      <c r="N96" s="26"/>
      <c r="O96" s="1"/>
    </row>
    <row r="97" spans="1:15" x14ac:dyDescent="0.25">
      <c r="A97" s="114"/>
      <c r="B97" s="93"/>
      <c r="C97" s="93"/>
      <c r="D97" s="93"/>
      <c r="E97" s="93"/>
      <c r="F97" s="93"/>
      <c r="G97" s="93"/>
      <c r="H97" s="93"/>
      <c r="I97" s="93"/>
      <c r="J97" s="93"/>
      <c r="K97" s="93"/>
      <c r="L97" s="93"/>
      <c r="M97" s="93"/>
      <c r="N97" s="26"/>
      <c r="O97" s="1"/>
    </row>
    <row r="98" spans="1:15" x14ac:dyDescent="0.25">
      <c r="A98" s="114"/>
      <c r="B98" s="114"/>
      <c r="C98" s="114"/>
      <c r="D98" s="114"/>
      <c r="E98" s="114"/>
      <c r="F98" s="114"/>
      <c r="G98" s="114"/>
      <c r="H98" s="114"/>
      <c r="I98" s="114"/>
      <c r="J98" s="114"/>
      <c r="K98" s="114"/>
      <c r="L98" s="114"/>
      <c r="M98" s="114"/>
      <c r="N98" s="26"/>
      <c r="O98" s="1"/>
    </row>
    <row r="99" spans="1:15" x14ac:dyDescent="0.25">
      <c r="A99" s="114"/>
      <c r="B99" s="114"/>
      <c r="C99" s="114"/>
      <c r="D99" s="114"/>
      <c r="E99" s="114"/>
      <c r="F99" s="114"/>
      <c r="G99" s="114"/>
      <c r="H99" s="114"/>
      <c r="I99" s="114"/>
      <c r="J99" s="114"/>
      <c r="K99" s="114"/>
      <c r="L99" s="114"/>
      <c r="M99" s="114"/>
      <c r="N99" s="26"/>
      <c r="O99" s="1"/>
    </row>
    <row r="100" spans="1:15" x14ac:dyDescent="0.25">
      <c r="A100" s="114"/>
      <c r="B100" s="93"/>
      <c r="C100" s="93"/>
      <c r="D100" s="93"/>
      <c r="E100" s="93"/>
      <c r="F100" s="93"/>
      <c r="G100" s="93"/>
      <c r="H100" s="93"/>
      <c r="I100" s="93"/>
      <c r="J100" s="93"/>
      <c r="K100" s="93"/>
      <c r="L100" s="93"/>
      <c r="M100" s="93"/>
      <c r="N100" s="26"/>
      <c r="O100" s="1"/>
    </row>
    <row r="101" spans="1:15" x14ac:dyDescent="0.25">
      <c r="A101" s="114"/>
      <c r="B101" s="93"/>
      <c r="C101" s="93"/>
      <c r="D101" s="93"/>
      <c r="E101" s="93"/>
      <c r="F101" s="93"/>
      <c r="G101" s="93"/>
      <c r="H101" s="93"/>
      <c r="I101" s="93"/>
      <c r="J101" s="93"/>
      <c r="K101" s="93"/>
      <c r="L101" s="93"/>
      <c r="M101" s="93"/>
      <c r="N101" s="26"/>
      <c r="O101" s="1"/>
    </row>
    <row r="102" spans="1:15" x14ac:dyDescent="0.25">
      <c r="A102" s="114"/>
      <c r="B102" s="93"/>
      <c r="C102" s="93"/>
      <c r="D102" s="93"/>
      <c r="E102" s="93"/>
      <c r="F102" s="93"/>
      <c r="G102" s="93"/>
      <c r="H102" s="93"/>
      <c r="I102" s="93"/>
      <c r="J102" s="93"/>
      <c r="K102" s="93"/>
      <c r="L102" s="93"/>
      <c r="M102" s="93"/>
      <c r="N102" s="26"/>
      <c r="O102" s="1"/>
    </row>
    <row r="103" spans="1:15" x14ac:dyDescent="0.25">
      <c r="A103" s="114"/>
      <c r="B103" s="93"/>
      <c r="C103" s="93"/>
      <c r="D103" s="93"/>
      <c r="E103" s="93"/>
      <c r="F103" s="93"/>
      <c r="G103" s="93"/>
      <c r="H103" s="93"/>
      <c r="I103" s="93"/>
      <c r="J103" s="93"/>
      <c r="K103" s="93"/>
      <c r="L103" s="93"/>
      <c r="M103" s="93"/>
      <c r="N103" s="26"/>
      <c r="O103" s="1"/>
    </row>
    <row r="104" spans="1:15" x14ac:dyDescent="0.25">
      <c r="A104" s="114"/>
      <c r="B104" s="93"/>
      <c r="C104" s="93"/>
      <c r="D104" s="93"/>
      <c r="E104" s="93"/>
      <c r="F104" s="93"/>
      <c r="G104" s="93"/>
      <c r="H104" s="93"/>
      <c r="I104" s="93"/>
      <c r="J104" s="93"/>
      <c r="K104" s="93"/>
      <c r="L104" s="93"/>
      <c r="M104" s="93"/>
      <c r="N104" s="26"/>
      <c r="O104" s="1"/>
    </row>
    <row r="105" spans="1:15" x14ac:dyDescent="0.25">
      <c r="A105" s="114"/>
      <c r="B105" s="93"/>
      <c r="C105" s="93"/>
      <c r="D105" s="93"/>
      <c r="E105" s="93"/>
      <c r="F105" s="93"/>
      <c r="G105" s="93"/>
      <c r="H105" s="93"/>
      <c r="I105" s="93"/>
      <c r="J105" s="93"/>
      <c r="K105" s="93"/>
      <c r="L105" s="93"/>
      <c r="M105" s="93"/>
      <c r="N105" s="26"/>
      <c r="O105" s="1"/>
    </row>
    <row r="106" spans="1:15" x14ac:dyDescent="0.25">
      <c r="A106" s="114"/>
      <c r="B106" s="93"/>
      <c r="C106" s="93"/>
      <c r="D106" s="93"/>
      <c r="E106" s="93"/>
      <c r="F106" s="93"/>
      <c r="G106" s="93"/>
      <c r="H106" s="93"/>
      <c r="I106" s="93"/>
      <c r="J106" s="93"/>
      <c r="K106" s="93"/>
      <c r="L106" s="93"/>
      <c r="M106" s="93"/>
      <c r="N106" s="26"/>
      <c r="O106" s="1"/>
    </row>
    <row r="107" spans="1:15" x14ac:dyDescent="0.25">
      <c r="A107" s="114"/>
      <c r="B107" s="93"/>
      <c r="C107" s="93"/>
      <c r="D107" s="93"/>
      <c r="E107" s="93"/>
      <c r="F107" s="93"/>
      <c r="G107" s="93"/>
      <c r="H107" s="93"/>
      <c r="I107" s="93"/>
      <c r="J107" s="93"/>
      <c r="K107" s="93"/>
      <c r="L107" s="93"/>
      <c r="M107" s="93"/>
      <c r="N107" s="26"/>
      <c r="O107" s="1"/>
    </row>
    <row r="108" spans="1:15" x14ac:dyDescent="0.25">
      <c r="A108" s="114"/>
      <c r="B108" s="93"/>
      <c r="C108" s="93"/>
      <c r="D108" s="93"/>
      <c r="E108" s="93"/>
      <c r="F108" s="93"/>
      <c r="G108" s="93"/>
      <c r="H108" s="93"/>
      <c r="I108" s="93"/>
      <c r="J108" s="93"/>
      <c r="K108" s="93"/>
      <c r="L108" s="93"/>
      <c r="M108" s="93"/>
      <c r="N108" s="26"/>
      <c r="O108" s="1"/>
    </row>
    <row r="109" spans="1:15" x14ac:dyDescent="0.25">
      <c r="A109" s="114"/>
      <c r="B109" s="93"/>
      <c r="C109" s="93"/>
      <c r="D109" s="93"/>
      <c r="E109" s="93"/>
      <c r="F109" s="93"/>
      <c r="G109" s="93"/>
      <c r="H109" s="93"/>
      <c r="I109" s="93"/>
      <c r="J109" s="93"/>
      <c r="K109" s="93"/>
      <c r="L109" s="93"/>
      <c r="M109" s="93"/>
      <c r="N109" s="26"/>
      <c r="O109" s="1"/>
    </row>
    <row r="110" spans="1:15" x14ac:dyDescent="0.25">
      <c r="A110" s="114"/>
      <c r="B110" s="93"/>
      <c r="C110" s="93"/>
      <c r="D110" s="93"/>
      <c r="E110" s="93"/>
      <c r="F110" s="93"/>
      <c r="G110" s="93"/>
      <c r="H110" s="93"/>
      <c r="I110" s="93"/>
      <c r="J110" s="93"/>
      <c r="K110" s="93"/>
      <c r="L110" s="93"/>
      <c r="M110" s="93"/>
      <c r="N110" s="26"/>
      <c r="O110" s="1"/>
    </row>
    <row r="111" spans="1:15" x14ac:dyDescent="0.25">
      <c r="A111" s="114"/>
      <c r="B111" s="93"/>
      <c r="C111" s="93"/>
      <c r="D111" s="93"/>
      <c r="E111" s="93"/>
      <c r="F111" s="93"/>
      <c r="G111" s="93"/>
      <c r="H111" s="93"/>
      <c r="I111" s="93"/>
      <c r="J111" s="93"/>
      <c r="K111" s="93"/>
      <c r="L111" s="93"/>
      <c r="M111" s="93"/>
      <c r="N111" s="26"/>
      <c r="O111" s="1"/>
    </row>
    <row r="112" spans="1:15" x14ac:dyDescent="0.25">
      <c r="A112" s="114"/>
      <c r="B112" s="93"/>
      <c r="C112" s="93"/>
      <c r="D112" s="93"/>
      <c r="E112" s="93"/>
      <c r="F112" s="93"/>
      <c r="G112" s="93"/>
      <c r="H112" s="93"/>
      <c r="I112" s="93"/>
      <c r="J112" s="93"/>
      <c r="K112" s="93"/>
      <c r="L112" s="93"/>
      <c r="M112" s="93"/>
      <c r="N112" s="26"/>
      <c r="O112" s="1"/>
    </row>
    <row r="113" spans="1:15" x14ac:dyDescent="0.25">
      <c r="A113" s="114"/>
      <c r="B113" s="93"/>
      <c r="C113" s="93"/>
      <c r="D113" s="93"/>
      <c r="E113" s="93"/>
      <c r="F113" s="93"/>
      <c r="G113" s="93"/>
      <c r="H113" s="93"/>
      <c r="I113" s="93"/>
      <c r="J113" s="93"/>
      <c r="K113" s="93"/>
      <c r="L113" s="93"/>
      <c r="M113" s="93"/>
      <c r="N113" s="26"/>
      <c r="O113" s="1"/>
    </row>
    <row r="114" spans="1:15" x14ac:dyDescent="0.25">
      <c r="A114" s="114"/>
      <c r="B114" s="93"/>
      <c r="C114" s="93"/>
      <c r="D114" s="93"/>
      <c r="E114" s="93"/>
      <c r="F114" s="93"/>
      <c r="G114" s="93"/>
      <c r="H114" s="93"/>
      <c r="I114" s="93"/>
      <c r="J114" s="93"/>
      <c r="K114" s="93"/>
      <c r="L114" s="93"/>
      <c r="M114" s="93"/>
      <c r="N114" s="26"/>
      <c r="O114" s="1"/>
    </row>
    <row r="115" spans="1:15" x14ac:dyDescent="0.25">
      <c r="A115" s="114"/>
      <c r="B115" s="93"/>
      <c r="C115" s="93"/>
      <c r="D115" s="93"/>
      <c r="E115" s="93"/>
      <c r="F115" s="93"/>
      <c r="G115" s="93"/>
      <c r="H115" s="93"/>
      <c r="I115" s="93"/>
      <c r="J115" s="93"/>
      <c r="K115" s="93"/>
      <c r="L115" s="93"/>
      <c r="M115" s="93"/>
      <c r="N115" s="26"/>
      <c r="O115" s="1"/>
    </row>
    <row r="116" spans="1:15" x14ac:dyDescent="0.25">
      <c r="A116" s="114"/>
      <c r="B116" s="93"/>
      <c r="C116" s="93"/>
      <c r="D116" s="93"/>
      <c r="E116" s="93"/>
      <c r="F116" s="93"/>
      <c r="G116" s="93"/>
      <c r="H116" s="93"/>
      <c r="I116" s="93"/>
      <c r="J116" s="93"/>
      <c r="K116" s="93"/>
      <c r="L116" s="93"/>
      <c r="M116" s="93"/>
      <c r="N116" s="26"/>
      <c r="O116" s="1"/>
    </row>
    <row r="117" spans="1:15" x14ac:dyDescent="0.25">
      <c r="A117" s="114"/>
      <c r="B117" s="93"/>
      <c r="C117" s="93"/>
      <c r="D117" s="93"/>
      <c r="E117" s="93"/>
      <c r="F117" s="93"/>
      <c r="G117" s="93"/>
      <c r="H117" s="93"/>
      <c r="I117" s="93"/>
      <c r="J117" s="93"/>
      <c r="K117" s="93"/>
      <c r="L117" s="93"/>
      <c r="M117" s="93"/>
      <c r="N117" s="26"/>
      <c r="O117" s="1"/>
    </row>
    <row r="118" spans="1:15" x14ac:dyDescent="0.25">
      <c r="A118" s="114"/>
      <c r="B118" s="93"/>
      <c r="C118" s="93"/>
      <c r="D118" s="93"/>
      <c r="E118" s="93"/>
      <c r="F118" s="93"/>
      <c r="G118" s="93"/>
      <c r="H118" s="93"/>
      <c r="I118" s="93"/>
      <c r="J118" s="93"/>
      <c r="K118" s="93"/>
      <c r="L118" s="93"/>
      <c r="M118" s="93"/>
      <c r="N118" s="26"/>
      <c r="O118" s="1"/>
    </row>
    <row r="119" spans="1:15" x14ac:dyDescent="0.25">
      <c r="A119" s="114"/>
      <c r="B119" s="93"/>
      <c r="C119" s="93"/>
      <c r="D119" s="93"/>
      <c r="E119" s="93"/>
      <c r="F119" s="93"/>
      <c r="G119" s="93"/>
      <c r="H119" s="93"/>
      <c r="I119" s="93"/>
      <c r="J119" s="93"/>
      <c r="K119" s="93"/>
      <c r="L119" s="93"/>
      <c r="M119" s="93"/>
      <c r="N119" s="26"/>
      <c r="O119" s="1"/>
    </row>
    <row r="120" spans="1:15" x14ac:dyDescent="0.25">
      <c r="A120" s="114"/>
      <c r="B120" s="93"/>
      <c r="C120" s="93"/>
      <c r="D120" s="93"/>
      <c r="E120" s="93"/>
      <c r="F120" s="93"/>
      <c r="G120" s="93"/>
      <c r="H120" s="93"/>
      <c r="I120" s="93"/>
      <c r="J120" s="93"/>
      <c r="K120" s="93"/>
      <c r="L120" s="93"/>
      <c r="M120" s="93"/>
      <c r="N120" s="26"/>
      <c r="O120" s="1"/>
    </row>
    <row r="121" spans="1:15" x14ac:dyDescent="0.25">
      <c r="A121" s="114"/>
      <c r="B121" s="93"/>
      <c r="C121" s="93"/>
      <c r="D121" s="93"/>
      <c r="E121" s="93"/>
      <c r="F121" s="93"/>
      <c r="G121" s="93"/>
      <c r="H121" s="93"/>
      <c r="I121" s="93"/>
      <c r="J121" s="93"/>
      <c r="K121" s="93"/>
      <c r="L121" s="93"/>
      <c r="M121" s="93"/>
      <c r="N121" s="26"/>
      <c r="O121" s="1"/>
    </row>
    <row r="122" spans="1:15" x14ac:dyDescent="0.25">
      <c r="A122" s="114"/>
      <c r="B122" s="93"/>
      <c r="C122" s="93"/>
      <c r="D122" s="93"/>
      <c r="E122" s="93"/>
      <c r="F122" s="93"/>
      <c r="G122" s="93"/>
      <c r="H122" s="93"/>
      <c r="I122" s="93"/>
      <c r="J122" s="93"/>
      <c r="K122" s="93"/>
      <c r="L122" s="93"/>
      <c r="M122" s="93"/>
      <c r="N122" s="26"/>
      <c r="O122" s="1"/>
    </row>
    <row r="123" spans="1:15" x14ac:dyDescent="0.25">
      <c r="A123" s="114"/>
      <c r="B123" s="93"/>
      <c r="C123" s="93"/>
      <c r="D123" s="93"/>
      <c r="E123" s="93"/>
      <c r="F123" s="93"/>
      <c r="G123" s="93"/>
      <c r="H123" s="93"/>
      <c r="I123" s="93"/>
      <c r="J123" s="93"/>
      <c r="K123" s="93"/>
      <c r="L123" s="93"/>
      <c r="M123" s="93"/>
      <c r="N123" s="26"/>
      <c r="O123" s="1"/>
    </row>
    <row r="124" spans="1:15" x14ac:dyDescent="0.25">
      <c r="A124" s="114"/>
      <c r="B124" s="93"/>
      <c r="C124" s="93"/>
      <c r="D124" s="93"/>
      <c r="E124" s="93"/>
      <c r="F124" s="93"/>
      <c r="G124" s="93"/>
      <c r="H124" s="93"/>
      <c r="I124" s="93"/>
      <c r="J124" s="93"/>
      <c r="K124" s="93"/>
      <c r="L124" s="93"/>
      <c r="M124" s="93"/>
      <c r="N124" s="26"/>
      <c r="O124" s="1"/>
    </row>
    <row r="125" spans="1:15" x14ac:dyDescent="0.25">
      <c r="A125" s="114"/>
      <c r="B125" s="93"/>
      <c r="C125" s="93"/>
      <c r="D125" s="93"/>
      <c r="E125" s="93"/>
      <c r="F125" s="93"/>
      <c r="G125" s="93"/>
      <c r="H125" s="93"/>
      <c r="I125" s="93"/>
      <c r="J125" s="93"/>
      <c r="K125" s="93"/>
      <c r="L125" s="93"/>
      <c r="M125" s="93"/>
      <c r="N125" s="26"/>
      <c r="O125" s="1"/>
    </row>
    <row r="126" spans="1:15" x14ac:dyDescent="0.25">
      <c r="A126" s="114"/>
      <c r="B126" s="93"/>
      <c r="C126" s="93"/>
      <c r="D126" s="93"/>
      <c r="E126" s="93"/>
      <c r="F126" s="93"/>
      <c r="G126" s="93"/>
      <c r="H126" s="93"/>
      <c r="I126" s="93"/>
      <c r="J126" s="93"/>
      <c r="K126" s="93"/>
      <c r="L126" s="93"/>
      <c r="M126" s="93"/>
      <c r="N126" s="26"/>
      <c r="O126" s="1"/>
    </row>
    <row r="127" spans="1:15" x14ac:dyDescent="0.25">
      <c r="A127" s="114"/>
      <c r="B127" s="93"/>
      <c r="C127" s="93"/>
      <c r="D127" s="93"/>
      <c r="E127" s="93"/>
      <c r="F127" s="93"/>
      <c r="G127" s="93"/>
      <c r="H127" s="93"/>
      <c r="I127" s="93"/>
      <c r="J127" s="93"/>
      <c r="K127" s="93"/>
      <c r="L127" s="93"/>
      <c r="M127" s="93"/>
      <c r="N127" s="26"/>
      <c r="O127" s="1"/>
    </row>
    <row r="128" spans="1:15" x14ac:dyDescent="0.25">
      <c r="A128" s="114"/>
      <c r="B128" s="93"/>
      <c r="C128" s="93"/>
      <c r="D128" s="93"/>
      <c r="E128" s="93"/>
      <c r="F128" s="93"/>
      <c r="G128" s="93"/>
      <c r="H128" s="93"/>
      <c r="I128" s="93"/>
      <c r="J128" s="93"/>
      <c r="K128" s="93"/>
      <c r="L128" s="93"/>
      <c r="M128" s="93"/>
      <c r="N128" s="26"/>
      <c r="O128" s="1"/>
    </row>
    <row r="129" spans="1:15" x14ac:dyDescent="0.25">
      <c r="A129" s="114"/>
      <c r="B129" s="93"/>
      <c r="C129" s="93"/>
      <c r="D129" s="93"/>
      <c r="E129" s="93"/>
      <c r="F129" s="93"/>
      <c r="G129" s="93"/>
      <c r="H129" s="93"/>
      <c r="I129" s="93"/>
      <c r="J129" s="93"/>
      <c r="K129" s="93"/>
      <c r="L129" s="93"/>
      <c r="M129" s="93"/>
      <c r="N129" s="26"/>
      <c r="O129" s="1"/>
    </row>
    <row r="130" spans="1:15" x14ac:dyDescent="0.25">
      <c r="A130" s="114"/>
      <c r="B130" s="93"/>
      <c r="C130" s="93"/>
      <c r="D130" s="93"/>
      <c r="E130" s="93"/>
      <c r="F130" s="93"/>
      <c r="G130" s="93"/>
      <c r="H130" s="93"/>
      <c r="I130" s="93"/>
      <c r="J130" s="93"/>
      <c r="K130" s="93"/>
      <c r="L130" s="93"/>
      <c r="M130" s="93"/>
      <c r="N130" s="26"/>
      <c r="O130" s="1"/>
    </row>
    <row r="131" spans="1:15" x14ac:dyDescent="0.25">
      <c r="A131" s="114"/>
      <c r="B131" s="93"/>
      <c r="C131" s="93"/>
      <c r="D131" s="93"/>
      <c r="E131" s="93"/>
      <c r="F131" s="93"/>
      <c r="G131" s="93"/>
      <c r="H131" s="93"/>
      <c r="I131" s="93"/>
      <c r="J131" s="93"/>
      <c r="K131" s="93"/>
      <c r="L131" s="93"/>
      <c r="M131" s="93"/>
      <c r="N131" s="26"/>
      <c r="O131" s="1"/>
    </row>
    <row r="132" spans="1:15" x14ac:dyDescent="0.25">
      <c r="A132" s="114"/>
      <c r="B132" s="93"/>
      <c r="C132" s="93"/>
      <c r="D132" s="93"/>
      <c r="E132" s="93"/>
      <c r="F132" s="93"/>
      <c r="G132" s="93"/>
      <c r="H132" s="93"/>
      <c r="I132" s="93"/>
      <c r="J132" s="93"/>
      <c r="K132" s="93"/>
      <c r="L132" s="93"/>
      <c r="M132" s="93"/>
      <c r="N132" s="26"/>
      <c r="O132" s="1"/>
    </row>
    <row r="133" spans="1:15" x14ac:dyDescent="0.25">
      <c r="A133" s="114"/>
      <c r="B133" s="93"/>
      <c r="C133" s="93"/>
      <c r="D133" s="93"/>
      <c r="E133" s="93"/>
      <c r="F133" s="93"/>
      <c r="G133" s="93"/>
      <c r="H133" s="93"/>
      <c r="I133" s="93"/>
      <c r="J133" s="93"/>
      <c r="K133" s="93"/>
      <c r="L133" s="93"/>
      <c r="M133" s="93"/>
      <c r="N133" s="26"/>
      <c r="O133" s="1"/>
    </row>
    <row r="134" spans="1:15" x14ac:dyDescent="0.25">
      <c r="A134" s="114"/>
      <c r="B134" s="93"/>
      <c r="C134" s="93"/>
      <c r="D134" s="93"/>
      <c r="E134" s="93"/>
      <c r="F134" s="93"/>
      <c r="G134" s="93"/>
      <c r="H134" s="93"/>
      <c r="I134" s="93"/>
      <c r="J134" s="93"/>
      <c r="K134" s="93"/>
      <c r="L134" s="93"/>
      <c r="M134" s="93"/>
      <c r="N134" s="26"/>
      <c r="O134" s="1"/>
    </row>
    <row r="135" spans="1:15" x14ac:dyDescent="0.25">
      <c r="A135" s="114"/>
      <c r="B135" s="93"/>
      <c r="C135" s="93"/>
      <c r="D135" s="93"/>
      <c r="E135" s="93"/>
      <c r="F135" s="93"/>
      <c r="G135" s="93"/>
      <c r="H135" s="93"/>
      <c r="I135" s="93"/>
      <c r="J135" s="93"/>
      <c r="K135" s="93"/>
      <c r="L135" s="93"/>
      <c r="M135" s="93"/>
      <c r="N135" s="26"/>
      <c r="O135" s="1"/>
    </row>
    <row r="136" spans="1:15" x14ac:dyDescent="0.25">
      <c r="A136" s="114"/>
      <c r="B136" s="93"/>
      <c r="C136" s="93"/>
      <c r="D136" s="93"/>
      <c r="E136" s="93"/>
      <c r="F136" s="93"/>
      <c r="G136" s="93"/>
      <c r="H136" s="93"/>
      <c r="I136" s="93"/>
      <c r="J136" s="93"/>
      <c r="K136" s="93"/>
      <c r="L136" s="93"/>
      <c r="M136" s="93"/>
      <c r="N136" s="26"/>
      <c r="O136" s="1"/>
    </row>
    <row r="137" spans="1:15" x14ac:dyDescent="0.25">
      <c r="A137" s="114"/>
      <c r="B137" s="93"/>
      <c r="C137" s="93"/>
      <c r="D137" s="93"/>
      <c r="E137" s="93"/>
      <c r="F137" s="93"/>
      <c r="G137" s="93"/>
      <c r="H137" s="93"/>
      <c r="I137" s="93"/>
      <c r="J137" s="93"/>
      <c r="K137" s="93"/>
      <c r="L137" s="93"/>
      <c r="M137" s="93"/>
      <c r="N137" s="26"/>
      <c r="O137" s="1"/>
    </row>
    <row r="138" spans="1:15" x14ac:dyDescent="0.25">
      <c r="A138" s="114"/>
      <c r="B138" s="93"/>
      <c r="C138" s="93"/>
      <c r="D138" s="93"/>
      <c r="E138" s="93"/>
      <c r="F138" s="93"/>
      <c r="G138" s="93"/>
      <c r="H138" s="93"/>
      <c r="I138" s="93"/>
      <c r="J138" s="93"/>
      <c r="K138" s="93"/>
      <c r="L138" s="93"/>
      <c r="M138" s="93"/>
      <c r="N138" s="26"/>
      <c r="O138" s="1"/>
    </row>
    <row r="139" spans="1:15" x14ac:dyDescent="0.25">
      <c r="A139" s="114"/>
      <c r="B139" s="93"/>
      <c r="C139" s="93"/>
      <c r="D139" s="93"/>
      <c r="E139" s="93"/>
      <c r="F139" s="93"/>
      <c r="G139" s="93"/>
      <c r="H139" s="93"/>
      <c r="I139" s="93"/>
      <c r="J139" s="93"/>
      <c r="K139" s="93"/>
      <c r="L139" s="93"/>
      <c r="M139" s="93"/>
      <c r="N139" s="26"/>
      <c r="O139" s="1"/>
    </row>
    <row r="140" spans="1:15" x14ac:dyDescent="0.25">
      <c r="A140" s="114"/>
      <c r="B140" s="93"/>
      <c r="C140" s="93"/>
      <c r="D140" s="93"/>
      <c r="E140" s="93"/>
      <c r="F140" s="93"/>
      <c r="G140" s="93"/>
      <c r="H140" s="93"/>
      <c r="I140" s="93"/>
      <c r="J140" s="93"/>
      <c r="K140" s="93"/>
      <c r="L140" s="93"/>
      <c r="M140" s="93"/>
      <c r="N140" s="26"/>
      <c r="O140" s="1"/>
    </row>
    <row r="141" spans="1:15" x14ac:dyDescent="0.25">
      <c r="A141" s="114"/>
      <c r="B141" s="93"/>
      <c r="C141" s="93"/>
      <c r="D141" s="93"/>
      <c r="E141" s="93"/>
      <c r="F141" s="93"/>
      <c r="G141" s="93"/>
      <c r="H141" s="93"/>
      <c r="I141" s="93"/>
      <c r="J141" s="93"/>
      <c r="K141" s="93"/>
      <c r="L141" s="93"/>
      <c r="M141" s="93"/>
      <c r="N141" s="26"/>
      <c r="O141" s="1"/>
    </row>
    <row r="142" spans="1:15" x14ac:dyDescent="0.25">
      <c r="A142" s="114"/>
      <c r="B142" s="93"/>
      <c r="C142" s="93"/>
      <c r="D142" s="93"/>
      <c r="E142" s="93"/>
      <c r="F142" s="93"/>
      <c r="G142" s="93"/>
      <c r="H142" s="93"/>
      <c r="I142" s="93"/>
      <c r="J142" s="93"/>
      <c r="K142" s="93"/>
      <c r="L142" s="93"/>
      <c r="M142" s="93"/>
      <c r="N142" s="26"/>
      <c r="O142" s="1"/>
    </row>
    <row r="143" spans="1:15" x14ac:dyDescent="0.25">
      <c r="A143" s="114"/>
      <c r="B143" s="114"/>
      <c r="C143" s="114"/>
      <c r="D143" s="114"/>
      <c r="E143" s="114"/>
      <c r="F143" s="114"/>
      <c r="G143" s="114"/>
      <c r="H143" s="114"/>
      <c r="I143" s="114"/>
      <c r="J143" s="114"/>
      <c r="K143" s="114"/>
      <c r="L143" s="114"/>
      <c r="M143" s="114"/>
      <c r="N143" s="26"/>
      <c r="O143" s="1"/>
    </row>
    <row r="144" spans="1:15" x14ac:dyDescent="0.25">
      <c r="A144" s="114"/>
      <c r="B144" s="114"/>
      <c r="C144" s="114"/>
      <c r="D144" s="114"/>
      <c r="E144" s="114"/>
      <c r="F144" s="114"/>
      <c r="G144" s="114"/>
      <c r="H144" s="114"/>
      <c r="I144" s="114"/>
      <c r="J144" s="114"/>
      <c r="K144" s="114"/>
      <c r="L144" s="114"/>
      <c r="M144" s="114"/>
      <c r="N144" s="26"/>
      <c r="O144" s="1"/>
    </row>
    <row r="145" spans="1:15" x14ac:dyDescent="0.25">
      <c r="A145" s="114"/>
      <c r="B145" s="114"/>
      <c r="C145" s="114"/>
      <c r="D145" s="114"/>
      <c r="E145" s="114"/>
      <c r="F145" s="114"/>
      <c r="G145" s="114"/>
      <c r="H145" s="114"/>
      <c r="I145" s="114"/>
      <c r="J145" s="114"/>
      <c r="K145" s="114"/>
      <c r="L145" s="114"/>
      <c r="M145" s="114"/>
      <c r="N145" s="26"/>
      <c r="O145" s="1"/>
    </row>
    <row r="146" spans="1:15" x14ac:dyDescent="0.25">
      <c r="A146" s="114"/>
      <c r="B146" s="114"/>
      <c r="C146" s="114"/>
      <c r="D146" s="114"/>
      <c r="E146" s="114"/>
      <c r="F146" s="114"/>
      <c r="G146" s="114"/>
      <c r="H146" s="114"/>
      <c r="I146" s="114"/>
      <c r="J146" s="114"/>
      <c r="K146" s="114"/>
      <c r="L146" s="114"/>
      <c r="M146" s="114"/>
      <c r="N146" s="26"/>
      <c r="O146" s="1"/>
    </row>
    <row r="147" spans="1:15" x14ac:dyDescent="0.25">
      <c r="A147" s="114"/>
      <c r="B147" s="114"/>
      <c r="C147" s="114"/>
      <c r="D147" s="114"/>
      <c r="E147" s="114"/>
      <c r="F147" s="114"/>
      <c r="G147" s="114"/>
      <c r="H147" s="114"/>
      <c r="I147" s="114"/>
      <c r="J147" s="114"/>
      <c r="K147" s="114"/>
      <c r="L147" s="114"/>
      <c r="M147" s="114"/>
      <c r="N147" s="26"/>
      <c r="O147" s="1"/>
    </row>
    <row r="148" spans="1:15" x14ac:dyDescent="0.25">
      <c r="A148" s="114"/>
      <c r="B148" s="114"/>
      <c r="C148" s="114"/>
      <c r="D148" s="114"/>
      <c r="E148" s="114"/>
      <c r="F148" s="114"/>
      <c r="G148" s="114"/>
      <c r="H148" s="114"/>
      <c r="I148" s="114"/>
      <c r="J148" s="114"/>
      <c r="K148" s="114"/>
      <c r="L148" s="114"/>
      <c r="M148" s="114"/>
      <c r="N148" s="26"/>
      <c r="O148" s="1"/>
    </row>
    <row r="149" spans="1:15" x14ac:dyDescent="0.25">
      <c r="A149" s="114"/>
      <c r="B149" s="114"/>
      <c r="C149" s="114"/>
      <c r="D149" s="114"/>
      <c r="E149" s="114"/>
      <c r="F149" s="114"/>
      <c r="G149" s="114"/>
      <c r="H149" s="114"/>
      <c r="I149" s="114"/>
      <c r="J149" s="114"/>
      <c r="K149" s="114"/>
      <c r="L149" s="114"/>
      <c r="M149" s="114"/>
      <c r="N149" s="26"/>
      <c r="O149" s="1"/>
    </row>
    <row r="150" spans="1:15" x14ac:dyDescent="0.25">
      <c r="A150" s="114"/>
      <c r="B150" s="114"/>
      <c r="C150" s="114"/>
      <c r="D150" s="114"/>
      <c r="E150" s="114"/>
      <c r="F150" s="114"/>
      <c r="G150" s="114"/>
      <c r="H150" s="114"/>
      <c r="I150" s="114"/>
      <c r="J150" s="114"/>
      <c r="K150" s="114"/>
      <c r="L150" s="114"/>
      <c r="M150" s="114"/>
      <c r="N150" s="26"/>
      <c r="O150" s="1"/>
    </row>
    <row r="151" spans="1:15" x14ac:dyDescent="0.25">
      <c r="A151" s="114"/>
      <c r="B151" s="93"/>
      <c r="C151" s="93"/>
      <c r="D151" s="93"/>
      <c r="E151" s="93"/>
      <c r="F151" s="93"/>
      <c r="G151" s="93"/>
      <c r="H151" s="93"/>
      <c r="I151" s="93"/>
      <c r="J151" s="93"/>
      <c r="K151" s="93"/>
      <c r="L151" s="93"/>
      <c r="M151" s="93"/>
      <c r="N151" s="26"/>
      <c r="O151" s="1"/>
    </row>
    <row r="152" spans="1:15" x14ac:dyDescent="0.25">
      <c r="A152" s="114"/>
      <c r="B152" s="93"/>
      <c r="C152" s="93"/>
      <c r="D152" s="93"/>
      <c r="E152" s="93"/>
      <c r="F152" s="93"/>
      <c r="G152" s="93"/>
      <c r="H152" s="93"/>
      <c r="I152" s="93"/>
      <c r="J152" s="93"/>
      <c r="K152" s="93"/>
      <c r="L152" s="93"/>
      <c r="M152" s="93"/>
      <c r="N152" s="26"/>
      <c r="O152" s="1"/>
    </row>
    <row r="153" spans="1:15" x14ac:dyDescent="0.25">
      <c r="A153" s="114"/>
      <c r="B153" s="93"/>
      <c r="C153" s="93"/>
      <c r="D153" s="93"/>
      <c r="E153" s="93"/>
      <c r="F153" s="93"/>
      <c r="G153" s="93"/>
      <c r="H153" s="93"/>
      <c r="I153" s="93"/>
      <c r="J153" s="93"/>
      <c r="K153" s="93"/>
      <c r="L153" s="93"/>
      <c r="M153" s="93"/>
      <c r="N153" s="26"/>
      <c r="O153" s="1"/>
    </row>
    <row r="154" spans="1:15" x14ac:dyDescent="0.25">
      <c r="A154" s="114"/>
      <c r="B154" s="93"/>
      <c r="C154" s="93"/>
      <c r="D154" s="93"/>
      <c r="E154" s="93"/>
      <c r="F154" s="93"/>
      <c r="G154" s="93"/>
      <c r="H154" s="93"/>
      <c r="I154" s="93"/>
      <c r="J154" s="93"/>
      <c r="K154" s="93"/>
      <c r="L154" s="93"/>
      <c r="M154" s="93"/>
      <c r="N154" s="26"/>
      <c r="O154" s="1"/>
    </row>
    <row r="155" spans="1:15" x14ac:dyDescent="0.25">
      <c r="A155" s="114"/>
      <c r="B155" s="93"/>
      <c r="C155" s="93"/>
      <c r="D155" s="93"/>
      <c r="E155" s="93"/>
      <c r="F155" s="93"/>
      <c r="G155" s="93"/>
      <c r="H155" s="93"/>
      <c r="I155" s="93"/>
      <c r="J155" s="93"/>
      <c r="K155" s="93"/>
      <c r="L155" s="93"/>
      <c r="M155" s="93"/>
      <c r="N155" s="26"/>
      <c r="O155" s="1"/>
    </row>
    <row r="156" spans="1:15" x14ac:dyDescent="0.25">
      <c r="A156" s="114"/>
      <c r="B156" s="93"/>
      <c r="C156" s="93"/>
      <c r="D156" s="93"/>
      <c r="E156" s="93"/>
      <c r="F156" s="93"/>
      <c r="G156" s="93"/>
      <c r="H156" s="93"/>
      <c r="I156" s="93"/>
      <c r="J156" s="93"/>
      <c r="K156" s="93"/>
      <c r="L156" s="93"/>
      <c r="M156" s="93"/>
      <c r="N156" s="26"/>
      <c r="O156" s="1"/>
    </row>
    <row r="157" spans="1:15" x14ac:dyDescent="0.25">
      <c r="A157" s="114"/>
      <c r="B157" s="93"/>
      <c r="C157" s="93"/>
      <c r="D157" s="93"/>
      <c r="E157" s="93"/>
      <c r="F157" s="93"/>
      <c r="G157" s="93"/>
      <c r="H157" s="93"/>
      <c r="I157" s="93"/>
      <c r="J157" s="93"/>
      <c r="K157" s="93"/>
      <c r="L157" s="93"/>
      <c r="M157" s="93"/>
      <c r="N157" s="26"/>
      <c r="O157" s="1"/>
    </row>
    <row r="158" spans="1:15" x14ac:dyDescent="0.25">
      <c r="A158" s="114"/>
      <c r="B158" s="93"/>
      <c r="C158" s="93"/>
      <c r="D158" s="93"/>
      <c r="E158" s="93"/>
      <c r="F158" s="93"/>
      <c r="G158" s="93"/>
      <c r="H158" s="93"/>
      <c r="I158" s="93"/>
      <c r="J158" s="93"/>
      <c r="K158" s="93"/>
      <c r="L158" s="93"/>
      <c r="M158" s="93"/>
      <c r="N158" s="26"/>
      <c r="O158" s="1"/>
    </row>
    <row r="159" spans="1:15" x14ac:dyDescent="0.25">
      <c r="A159" s="114"/>
      <c r="B159" s="93"/>
      <c r="C159" s="93"/>
      <c r="D159" s="93"/>
      <c r="E159" s="93"/>
      <c r="F159" s="93"/>
      <c r="G159" s="93"/>
      <c r="H159" s="93"/>
      <c r="I159" s="93"/>
      <c r="J159" s="93"/>
      <c r="K159" s="93"/>
      <c r="L159" s="93"/>
      <c r="M159" s="93"/>
      <c r="N159" s="26"/>
      <c r="O159" s="1"/>
    </row>
    <row r="160" spans="1:15" x14ac:dyDescent="0.25">
      <c r="A160" s="114"/>
      <c r="B160" s="93"/>
      <c r="C160" s="93"/>
      <c r="D160" s="93"/>
      <c r="E160" s="93"/>
      <c r="F160" s="93"/>
      <c r="G160" s="93"/>
      <c r="H160" s="93"/>
      <c r="I160" s="93"/>
      <c r="J160" s="93"/>
      <c r="K160" s="93"/>
      <c r="L160" s="93"/>
      <c r="M160" s="93"/>
      <c r="N160" s="26"/>
      <c r="O160" s="1"/>
    </row>
    <row r="161" spans="1:15" x14ac:dyDescent="0.25">
      <c r="A161" s="114"/>
      <c r="B161" s="93"/>
      <c r="C161" s="93"/>
      <c r="D161" s="93"/>
      <c r="E161" s="93"/>
      <c r="F161" s="93"/>
      <c r="G161" s="93"/>
      <c r="H161" s="93"/>
      <c r="I161" s="93"/>
      <c r="J161" s="93"/>
      <c r="K161" s="93"/>
      <c r="L161" s="93"/>
      <c r="M161" s="93"/>
      <c r="N161" s="26"/>
      <c r="O161" s="1"/>
    </row>
    <row r="162" spans="1:15" x14ac:dyDescent="0.25">
      <c r="A162" s="114"/>
      <c r="B162" s="93"/>
      <c r="C162" s="93"/>
      <c r="D162" s="93"/>
      <c r="E162" s="93"/>
      <c r="F162" s="93"/>
      <c r="G162" s="93"/>
      <c r="H162" s="93"/>
      <c r="I162" s="93"/>
      <c r="J162" s="93"/>
      <c r="K162" s="93"/>
      <c r="L162" s="93"/>
      <c r="M162" s="93"/>
      <c r="N162" s="26"/>
      <c r="O162" s="1"/>
    </row>
    <row r="163" spans="1:15" x14ac:dyDescent="0.25">
      <c r="A163" s="114"/>
      <c r="B163" s="93"/>
      <c r="C163" s="93"/>
      <c r="D163" s="93"/>
      <c r="E163" s="93"/>
      <c r="F163" s="93"/>
      <c r="G163" s="93"/>
      <c r="H163" s="93"/>
      <c r="I163" s="93"/>
      <c r="J163" s="93"/>
      <c r="K163" s="93"/>
      <c r="L163" s="93"/>
      <c r="M163" s="93"/>
      <c r="N163" s="26"/>
      <c r="O163" s="1"/>
    </row>
    <row r="164" spans="1:15" x14ac:dyDescent="0.25">
      <c r="A164" s="114"/>
      <c r="B164" s="93"/>
      <c r="C164" s="93"/>
      <c r="D164" s="93"/>
      <c r="E164" s="93"/>
      <c r="F164" s="93"/>
      <c r="G164" s="93"/>
      <c r="H164" s="93"/>
      <c r="I164" s="93"/>
      <c r="J164" s="93"/>
      <c r="K164" s="93"/>
      <c r="L164" s="93"/>
      <c r="M164" s="93"/>
      <c r="N164" s="26"/>
      <c r="O164" s="1"/>
    </row>
    <row r="165" spans="1:15" x14ac:dyDescent="0.25">
      <c r="A165" s="114"/>
      <c r="B165" s="93"/>
      <c r="C165" s="93"/>
      <c r="D165" s="93"/>
      <c r="E165" s="93"/>
      <c r="F165" s="93"/>
      <c r="G165" s="93"/>
      <c r="H165" s="93"/>
      <c r="I165" s="93"/>
      <c r="J165" s="93"/>
      <c r="K165" s="93"/>
      <c r="L165" s="93"/>
      <c r="M165" s="93"/>
      <c r="N165" s="26"/>
      <c r="O165" s="1"/>
    </row>
    <row r="166" spans="1:15" x14ac:dyDescent="0.25">
      <c r="A166" s="114"/>
      <c r="B166" s="93"/>
      <c r="C166" s="93"/>
      <c r="D166" s="93"/>
      <c r="E166" s="93"/>
      <c r="F166" s="93"/>
      <c r="G166" s="93"/>
      <c r="H166" s="93"/>
      <c r="I166" s="93"/>
      <c r="J166" s="93"/>
      <c r="K166" s="93"/>
      <c r="L166" s="93"/>
      <c r="M166" s="93"/>
      <c r="N166" s="26"/>
      <c r="O166" s="1"/>
    </row>
    <row r="167" spans="1:15" x14ac:dyDescent="0.25">
      <c r="A167" s="114"/>
      <c r="B167" s="93"/>
      <c r="C167" s="93"/>
      <c r="D167" s="93"/>
      <c r="E167" s="93"/>
      <c r="F167" s="93"/>
      <c r="G167" s="93"/>
      <c r="H167" s="93"/>
      <c r="I167" s="93"/>
      <c r="J167" s="93"/>
      <c r="K167" s="93"/>
      <c r="L167" s="93"/>
      <c r="M167" s="93"/>
      <c r="N167" s="26"/>
      <c r="O167" s="1"/>
    </row>
    <row r="168" spans="1:15" x14ac:dyDescent="0.25">
      <c r="A168" s="114"/>
      <c r="B168" s="93"/>
      <c r="C168" s="93"/>
      <c r="D168" s="93"/>
      <c r="E168" s="93"/>
      <c r="F168" s="93"/>
      <c r="G168" s="93"/>
      <c r="H168" s="93"/>
      <c r="I168" s="93"/>
      <c r="J168" s="93"/>
      <c r="K168" s="93"/>
      <c r="L168" s="93"/>
      <c r="M168" s="93"/>
      <c r="N168" s="26"/>
      <c r="O168" s="1"/>
    </row>
    <row r="169" spans="1:15" x14ac:dyDescent="0.25">
      <c r="A169" s="114"/>
      <c r="B169" s="93"/>
      <c r="C169" s="93"/>
      <c r="D169" s="93"/>
      <c r="E169" s="93"/>
      <c r="F169" s="93"/>
      <c r="G169" s="93"/>
      <c r="H169" s="93"/>
      <c r="I169" s="93"/>
      <c r="J169" s="93"/>
      <c r="K169" s="93"/>
      <c r="L169" s="93"/>
      <c r="M169" s="93"/>
      <c r="N169" s="26"/>
      <c r="O169" s="1"/>
    </row>
    <row r="170" spans="1:15" x14ac:dyDescent="0.25">
      <c r="A170" s="114"/>
      <c r="B170" s="93"/>
      <c r="C170" s="93"/>
      <c r="D170" s="93"/>
      <c r="E170" s="93"/>
      <c r="F170" s="93"/>
      <c r="G170" s="93"/>
      <c r="H170" s="93"/>
      <c r="I170" s="93"/>
      <c r="J170" s="93"/>
      <c r="K170" s="93"/>
      <c r="L170" s="93"/>
      <c r="M170" s="93"/>
      <c r="N170" s="26"/>
      <c r="O170" s="1"/>
    </row>
    <row r="171" spans="1:15" x14ac:dyDescent="0.25">
      <c r="A171" s="114"/>
      <c r="B171" s="93"/>
      <c r="C171" s="93"/>
      <c r="D171" s="93"/>
      <c r="E171" s="93"/>
      <c r="F171" s="93"/>
      <c r="G171" s="93"/>
      <c r="H171" s="93"/>
      <c r="I171" s="93"/>
      <c r="J171" s="93"/>
      <c r="K171" s="93"/>
      <c r="L171" s="93"/>
      <c r="M171" s="93"/>
      <c r="N171" s="26"/>
      <c r="O171" s="1"/>
    </row>
    <row r="172" spans="1:15" x14ac:dyDescent="0.25">
      <c r="A172" s="114"/>
      <c r="B172" s="93"/>
      <c r="C172" s="93"/>
      <c r="D172" s="93"/>
      <c r="E172" s="93"/>
      <c r="F172" s="93"/>
      <c r="G172" s="93"/>
      <c r="H172" s="93"/>
      <c r="I172" s="93"/>
      <c r="J172" s="93"/>
      <c r="K172" s="93"/>
      <c r="L172" s="93"/>
      <c r="M172" s="93"/>
      <c r="N172" s="26"/>
      <c r="O172" s="1"/>
    </row>
    <row r="173" spans="1:15" x14ac:dyDescent="0.25">
      <c r="A173" s="114"/>
      <c r="B173" s="93"/>
      <c r="C173" s="93"/>
      <c r="D173" s="93"/>
      <c r="E173" s="93"/>
      <c r="F173" s="93"/>
      <c r="G173" s="93"/>
      <c r="H173" s="93"/>
      <c r="I173" s="93"/>
      <c r="J173" s="93"/>
      <c r="K173" s="93"/>
      <c r="L173" s="93"/>
      <c r="M173" s="93"/>
      <c r="N173" s="26"/>
      <c r="O173" s="1"/>
    </row>
    <row r="174" spans="1:15" x14ac:dyDescent="0.25">
      <c r="A174" s="114"/>
      <c r="B174" s="93"/>
      <c r="C174" s="93"/>
      <c r="D174" s="93"/>
      <c r="E174" s="93"/>
      <c r="F174" s="93"/>
      <c r="G174" s="93"/>
      <c r="H174" s="93"/>
      <c r="I174" s="93"/>
      <c r="J174" s="93"/>
      <c r="K174" s="93"/>
      <c r="L174" s="93"/>
      <c r="M174" s="93"/>
      <c r="N174" s="26"/>
      <c r="O174" s="1"/>
    </row>
    <row r="175" spans="1:15" x14ac:dyDescent="0.25">
      <c r="B175" s="1"/>
      <c r="C175" s="1"/>
      <c r="D175" s="1"/>
      <c r="E175" s="1"/>
      <c r="F175" s="1"/>
      <c r="G175" s="1"/>
      <c r="H175" s="1"/>
      <c r="I175" s="1"/>
      <c r="J175" s="1"/>
      <c r="K175" s="1"/>
      <c r="L175" s="1"/>
      <c r="M175" s="1"/>
      <c r="N175" s="26"/>
      <c r="O175" s="1"/>
    </row>
    <row r="176" spans="1:15" x14ac:dyDescent="0.25">
      <c r="B176" s="1"/>
      <c r="C176" s="1"/>
      <c r="D176" s="1"/>
      <c r="E176" s="1"/>
      <c r="F176" s="1"/>
      <c r="G176" s="1"/>
      <c r="H176" s="1"/>
      <c r="I176" s="1"/>
      <c r="J176" s="1"/>
      <c r="K176" s="1"/>
      <c r="L176" s="1"/>
      <c r="M176" s="1"/>
      <c r="N176" s="26"/>
      <c r="O176" s="1"/>
    </row>
    <row r="177" spans="2:15" x14ac:dyDescent="0.25">
      <c r="B177" s="1"/>
      <c r="C177" s="1"/>
      <c r="D177" s="1"/>
      <c r="E177" s="1"/>
      <c r="F177" s="1"/>
      <c r="G177" s="1"/>
      <c r="H177" s="1"/>
      <c r="I177" s="1"/>
      <c r="J177" s="1"/>
      <c r="K177" s="1"/>
      <c r="L177" s="1"/>
      <c r="M177" s="1"/>
      <c r="N177" s="26"/>
      <c r="O177" s="1"/>
    </row>
    <row r="178" spans="2:15" x14ac:dyDescent="0.25">
      <c r="B178" s="1"/>
      <c r="C178" s="1"/>
      <c r="D178" s="1"/>
      <c r="E178" s="1"/>
      <c r="F178" s="1"/>
      <c r="G178" s="1"/>
      <c r="H178" s="1"/>
      <c r="I178" s="1"/>
      <c r="J178" s="1"/>
      <c r="K178" s="1"/>
      <c r="L178" s="1"/>
      <c r="M178" s="1"/>
      <c r="N178" s="26"/>
      <c r="O178" s="1"/>
    </row>
    <row r="179" spans="2:15" x14ac:dyDescent="0.25">
      <c r="N179" s="19"/>
    </row>
    <row r="180" spans="2:15" x14ac:dyDescent="0.25">
      <c r="N180" s="19"/>
    </row>
    <row r="181" spans="2:15" x14ac:dyDescent="0.25">
      <c r="N181" s="19"/>
    </row>
    <row r="182" spans="2:15" x14ac:dyDescent="0.25">
      <c r="N182" s="19"/>
    </row>
    <row r="183" spans="2:15" x14ac:dyDescent="0.25">
      <c r="N183" s="19"/>
    </row>
    <row r="184" spans="2:15" x14ac:dyDescent="0.25">
      <c r="N184" s="19"/>
    </row>
    <row r="185" spans="2:15" x14ac:dyDescent="0.25">
      <c r="N185" s="19"/>
    </row>
    <row r="186" spans="2:15" x14ac:dyDescent="0.25">
      <c r="N186" s="19"/>
    </row>
    <row r="187" spans="2:15" x14ac:dyDescent="0.25">
      <c r="N187" s="19"/>
    </row>
    <row r="188" spans="2:15" x14ac:dyDescent="0.25">
      <c r="N188" s="19"/>
    </row>
    <row r="189" spans="2:15" x14ac:dyDescent="0.25">
      <c r="N189" s="19"/>
    </row>
    <row r="190" spans="2:15" x14ac:dyDescent="0.25">
      <c r="N190" s="19"/>
    </row>
    <row r="191" spans="2:15" x14ac:dyDescent="0.25">
      <c r="N191" s="19"/>
    </row>
    <row r="192" spans="2:15" x14ac:dyDescent="0.25">
      <c r="N192" s="19"/>
    </row>
    <row r="193" spans="14:14" x14ac:dyDescent="0.25">
      <c r="N193" s="19"/>
    </row>
    <row r="194" spans="14:14" x14ac:dyDescent="0.25">
      <c r="N194" s="19"/>
    </row>
    <row r="195" spans="14:14" x14ac:dyDescent="0.25">
      <c r="N195" s="19"/>
    </row>
    <row r="196" spans="14:14" x14ac:dyDescent="0.25">
      <c r="N196" s="19"/>
    </row>
    <row r="197" spans="14:14" x14ac:dyDescent="0.25">
      <c r="N197" s="19"/>
    </row>
    <row r="198" spans="14:14" x14ac:dyDescent="0.25">
      <c r="N198" s="19"/>
    </row>
    <row r="199" spans="14:14" x14ac:dyDescent="0.25">
      <c r="N199" s="19"/>
    </row>
    <row r="200" spans="14:14" x14ac:dyDescent="0.25">
      <c r="N200" s="19"/>
    </row>
    <row r="201" spans="14:14" x14ac:dyDescent="0.25">
      <c r="N201" s="19"/>
    </row>
    <row r="202" spans="14:14" x14ac:dyDescent="0.25">
      <c r="N202" s="19"/>
    </row>
    <row r="203" spans="14:14" x14ac:dyDescent="0.25">
      <c r="N203" s="19"/>
    </row>
    <row r="204" spans="14:14" x14ac:dyDescent="0.25">
      <c r="N204" s="19"/>
    </row>
    <row r="205" spans="14:14" x14ac:dyDescent="0.25">
      <c r="N205" s="19"/>
    </row>
    <row r="206" spans="14:14" x14ac:dyDescent="0.25">
      <c r="N206" s="19"/>
    </row>
    <row r="207" spans="14:14" x14ac:dyDescent="0.25">
      <c r="N207" s="19"/>
    </row>
    <row r="208" spans="14:14" x14ac:dyDescent="0.25">
      <c r="N208" s="19"/>
    </row>
    <row r="209" spans="14:14" x14ac:dyDescent="0.25">
      <c r="N209" s="19"/>
    </row>
    <row r="210" spans="14:14" x14ac:dyDescent="0.25">
      <c r="N210" s="19"/>
    </row>
    <row r="211" spans="14:14" x14ac:dyDescent="0.25">
      <c r="N211" s="19"/>
    </row>
    <row r="212" spans="14:14" x14ac:dyDescent="0.25">
      <c r="N212" s="19"/>
    </row>
    <row r="213" spans="14:14" x14ac:dyDescent="0.25">
      <c r="N213" s="19"/>
    </row>
    <row r="214" spans="14:14" x14ac:dyDescent="0.25">
      <c r="N214" s="19"/>
    </row>
    <row r="215" spans="14:14" x14ac:dyDescent="0.25">
      <c r="N215" s="19"/>
    </row>
    <row r="216" spans="14:14" x14ac:dyDescent="0.25">
      <c r="N216" s="19"/>
    </row>
    <row r="217" spans="14:14" x14ac:dyDescent="0.25">
      <c r="N217" s="19"/>
    </row>
    <row r="218" spans="14:14" x14ac:dyDescent="0.25">
      <c r="N218" s="19"/>
    </row>
    <row r="219" spans="14:14" x14ac:dyDescent="0.25">
      <c r="N219" s="19"/>
    </row>
    <row r="220" spans="14:14" x14ac:dyDescent="0.25">
      <c r="N220" s="19"/>
    </row>
    <row r="221" spans="14:14" x14ac:dyDescent="0.25">
      <c r="N221" s="19"/>
    </row>
    <row r="222" spans="14:14" x14ac:dyDescent="0.25">
      <c r="N222" s="19"/>
    </row>
    <row r="223" spans="14:14" x14ac:dyDescent="0.25">
      <c r="N223" s="19"/>
    </row>
    <row r="224" spans="14:14" x14ac:dyDescent="0.25">
      <c r="N224" s="19"/>
    </row>
    <row r="225" spans="14:14" x14ac:dyDescent="0.25">
      <c r="N225" s="19"/>
    </row>
    <row r="226" spans="14:14" x14ac:dyDescent="0.25">
      <c r="N226" s="19"/>
    </row>
    <row r="227" spans="14:14" x14ac:dyDescent="0.25">
      <c r="N227" s="19"/>
    </row>
    <row r="228" spans="14:14" x14ac:dyDescent="0.25">
      <c r="N228" s="19"/>
    </row>
    <row r="229" spans="14:14" x14ac:dyDescent="0.25">
      <c r="N229" s="19"/>
    </row>
    <row r="230" spans="14:14" x14ac:dyDescent="0.25">
      <c r="N230" s="19"/>
    </row>
    <row r="231" spans="14:14" x14ac:dyDescent="0.25">
      <c r="N231" s="19"/>
    </row>
    <row r="232" spans="14:14" x14ac:dyDescent="0.25">
      <c r="N232" s="19"/>
    </row>
    <row r="233" spans="14:14" x14ac:dyDescent="0.25">
      <c r="N233" s="19"/>
    </row>
    <row r="234" spans="14:14" x14ac:dyDescent="0.25">
      <c r="N234" s="19"/>
    </row>
    <row r="235" spans="14:14" x14ac:dyDescent="0.25">
      <c r="N235" s="19"/>
    </row>
    <row r="236" spans="14:14" x14ac:dyDescent="0.25">
      <c r="N236" s="19"/>
    </row>
    <row r="237" spans="14:14" x14ac:dyDescent="0.25">
      <c r="N237" s="19"/>
    </row>
    <row r="238" spans="14:14" x14ac:dyDescent="0.25">
      <c r="N238" s="19"/>
    </row>
    <row r="239" spans="14:14" x14ac:dyDescent="0.25">
      <c r="N239" s="19"/>
    </row>
    <row r="240" spans="14:14" x14ac:dyDescent="0.25">
      <c r="N240" s="19"/>
    </row>
    <row r="241" spans="14:14" x14ac:dyDescent="0.25">
      <c r="N241" s="19"/>
    </row>
    <row r="242" spans="14:14" x14ac:dyDescent="0.25">
      <c r="N242" s="19"/>
    </row>
    <row r="243" spans="14:14" x14ac:dyDescent="0.25">
      <c r="N243" s="19"/>
    </row>
    <row r="244" spans="14:14" x14ac:dyDescent="0.25">
      <c r="N244" s="19"/>
    </row>
    <row r="245" spans="14:14" x14ac:dyDescent="0.25">
      <c r="N245" s="19"/>
    </row>
    <row r="246" spans="14:14" x14ac:dyDescent="0.25">
      <c r="N246" s="19"/>
    </row>
    <row r="247" spans="14:14" x14ac:dyDescent="0.25">
      <c r="N247" s="19"/>
    </row>
    <row r="248" spans="14:14" x14ac:dyDescent="0.25">
      <c r="N248" s="19"/>
    </row>
    <row r="249" spans="14:14" x14ac:dyDescent="0.25">
      <c r="N249" s="19"/>
    </row>
    <row r="250" spans="14:14" x14ac:dyDescent="0.25">
      <c r="N250" s="19"/>
    </row>
    <row r="251" spans="14:14" x14ac:dyDescent="0.25">
      <c r="N251" s="19"/>
    </row>
    <row r="252" spans="14:14" x14ac:dyDescent="0.25">
      <c r="N252" s="19"/>
    </row>
    <row r="253" spans="14:14" x14ac:dyDescent="0.25">
      <c r="N253" s="19"/>
    </row>
    <row r="254" spans="14:14" x14ac:dyDescent="0.25">
      <c r="N254" s="19"/>
    </row>
    <row r="255" spans="14:14" x14ac:dyDescent="0.25">
      <c r="N255" s="19"/>
    </row>
    <row r="256" spans="14:14" x14ac:dyDescent="0.25">
      <c r="N256" s="19"/>
    </row>
    <row r="257" spans="14:14" x14ac:dyDescent="0.25">
      <c r="N257" s="19"/>
    </row>
    <row r="258" spans="14:14" x14ac:dyDescent="0.25">
      <c r="N258" s="19"/>
    </row>
    <row r="259" spans="14:14" x14ac:dyDescent="0.25">
      <c r="N259" s="19"/>
    </row>
    <row r="260" spans="14:14" x14ac:dyDescent="0.25">
      <c r="N260" s="19"/>
    </row>
    <row r="261" spans="14:14" x14ac:dyDescent="0.25">
      <c r="N261" s="19"/>
    </row>
    <row r="262" spans="14:14" x14ac:dyDescent="0.25">
      <c r="N262" s="19"/>
    </row>
    <row r="263" spans="14:14" x14ac:dyDescent="0.25">
      <c r="N263" s="19"/>
    </row>
    <row r="264" spans="14:14" x14ac:dyDescent="0.25">
      <c r="N264" s="19"/>
    </row>
    <row r="265" spans="14:14" x14ac:dyDescent="0.25">
      <c r="N265" s="19"/>
    </row>
    <row r="266" spans="14:14" x14ac:dyDescent="0.25">
      <c r="N266" s="19"/>
    </row>
    <row r="267" spans="14:14" x14ac:dyDescent="0.25">
      <c r="N267" s="19"/>
    </row>
    <row r="268" spans="14:14" x14ac:dyDescent="0.25">
      <c r="N268" s="19"/>
    </row>
    <row r="269" spans="14:14" x14ac:dyDescent="0.25">
      <c r="N269" s="19"/>
    </row>
    <row r="270" spans="14:14" x14ac:dyDescent="0.25">
      <c r="N270" s="19"/>
    </row>
    <row r="271" spans="14:14" x14ac:dyDescent="0.25">
      <c r="N271" s="19"/>
    </row>
    <row r="272" spans="14:14" x14ac:dyDescent="0.25">
      <c r="N272" s="19"/>
    </row>
    <row r="273" spans="14:14" x14ac:dyDescent="0.25">
      <c r="N273" s="19"/>
    </row>
    <row r="274" spans="14:14" x14ac:dyDescent="0.25">
      <c r="N274" s="19"/>
    </row>
    <row r="275" spans="14:14" x14ac:dyDescent="0.25">
      <c r="N275" s="19"/>
    </row>
    <row r="276" spans="14:14" x14ac:dyDescent="0.25">
      <c r="N276" s="19"/>
    </row>
    <row r="277" spans="14:14" x14ac:dyDescent="0.25">
      <c r="N277" s="19"/>
    </row>
    <row r="278" spans="14:14" x14ac:dyDescent="0.25">
      <c r="N278" s="19"/>
    </row>
    <row r="279" spans="14:14" x14ac:dyDescent="0.25">
      <c r="N279" s="19"/>
    </row>
    <row r="280" spans="14:14" x14ac:dyDescent="0.25">
      <c r="N280" s="19"/>
    </row>
    <row r="281" spans="14:14" x14ac:dyDescent="0.25">
      <c r="N281" s="19"/>
    </row>
    <row r="282" spans="14:14" x14ac:dyDescent="0.25">
      <c r="N282" s="19"/>
    </row>
    <row r="283" spans="14:14" x14ac:dyDescent="0.25">
      <c r="N283" s="19"/>
    </row>
    <row r="284" spans="14:14" x14ac:dyDescent="0.25">
      <c r="N284" s="19"/>
    </row>
    <row r="285" spans="14:14" x14ac:dyDescent="0.25">
      <c r="N285" s="19"/>
    </row>
    <row r="286" spans="14:14" x14ac:dyDescent="0.25">
      <c r="N286" s="19"/>
    </row>
    <row r="287" spans="14:14" x14ac:dyDescent="0.25">
      <c r="N287" s="19"/>
    </row>
    <row r="288" spans="14:14" x14ac:dyDescent="0.25">
      <c r="N288" s="19"/>
    </row>
    <row r="289" spans="14:14" x14ac:dyDescent="0.25">
      <c r="N289" s="19"/>
    </row>
    <row r="290" spans="14:14" x14ac:dyDescent="0.25">
      <c r="N290" s="19"/>
    </row>
    <row r="291" spans="14:14" x14ac:dyDescent="0.25">
      <c r="N291" s="19"/>
    </row>
    <row r="292" spans="14:14" x14ac:dyDescent="0.25">
      <c r="N292" s="19"/>
    </row>
    <row r="293" spans="14:14" x14ac:dyDescent="0.25">
      <c r="N293" s="19"/>
    </row>
    <row r="294" spans="14:14" x14ac:dyDescent="0.25">
      <c r="N294" s="19"/>
    </row>
    <row r="295" spans="14:14" x14ac:dyDescent="0.25">
      <c r="N295" s="19"/>
    </row>
    <row r="296" spans="14:14" x14ac:dyDescent="0.25">
      <c r="N296" s="19"/>
    </row>
    <row r="297" spans="14:14" x14ac:dyDescent="0.25">
      <c r="N297" s="19"/>
    </row>
    <row r="298" spans="14:14" x14ac:dyDescent="0.25">
      <c r="N298" s="19"/>
    </row>
    <row r="299" spans="14:14" x14ac:dyDescent="0.25">
      <c r="N299" s="19"/>
    </row>
    <row r="300" spans="14:14" x14ac:dyDescent="0.25">
      <c r="N300" s="19"/>
    </row>
    <row r="301" spans="14:14" x14ac:dyDescent="0.25">
      <c r="N301" s="19"/>
    </row>
    <row r="302" spans="14:14" x14ac:dyDescent="0.25">
      <c r="N302" s="19"/>
    </row>
    <row r="303" spans="14:14" x14ac:dyDescent="0.25">
      <c r="N303" s="19"/>
    </row>
    <row r="304" spans="14:14" x14ac:dyDescent="0.25">
      <c r="N304" s="19"/>
    </row>
    <row r="305" spans="14:14" x14ac:dyDescent="0.25">
      <c r="N305" s="19"/>
    </row>
    <row r="306" spans="14:14" x14ac:dyDescent="0.25">
      <c r="N306" s="19"/>
    </row>
    <row r="307" spans="14:14" x14ac:dyDescent="0.25">
      <c r="N307" s="19"/>
    </row>
    <row r="308" spans="14:14" x14ac:dyDescent="0.25">
      <c r="N308" s="19"/>
    </row>
    <row r="309" spans="14:14" x14ac:dyDescent="0.25">
      <c r="N309" s="19"/>
    </row>
    <row r="310" spans="14:14" x14ac:dyDescent="0.25">
      <c r="N310" s="19"/>
    </row>
    <row r="311" spans="14:14" x14ac:dyDescent="0.25">
      <c r="N311" s="19"/>
    </row>
    <row r="312" spans="14:14" x14ac:dyDescent="0.25">
      <c r="N312" s="19"/>
    </row>
    <row r="313" spans="14:14" x14ac:dyDescent="0.25">
      <c r="N313" s="19"/>
    </row>
    <row r="314" spans="14:14" x14ac:dyDescent="0.25">
      <c r="N314" s="19"/>
    </row>
    <row r="315" spans="14:14" x14ac:dyDescent="0.25">
      <c r="N315" s="19"/>
    </row>
    <row r="316" spans="14:14" x14ac:dyDescent="0.25">
      <c r="N316" s="19"/>
    </row>
    <row r="317" spans="14:14" x14ac:dyDescent="0.25">
      <c r="N317" s="19"/>
    </row>
    <row r="318" spans="14:14" x14ac:dyDescent="0.25">
      <c r="N318" s="19"/>
    </row>
    <row r="319" spans="14:14" x14ac:dyDescent="0.25">
      <c r="N319" s="19"/>
    </row>
    <row r="320" spans="14:14" x14ac:dyDescent="0.25">
      <c r="N320" s="19"/>
    </row>
    <row r="321" spans="2:14" x14ac:dyDescent="0.25">
      <c r="N321" s="19"/>
    </row>
    <row r="322" spans="2:14" x14ac:dyDescent="0.25">
      <c r="N322" s="19"/>
    </row>
    <row r="323" spans="2:14" x14ac:dyDescent="0.25">
      <c r="B323" s="1"/>
      <c r="C323" s="1"/>
      <c r="D323" s="1"/>
      <c r="E323" s="1"/>
      <c r="F323" s="1"/>
      <c r="G323" s="1"/>
      <c r="H323" s="1"/>
      <c r="I323" s="1"/>
      <c r="J323" s="1"/>
      <c r="K323" s="1"/>
      <c r="L323" s="1"/>
      <c r="M323" s="1"/>
      <c r="N323" s="19"/>
    </row>
    <row r="324" spans="2:14" x14ac:dyDescent="0.25">
      <c r="B324" s="1"/>
      <c r="C324" s="1"/>
      <c r="D324" s="1"/>
      <c r="E324" s="1"/>
      <c r="F324" s="1"/>
      <c r="G324" s="1"/>
      <c r="H324" s="1"/>
      <c r="I324" s="1"/>
      <c r="J324" s="1"/>
      <c r="K324" s="1"/>
      <c r="L324" s="1"/>
      <c r="M324" s="1"/>
      <c r="N324" s="19"/>
    </row>
    <row r="325" spans="2:14" x14ac:dyDescent="0.25">
      <c r="B325" s="1"/>
      <c r="C325" s="1"/>
      <c r="D325" s="1"/>
      <c r="E325" s="1"/>
      <c r="F325" s="1"/>
      <c r="G325" s="1"/>
      <c r="H325" s="1"/>
      <c r="I325" s="1"/>
      <c r="J325" s="1"/>
      <c r="K325" s="1"/>
      <c r="L325" s="1"/>
      <c r="M325" s="1"/>
      <c r="N325" s="19"/>
    </row>
    <row r="326" spans="2:14" x14ac:dyDescent="0.25">
      <c r="B326" s="1"/>
      <c r="C326" s="1"/>
      <c r="D326" s="1"/>
      <c r="E326" s="1"/>
      <c r="F326" s="1"/>
      <c r="G326" s="1"/>
      <c r="H326" s="1"/>
      <c r="I326" s="1"/>
      <c r="J326" s="1"/>
      <c r="K326" s="1"/>
      <c r="L326" s="1"/>
      <c r="M326" s="1"/>
      <c r="N326" s="19"/>
    </row>
    <row r="327" spans="2:14" x14ac:dyDescent="0.25">
      <c r="B327" s="1"/>
      <c r="C327" s="1"/>
      <c r="D327" s="1"/>
      <c r="E327" s="1"/>
      <c r="F327" s="1"/>
      <c r="G327" s="1"/>
      <c r="H327" s="1"/>
      <c r="I327" s="1"/>
      <c r="J327" s="1"/>
      <c r="K327" s="1"/>
      <c r="L327" s="1"/>
      <c r="M327" s="1"/>
      <c r="N327" s="19"/>
    </row>
    <row r="328" spans="2:14" x14ac:dyDescent="0.25">
      <c r="B328" s="1"/>
      <c r="C328" s="1"/>
      <c r="D328" s="1"/>
      <c r="E328" s="1"/>
      <c r="F328" s="1"/>
      <c r="G328" s="1"/>
      <c r="H328" s="1"/>
      <c r="I328" s="1"/>
      <c r="J328" s="1"/>
      <c r="K328" s="1"/>
      <c r="L328" s="1"/>
      <c r="M328" s="1"/>
      <c r="N328" s="19"/>
    </row>
    <row r="329" spans="2:14" x14ac:dyDescent="0.25">
      <c r="B329" s="1"/>
      <c r="C329" s="1"/>
      <c r="D329" s="1"/>
      <c r="E329" s="1"/>
      <c r="F329" s="1"/>
      <c r="G329" s="1"/>
      <c r="H329" s="1"/>
      <c r="I329" s="1"/>
      <c r="J329" s="1"/>
      <c r="K329" s="1"/>
      <c r="L329" s="1"/>
      <c r="M329" s="1"/>
      <c r="N329" s="19"/>
    </row>
  </sheetData>
  <mergeCells count="1">
    <mergeCell ref="F1:H1"/>
  </mergeCells>
  <pageMargins left="0.75" right="0.75" top="1" bottom="1" header="0.5" footer="0.5"/>
  <pageSetup orientation="portrait" horizontalDpi="4294967292" verticalDpi="4294967292"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CCFF"/>
  </sheetPr>
  <dimension ref="A1:AA456"/>
  <sheetViews>
    <sheetView zoomScaleNormal="100" workbookViewId="0">
      <pane ySplit="4" topLeftCell="A5" activePane="bottomLeft" state="frozen"/>
      <selection pane="bottomLeft" activeCell="A50" sqref="A50"/>
    </sheetView>
  </sheetViews>
  <sheetFormatPr defaultColWidth="11" defaultRowHeight="15.75" x14ac:dyDescent="0.25"/>
  <cols>
    <col min="1" max="1" width="34.125" customWidth="1"/>
    <col min="2" max="10" width="12.875" customWidth="1"/>
    <col min="11" max="11" width="14.125" style="278" bestFit="1" customWidth="1"/>
    <col min="12" max="12" width="12.125" bestFit="1" customWidth="1"/>
    <col min="13" max="13" width="15.125" hidden="1" customWidth="1"/>
    <col min="14" max="14" width="13.875" style="124" customWidth="1"/>
    <col min="17" max="17" width="12.5" customWidth="1"/>
    <col min="27" max="27" width="41.625" customWidth="1"/>
    <col min="29" max="29" width="25.25" customWidth="1"/>
  </cols>
  <sheetData>
    <row r="1" spans="1:24" ht="18.75" x14ac:dyDescent="0.3">
      <c r="A1" s="36" t="s">
        <v>39</v>
      </c>
      <c r="F1" s="1020" t="s">
        <v>154</v>
      </c>
      <c r="G1" s="1020"/>
      <c r="H1" s="1020"/>
      <c r="J1" s="357"/>
      <c r="K1" s="295"/>
      <c r="L1" s="357"/>
      <c r="M1" s="357"/>
    </row>
    <row r="2" spans="1:24" x14ac:dyDescent="0.25">
      <c r="A2" s="2"/>
    </row>
    <row r="3" spans="1:24" x14ac:dyDescent="0.25">
      <c r="A3" s="2"/>
      <c r="B3" s="435" t="s">
        <v>58</v>
      </c>
      <c r="C3" s="360" t="s">
        <v>58</v>
      </c>
      <c r="D3" s="360" t="s">
        <v>58</v>
      </c>
      <c r="E3" s="360" t="s">
        <v>58</v>
      </c>
      <c r="F3" s="360" t="s">
        <v>58</v>
      </c>
      <c r="G3" s="360" t="s">
        <v>58</v>
      </c>
      <c r="H3" s="360" t="s">
        <v>58</v>
      </c>
      <c r="I3" s="360" t="s">
        <v>58</v>
      </c>
      <c r="J3" s="436" t="s">
        <v>58</v>
      </c>
      <c r="K3" s="360" t="s">
        <v>58</v>
      </c>
      <c r="L3" s="441" t="s">
        <v>58</v>
      </c>
      <c r="M3" s="360" t="s">
        <v>58</v>
      </c>
    </row>
    <row r="4" spans="1:24" x14ac:dyDescent="0.25">
      <c r="A4" s="2"/>
      <c r="B4" s="437" t="s">
        <v>55</v>
      </c>
      <c r="C4" s="205" t="s">
        <v>55</v>
      </c>
      <c r="D4" s="205" t="s">
        <v>55</v>
      </c>
      <c r="E4" s="205" t="s">
        <v>55</v>
      </c>
      <c r="F4" s="205" t="s">
        <v>55</v>
      </c>
      <c r="G4" s="205" t="s">
        <v>55</v>
      </c>
      <c r="H4" s="205" t="s">
        <v>55</v>
      </c>
      <c r="I4" s="205" t="s">
        <v>55</v>
      </c>
      <c r="J4" s="438" t="s">
        <v>55</v>
      </c>
      <c r="K4" s="205" t="s">
        <v>151</v>
      </c>
      <c r="L4" s="442" t="s">
        <v>56</v>
      </c>
      <c r="M4" s="205" t="s">
        <v>253</v>
      </c>
    </row>
    <row r="5" spans="1:24" ht="16.5" thickBot="1" x14ac:dyDescent="0.3">
      <c r="B5" s="439">
        <v>2009</v>
      </c>
      <c r="C5" s="367">
        <v>2010</v>
      </c>
      <c r="D5" s="367">
        <v>2011</v>
      </c>
      <c r="E5" s="367">
        <v>2012</v>
      </c>
      <c r="F5" s="367">
        <v>2013</v>
      </c>
      <c r="G5" s="367">
        <v>2014</v>
      </c>
      <c r="H5" s="367">
        <v>2015</v>
      </c>
      <c r="I5" s="367">
        <v>2016</v>
      </c>
      <c r="J5" s="440">
        <v>2017</v>
      </c>
      <c r="K5" s="367">
        <v>2018</v>
      </c>
      <c r="L5" s="456">
        <v>2019</v>
      </c>
      <c r="M5" s="367">
        <v>2018</v>
      </c>
      <c r="O5" s="2"/>
    </row>
    <row r="6" spans="1:24" s="278" customFormat="1" ht="18.75" x14ac:dyDescent="0.3">
      <c r="A6" s="850" t="s">
        <v>333</v>
      </c>
      <c r="B6" s="371"/>
      <c r="C6" s="371"/>
      <c r="D6" s="371"/>
      <c r="E6" s="371"/>
      <c r="F6" s="371"/>
      <c r="G6" s="371"/>
      <c r="H6" s="371"/>
      <c r="I6" s="371"/>
      <c r="J6" s="379"/>
      <c r="K6" s="463"/>
      <c r="L6" s="464"/>
      <c r="M6" s="379"/>
      <c r="N6" s="126"/>
      <c r="O6" s="2"/>
    </row>
    <row r="7" spans="1:24" x14ac:dyDescent="0.25">
      <c r="A7" s="851" t="s">
        <v>92</v>
      </c>
      <c r="B7" s="315">
        <v>2352115</v>
      </c>
      <c r="C7" s="315">
        <f>2165578+362393</f>
        <v>2527971</v>
      </c>
      <c r="D7" s="315">
        <f>2887596+163430+2800+1481</f>
        <v>3055307</v>
      </c>
      <c r="E7" s="315">
        <f>3227992+428+156950</f>
        <v>3385370</v>
      </c>
      <c r="F7" s="315">
        <f>3578965+1210367+148929</f>
        <v>4938261</v>
      </c>
      <c r="G7" s="315">
        <f>100407+3403589+670081+146940</f>
        <v>4321017</v>
      </c>
      <c r="H7" s="315">
        <f>761884+3526467+5071+168457</f>
        <v>4461879</v>
      </c>
      <c r="I7" s="315">
        <f>173857+3562141+35271+180540</f>
        <v>3951809</v>
      </c>
      <c r="J7" s="381">
        <f>2445+3235896+507176</f>
        <v>3745517</v>
      </c>
      <c r="K7" s="315">
        <f>3522782+336320</f>
        <v>3859102</v>
      </c>
      <c r="L7" s="372">
        <f>3545853+236500</f>
        <v>3782353</v>
      </c>
      <c r="M7" s="381">
        <f>3522782+336320</f>
        <v>3859102</v>
      </c>
      <c r="N7" s="121"/>
      <c r="O7" s="3"/>
    </row>
    <row r="8" spans="1:24" x14ac:dyDescent="0.25">
      <c r="A8" s="852" t="s">
        <v>88</v>
      </c>
      <c r="B8" s="315">
        <v>0</v>
      </c>
      <c r="C8" s="315">
        <v>0</v>
      </c>
      <c r="D8" s="315">
        <v>0</v>
      </c>
      <c r="E8" s="315">
        <v>0</v>
      </c>
      <c r="F8" s="315">
        <v>0</v>
      </c>
      <c r="G8" s="315">
        <v>0</v>
      </c>
      <c r="H8" s="315">
        <v>0</v>
      </c>
      <c r="I8" s="315">
        <v>0</v>
      </c>
      <c r="J8" s="381">
        <v>0</v>
      </c>
      <c r="K8" s="315">
        <v>0</v>
      </c>
      <c r="L8" s="372">
        <v>0</v>
      </c>
      <c r="M8" s="381">
        <v>0</v>
      </c>
      <c r="N8" s="121"/>
      <c r="O8" s="3"/>
    </row>
    <row r="9" spans="1:24" x14ac:dyDescent="0.25">
      <c r="A9" s="853" t="s">
        <v>93</v>
      </c>
      <c r="B9" s="315">
        <v>3530693</v>
      </c>
      <c r="C9" s="315">
        <v>3546107</v>
      </c>
      <c r="D9" s="315">
        <v>3509743</v>
      </c>
      <c r="E9" s="315">
        <v>3766712</v>
      </c>
      <c r="F9" s="315">
        <v>3349296</v>
      </c>
      <c r="G9" s="315">
        <v>3635697</v>
      </c>
      <c r="H9" s="315">
        <v>4048723</v>
      </c>
      <c r="I9" s="315">
        <v>3994433</v>
      </c>
      <c r="J9" s="381">
        <v>3873351</v>
      </c>
      <c r="K9" s="315">
        <v>3992869</v>
      </c>
      <c r="L9" s="372">
        <v>4074782</v>
      </c>
      <c r="M9" s="381">
        <v>3992869</v>
      </c>
      <c r="N9" s="121"/>
      <c r="O9" s="3"/>
    </row>
    <row r="10" spans="1:24" x14ac:dyDescent="0.25">
      <c r="A10" s="854" t="s">
        <v>78</v>
      </c>
      <c r="B10" s="315">
        <f>734983+1652587+145590+490185+514143+122363+76254</f>
        <v>3736105</v>
      </c>
      <c r="C10" s="315">
        <f>633715+1628284+80981+507698+375544+124772+77799</f>
        <v>3428793</v>
      </c>
      <c r="D10" s="315">
        <f>1014832+538293+247605+155770+724211+1937452+137648</f>
        <v>4755811</v>
      </c>
      <c r="E10" s="315">
        <f>1114771+586267+153812+101369+731652+1885980+94598</f>
        <v>4668449</v>
      </c>
      <c r="F10" s="315">
        <f>1131925+884739+263587+158846+696017+2054343+42002</f>
        <v>5231459</v>
      </c>
      <c r="G10" s="315">
        <f>101522+86608+780604+2854431+1384859+656747+206900+335204</f>
        <v>6406875</v>
      </c>
      <c r="H10" s="315">
        <f>96964+80289+737335+2555778+2114980+1007100+677799+532612</f>
        <v>7802857</v>
      </c>
      <c r="I10" s="315">
        <f>95973+72749+837507+3565894+2087974+966982+341626+529691</f>
        <v>8498396</v>
      </c>
      <c r="J10" s="381">
        <f>115549+71430+801320+2959957+1099074+556382+171317+278785</f>
        <v>6053814</v>
      </c>
      <c r="K10" s="315">
        <f>135643+78465+1731714+2968936+2132259+1054517+307281+566733</f>
        <v>8975548</v>
      </c>
      <c r="L10" s="372">
        <f>119306+73267+1385760+3058780+1819651+1019285+278440+467100</f>
        <v>8221589</v>
      </c>
      <c r="M10" s="381">
        <f>135643+78465+1309274+2820506+2132259+1054517+307281+566733</f>
        <v>8404678</v>
      </c>
      <c r="N10" s="121"/>
      <c r="O10" s="3"/>
      <c r="X10" t="s">
        <v>380</v>
      </c>
    </row>
    <row r="11" spans="1:24" ht="16.5" thickBot="1" x14ac:dyDescent="0.3">
      <c r="A11" s="856"/>
      <c r="B11" s="369"/>
      <c r="C11" s="369"/>
      <c r="D11" s="369"/>
      <c r="E11" s="369"/>
      <c r="F11" s="369"/>
      <c r="G11" s="369"/>
      <c r="H11" s="369"/>
      <c r="I11" s="369"/>
      <c r="J11" s="383"/>
      <c r="K11" s="369"/>
      <c r="L11" s="373"/>
      <c r="M11" s="383">
        <v>0</v>
      </c>
      <c r="N11" s="121"/>
      <c r="O11" s="2"/>
    </row>
    <row r="12" spans="1:24" ht="17.25" thickTop="1" thickBot="1" x14ac:dyDescent="0.3">
      <c r="A12" s="896" t="s">
        <v>100</v>
      </c>
      <c r="B12" s="476">
        <f t="shared" ref="B12:J12" si="0">SUM(B7:B10)</f>
        <v>9618913</v>
      </c>
      <c r="C12" s="476">
        <f t="shared" si="0"/>
        <v>9502871</v>
      </c>
      <c r="D12" s="476">
        <f t="shared" si="0"/>
        <v>11320861</v>
      </c>
      <c r="E12" s="476">
        <f t="shared" si="0"/>
        <v>11820531</v>
      </c>
      <c r="F12" s="476">
        <f t="shared" si="0"/>
        <v>13519016</v>
      </c>
      <c r="G12" s="476">
        <f t="shared" si="0"/>
        <v>14363589</v>
      </c>
      <c r="H12" s="476">
        <f t="shared" si="0"/>
        <v>16313459</v>
      </c>
      <c r="I12" s="476">
        <f t="shared" si="0"/>
        <v>16444638</v>
      </c>
      <c r="J12" s="477">
        <f t="shared" si="0"/>
        <v>13672682</v>
      </c>
      <c r="K12" s="476">
        <f>SUM(K7:K10)</f>
        <v>16827519</v>
      </c>
      <c r="L12" s="478">
        <f>SUM(L7:L10)</f>
        <v>16078724</v>
      </c>
      <c r="M12" s="433">
        <f>SUM(M7:M10)</f>
        <v>16256649</v>
      </c>
      <c r="N12" s="126"/>
      <c r="O12" s="2"/>
    </row>
    <row r="13" spans="1:24" x14ac:dyDescent="0.25">
      <c r="A13" s="905"/>
      <c r="B13" s="116"/>
      <c r="C13" s="312"/>
      <c r="D13" s="312"/>
      <c r="E13" s="312"/>
      <c r="F13" s="312"/>
      <c r="G13" s="312"/>
      <c r="H13" s="312"/>
      <c r="I13" s="312"/>
      <c r="J13" s="400"/>
      <c r="K13" s="312"/>
      <c r="L13" s="444"/>
      <c r="M13" s="312"/>
      <c r="N13" s="126"/>
      <c r="O13" s="2"/>
    </row>
    <row r="14" spans="1:24" ht="16.5" thickBot="1" x14ac:dyDescent="0.3">
      <c r="A14" s="906"/>
      <c r="B14" s="315"/>
      <c r="C14" s="313"/>
      <c r="D14" s="313"/>
      <c r="E14" s="313"/>
      <c r="F14" s="313"/>
      <c r="G14" s="313"/>
      <c r="H14" s="313"/>
      <c r="I14" s="313"/>
      <c r="J14" s="381"/>
      <c r="K14" s="313"/>
      <c r="L14" s="372"/>
      <c r="M14" s="313"/>
      <c r="N14" s="126"/>
      <c r="O14" s="2"/>
    </row>
    <row r="15" spans="1:24" ht="18.75" x14ac:dyDescent="0.3">
      <c r="A15" s="860" t="s">
        <v>332</v>
      </c>
      <c r="B15" s="522">
        <v>2009</v>
      </c>
      <c r="C15" s="522">
        <v>2010</v>
      </c>
      <c r="D15" s="522">
        <v>2011</v>
      </c>
      <c r="E15" s="522">
        <v>2012</v>
      </c>
      <c r="F15" s="522">
        <v>2013</v>
      </c>
      <c r="G15" s="522">
        <v>2014</v>
      </c>
      <c r="H15" s="522">
        <v>2015</v>
      </c>
      <c r="I15" s="522">
        <v>2016</v>
      </c>
      <c r="J15" s="523">
        <v>2017</v>
      </c>
      <c r="K15" s="522">
        <v>2018</v>
      </c>
      <c r="L15" s="524">
        <v>2019</v>
      </c>
      <c r="M15" s="520">
        <v>2018</v>
      </c>
      <c r="N15" s="535"/>
      <c r="O15" s="2"/>
    </row>
    <row r="16" spans="1:24" x14ac:dyDescent="0.25">
      <c r="A16" s="851" t="s">
        <v>92</v>
      </c>
      <c r="B16" s="315">
        <v>6924090</v>
      </c>
      <c r="C16" s="315">
        <v>7551789</v>
      </c>
      <c r="D16" s="315">
        <v>7789038</v>
      </c>
      <c r="E16" s="315">
        <v>8209400</v>
      </c>
      <c r="F16" s="315">
        <v>8639517</v>
      </c>
      <c r="G16" s="315">
        <v>11449771</v>
      </c>
      <c r="H16" s="315">
        <v>10457393</v>
      </c>
      <c r="I16" s="315">
        <v>10372472</v>
      </c>
      <c r="J16" s="381">
        <v>11803103</v>
      </c>
      <c r="K16" s="315">
        <f>13207903+6486</f>
        <v>13214389</v>
      </c>
      <c r="L16" s="372">
        <f>11891350</f>
        <v>11891350</v>
      </c>
      <c r="M16" s="381">
        <v>12864910</v>
      </c>
      <c r="N16" s="126"/>
      <c r="O16" s="10"/>
    </row>
    <row r="17" spans="1:27" x14ac:dyDescent="0.25">
      <c r="A17" s="852" t="s">
        <v>88</v>
      </c>
      <c r="B17" s="315">
        <v>0</v>
      </c>
      <c r="C17" s="315">
        <v>0</v>
      </c>
      <c r="D17" s="315">
        <v>0</v>
      </c>
      <c r="E17" s="315">
        <v>0</v>
      </c>
      <c r="F17" s="315">
        <v>0</v>
      </c>
      <c r="G17" s="315">
        <v>0</v>
      </c>
      <c r="H17" s="315">
        <v>0</v>
      </c>
      <c r="I17" s="315">
        <v>0</v>
      </c>
      <c r="J17" s="381">
        <v>0</v>
      </c>
      <c r="K17" s="315">
        <v>0</v>
      </c>
      <c r="L17" s="372">
        <v>0</v>
      </c>
      <c r="M17" s="381">
        <v>0</v>
      </c>
      <c r="N17" s="127"/>
    </row>
    <row r="18" spans="1:27" x14ac:dyDescent="0.25">
      <c r="A18" s="853" t="s">
        <v>93</v>
      </c>
      <c r="B18" s="315">
        <v>5241595</v>
      </c>
      <c r="C18" s="315">
        <v>3140781</v>
      </c>
      <c r="D18" s="315">
        <v>2833380</v>
      </c>
      <c r="E18" s="315">
        <v>3287046</v>
      </c>
      <c r="F18" s="315">
        <v>2806142</v>
      </c>
      <c r="G18" s="315">
        <v>3849000</v>
      </c>
      <c r="H18" s="315">
        <v>3764678</v>
      </c>
      <c r="I18" s="315">
        <v>4584652</v>
      </c>
      <c r="J18" s="381">
        <v>4185637</v>
      </c>
      <c r="K18" s="315">
        <v>4540987</v>
      </c>
      <c r="L18" s="372">
        <v>4002992</v>
      </c>
      <c r="M18" s="381">
        <v>4540987</v>
      </c>
    </row>
    <row r="19" spans="1:27" x14ac:dyDescent="0.25">
      <c r="A19" s="854" t="s">
        <v>78</v>
      </c>
      <c r="B19" s="315">
        <f>1851640+54260+493372+100474</f>
        <v>2499746</v>
      </c>
      <c r="C19" s="315">
        <f>1530881+184764+408+6014435+148965</f>
        <v>7879453</v>
      </c>
      <c r="D19" s="315">
        <f>50019+29876+889000+1236+307217+247679+86293</f>
        <v>1611320</v>
      </c>
      <c r="E19" s="315">
        <f>578018+71380+496842+582195+122341</f>
        <v>1850776</v>
      </c>
      <c r="F19" s="315">
        <f>2561949+459882+1001+6927+670538+2975832+58281</f>
        <v>6734410</v>
      </c>
      <c r="G19" s="315">
        <f>94523+2647720+2268117+4163185+6147+37862+4438</f>
        <v>9221992</v>
      </c>
      <c r="H19" s="315">
        <f>122976+406001+231332+4524675+1855651+80795+673045+343730</f>
        <v>8238205</v>
      </c>
      <c r="I19" s="315">
        <f>39880+340204+257803+6822364+354233+132319+403038</f>
        <v>8349841</v>
      </c>
      <c r="J19" s="381">
        <f>2584+1801108+4342713+0+206224+0+769038+0</f>
        <v>7121667</v>
      </c>
      <c r="K19" s="315">
        <f>762916+2558164+3191649+0+7754679+23500+634907+0</f>
        <v>14925815</v>
      </c>
      <c r="L19" s="372">
        <f>635900+3925834+4100733+0+235962+130000+619746+2545000</f>
        <v>12193175</v>
      </c>
      <c r="M19" s="381">
        <f>405500+607446+1768372+0+0+6654501+23500+0+200000</f>
        <v>9659319</v>
      </c>
      <c r="O19" s="1"/>
    </row>
    <row r="20" spans="1:27" ht="16.5" thickBot="1" x14ac:dyDescent="0.3">
      <c r="A20" s="907"/>
      <c r="B20" s="369"/>
      <c r="C20" s="369"/>
      <c r="D20" s="369"/>
      <c r="E20" s="369"/>
      <c r="F20" s="369"/>
      <c r="G20" s="369"/>
      <c r="H20" s="369"/>
      <c r="I20" s="369"/>
      <c r="J20" s="383"/>
      <c r="K20" s="369"/>
      <c r="L20" s="373"/>
      <c r="M20" s="383"/>
      <c r="N20" s="488"/>
      <c r="O20" s="1"/>
    </row>
    <row r="21" spans="1:27" ht="17.25" thickTop="1" thickBot="1" x14ac:dyDescent="0.3">
      <c r="A21" s="896" t="s">
        <v>102</v>
      </c>
      <c r="B21" s="476">
        <f t="shared" ref="B21:M21" si="1">SUM(B16:B19)</f>
        <v>14665431</v>
      </c>
      <c r="C21" s="476">
        <f t="shared" si="1"/>
        <v>18572023</v>
      </c>
      <c r="D21" s="476">
        <f t="shared" si="1"/>
        <v>12233738</v>
      </c>
      <c r="E21" s="476">
        <f t="shared" si="1"/>
        <v>13347222</v>
      </c>
      <c r="F21" s="476">
        <f t="shared" si="1"/>
        <v>18180069</v>
      </c>
      <c r="G21" s="476">
        <f t="shared" si="1"/>
        <v>24520763</v>
      </c>
      <c r="H21" s="476">
        <f t="shared" si="1"/>
        <v>22460276</v>
      </c>
      <c r="I21" s="476">
        <f t="shared" si="1"/>
        <v>23306965</v>
      </c>
      <c r="J21" s="477">
        <f t="shared" si="1"/>
        <v>23110407</v>
      </c>
      <c r="K21" s="476">
        <f t="shared" si="1"/>
        <v>32681191</v>
      </c>
      <c r="L21" s="478">
        <f t="shared" si="1"/>
        <v>28087517</v>
      </c>
      <c r="M21" s="433">
        <f t="shared" si="1"/>
        <v>27065216</v>
      </c>
      <c r="N21" s="488"/>
      <c r="O21" s="1"/>
    </row>
    <row r="22" spans="1:27" ht="18.75" x14ac:dyDescent="0.3">
      <c r="A22" s="908"/>
      <c r="B22" s="579"/>
      <c r="C22" s="579"/>
      <c r="D22" s="579"/>
      <c r="E22" s="579"/>
      <c r="F22" s="579"/>
      <c r="G22" s="579"/>
      <c r="H22" s="579"/>
      <c r="I22" s="579"/>
      <c r="J22" s="580"/>
      <c r="K22" s="579"/>
      <c r="L22" s="581"/>
      <c r="M22" s="580"/>
      <c r="N22" s="488"/>
      <c r="O22" s="1"/>
    </row>
    <row r="23" spans="1:27" x14ac:dyDescent="0.25">
      <c r="A23" s="393"/>
      <c r="B23" s="50"/>
      <c r="J23" s="393"/>
      <c r="L23" s="163"/>
      <c r="N23" s="120"/>
      <c r="O23" s="1"/>
    </row>
    <row r="24" spans="1:27" x14ac:dyDescent="0.25">
      <c r="A24" s="393"/>
      <c r="B24" s="795">
        <v>2009</v>
      </c>
      <c r="C24" s="46">
        <v>2010</v>
      </c>
      <c r="D24" s="46">
        <v>2011</v>
      </c>
      <c r="E24" s="46">
        <v>2012</v>
      </c>
      <c r="F24" s="46">
        <v>2013</v>
      </c>
      <c r="G24" s="46">
        <v>2014</v>
      </c>
      <c r="H24" s="46">
        <v>2015</v>
      </c>
      <c r="I24" s="46">
        <v>2016</v>
      </c>
      <c r="J24" s="526">
        <v>2017</v>
      </c>
      <c r="K24" s="46">
        <v>2018</v>
      </c>
      <c r="L24" s="443">
        <v>2019</v>
      </c>
      <c r="M24" s="146">
        <v>2018</v>
      </c>
      <c r="N24" s="120"/>
      <c r="O24" s="1"/>
    </row>
    <row r="25" spans="1:27" x14ac:dyDescent="0.25">
      <c r="A25" s="909" t="s">
        <v>152</v>
      </c>
      <c r="B25" s="611">
        <f t="shared" ref="B25:M25" si="2">+B16/B26</f>
        <v>109.62429942053767</v>
      </c>
      <c r="C25" s="611">
        <f t="shared" si="2"/>
        <v>111.47868382982493</v>
      </c>
      <c r="D25" s="611">
        <f t="shared" si="2"/>
        <v>113.27697386599962</v>
      </c>
      <c r="E25" s="611">
        <f t="shared" si="2"/>
        <v>118.39171630060137</v>
      </c>
      <c r="F25" s="611">
        <f t="shared" si="2"/>
        <v>122.77272985647294</v>
      </c>
      <c r="G25" s="611">
        <f t="shared" si="2"/>
        <v>161.20307770284541</v>
      </c>
      <c r="H25" s="611">
        <f t="shared" si="2"/>
        <v>142.43248433669299</v>
      </c>
      <c r="I25" s="611">
        <f t="shared" si="2"/>
        <v>139.44305975667137</v>
      </c>
      <c r="J25" s="612">
        <f t="shared" si="2"/>
        <v>155.63163238396623</v>
      </c>
      <c r="K25" s="611">
        <f t="shared" si="2"/>
        <v>171.03348347182316</v>
      </c>
      <c r="L25" s="613">
        <f t="shared" si="2"/>
        <v>150.56153456571283</v>
      </c>
      <c r="M25" s="8">
        <f t="shared" si="2"/>
        <v>166.51018611995548</v>
      </c>
      <c r="N25" s="120"/>
      <c r="O25" s="1"/>
    </row>
    <row r="26" spans="1:27" x14ac:dyDescent="0.25">
      <c r="A26" s="393" t="s">
        <v>340</v>
      </c>
      <c r="B26" s="125">
        <f>+Stats!D4</f>
        <v>63162</v>
      </c>
      <c r="C26" s="125">
        <f>+Stats!E4</f>
        <v>67742</v>
      </c>
      <c r="D26" s="125">
        <f>+Stats!F4</f>
        <v>68761</v>
      </c>
      <c r="E26" s="125">
        <f>+Stats!G4</f>
        <v>69341</v>
      </c>
      <c r="F26" s="125">
        <f>+Stats!H4</f>
        <v>70370</v>
      </c>
      <c r="G26" s="125">
        <f>+Stats!I4</f>
        <v>71027</v>
      </c>
      <c r="H26" s="125">
        <f>+Stats!J4</f>
        <v>73420</v>
      </c>
      <c r="I26" s="125">
        <f>+Stats!K4</f>
        <v>74385</v>
      </c>
      <c r="J26" s="483">
        <f>+Stats!L4</f>
        <v>75840</v>
      </c>
      <c r="K26" s="125">
        <f>+Stats!M4</f>
        <v>77262</v>
      </c>
      <c r="L26" s="486">
        <f>+Stats!N4</f>
        <v>78980</v>
      </c>
      <c r="M26" s="12">
        <f>+Stats!M4</f>
        <v>77262</v>
      </c>
      <c r="N26" s="120"/>
      <c r="O26" s="1"/>
    </row>
    <row r="27" spans="1:27" x14ac:dyDescent="0.25">
      <c r="A27" s="393"/>
      <c r="B27" s="50"/>
      <c r="C27" s="50"/>
      <c r="D27" s="50"/>
      <c r="E27" s="50"/>
      <c r="F27" s="50"/>
      <c r="G27" s="50"/>
      <c r="H27" s="50"/>
      <c r="I27" s="50"/>
      <c r="J27" s="393"/>
      <c r="K27" s="50"/>
      <c r="L27" s="163"/>
      <c r="N27" s="120"/>
      <c r="O27" s="1"/>
    </row>
    <row r="28" spans="1:27" ht="15.75" customHeight="1" x14ac:dyDescent="0.25">
      <c r="A28" s="909" t="s">
        <v>130</v>
      </c>
      <c r="B28" s="615">
        <f t="shared" ref="B28:M28" si="3">+B16/B29</f>
        <v>111642.85714285714</v>
      </c>
      <c r="C28" s="615">
        <f t="shared" si="3"/>
        <v>122753.39726918076</v>
      </c>
      <c r="D28" s="615">
        <f t="shared" si="3"/>
        <v>126465.95226497807</v>
      </c>
      <c r="E28" s="615">
        <f t="shared" si="3"/>
        <v>134956.43596909419</v>
      </c>
      <c r="F28" s="615">
        <f t="shared" si="3"/>
        <v>142027.23984875885</v>
      </c>
      <c r="G28" s="615">
        <f t="shared" si="3"/>
        <v>187424.63578327058</v>
      </c>
      <c r="H28" s="615">
        <f t="shared" si="3"/>
        <v>169350.4939271255</v>
      </c>
      <c r="I28" s="615">
        <f t="shared" si="3"/>
        <v>167568.20678513733</v>
      </c>
      <c r="J28" s="616">
        <f t="shared" si="3"/>
        <v>189608.08032128515</v>
      </c>
      <c r="K28" s="615">
        <f t="shared" si="3"/>
        <v>208923.1462450593</v>
      </c>
      <c r="L28" s="617">
        <f t="shared" si="3"/>
        <v>188751.58730158731</v>
      </c>
      <c r="M28" s="1">
        <f t="shared" si="3"/>
        <v>206665.22088353414</v>
      </c>
      <c r="N28" s="120"/>
      <c r="O28" s="1"/>
      <c r="AA28" s="145"/>
    </row>
    <row r="29" spans="1:27" x14ac:dyDescent="0.25">
      <c r="A29" s="393" t="s">
        <v>341</v>
      </c>
      <c r="B29" s="125">
        <f>+B39</f>
        <v>62.019999999999996</v>
      </c>
      <c r="C29" s="125">
        <f t="shared" ref="C29:L29" si="4">+C39</f>
        <v>61.519999999999996</v>
      </c>
      <c r="D29" s="125">
        <f t="shared" si="4"/>
        <v>61.59</v>
      </c>
      <c r="E29" s="125">
        <f t="shared" si="4"/>
        <v>60.83</v>
      </c>
      <c r="F29" s="125">
        <f t="shared" si="4"/>
        <v>60.83</v>
      </c>
      <c r="G29" s="125">
        <f t="shared" si="4"/>
        <v>61.09</v>
      </c>
      <c r="H29" s="125">
        <f t="shared" si="4"/>
        <v>61.75</v>
      </c>
      <c r="I29" s="125">
        <f t="shared" si="4"/>
        <v>61.9</v>
      </c>
      <c r="J29" s="483">
        <f t="shared" si="4"/>
        <v>62.25</v>
      </c>
      <c r="K29" s="125">
        <f t="shared" ref="K29" si="5">+K39</f>
        <v>63.25</v>
      </c>
      <c r="L29" s="486">
        <f t="shared" si="4"/>
        <v>63</v>
      </c>
      <c r="M29" s="33">
        <f>+M39</f>
        <v>62.25</v>
      </c>
      <c r="N29" s="120"/>
      <c r="O29" s="1"/>
    </row>
    <row r="30" spans="1:27" x14ac:dyDescent="0.25">
      <c r="A30" s="393"/>
      <c r="B30" s="50"/>
      <c r="J30" s="393"/>
      <c r="L30" s="163"/>
      <c r="N30" s="120"/>
      <c r="O30" s="1"/>
    </row>
    <row r="31" spans="1:27" x14ac:dyDescent="0.25">
      <c r="A31" s="410"/>
      <c r="B31" s="409"/>
      <c r="C31" s="124"/>
      <c r="D31" s="124"/>
      <c r="E31" s="124"/>
      <c r="F31" s="124"/>
      <c r="G31" s="124"/>
      <c r="H31" s="124"/>
      <c r="I31" s="124"/>
      <c r="J31" s="410"/>
      <c r="K31" s="124"/>
      <c r="L31" s="449"/>
      <c r="M31" s="124"/>
      <c r="N31" s="120"/>
      <c r="O31" s="1"/>
    </row>
    <row r="32" spans="1:27" x14ac:dyDescent="0.25">
      <c r="A32" s="410"/>
      <c r="B32" s="409"/>
      <c r="C32" s="124"/>
      <c r="D32" s="124"/>
      <c r="E32" s="124"/>
      <c r="F32" s="124"/>
      <c r="G32" s="124"/>
      <c r="H32" s="124"/>
      <c r="I32" s="124"/>
      <c r="J32" s="410"/>
      <c r="K32" s="124"/>
      <c r="L32" s="449"/>
      <c r="M32" s="124"/>
      <c r="N32" s="120"/>
      <c r="O32" s="1"/>
    </row>
    <row r="33" spans="1:15" x14ac:dyDescent="0.25">
      <c r="A33" s="393"/>
      <c r="B33" s="50"/>
      <c r="J33" s="393"/>
      <c r="L33" s="163"/>
      <c r="N33" s="120"/>
      <c r="O33" s="1"/>
    </row>
    <row r="34" spans="1:15" x14ac:dyDescent="0.25">
      <c r="A34" s="428" t="s">
        <v>213</v>
      </c>
      <c r="B34" s="414"/>
      <c r="C34" s="15"/>
      <c r="D34" s="15"/>
      <c r="E34" s="15"/>
      <c r="F34" s="15"/>
      <c r="G34" s="15"/>
      <c r="H34" s="15"/>
      <c r="I34" s="15"/>
      <c r="J34" s="415"/>
      <c r="K34" s="15"/>
      <c r="L34" s="451"/>
      <c r="M34" s="15"/>
      <c r="N34" s="120"/>
      <c r="O34" s="1"/>
    </row>
    <row r="35" spans="1:15" x14ac:dyDescent="0.25">
      <c r="A35" s="910" t="s">
        <v>19</v>
      </c>
      <c r="B35" s="744">
        <v>3.3</v>
      </c>
      <c r="C35" s="745">
        <v>3.3</v>
      </c>
      <c r="D35" s="745">
        <v>3.3</v>
      </c>
      <c r="E35" s="745">
        <v>3.3</v>
      </c>
      <c r="F35" s="745">
        <v>3.3</v>
      </c>
      <c r="G35" s="745">
        <v>3.3</v>
      </c>
      <c r="H35" s="745">
        <v>3.3</v>
      </c>
      <c r="I35" s="745">
        <v>3.3</v>
      </c>
      <c r="J35" s="746">
        <v>5.2750000000000004</v>
      </c>
      <c r="K35" s="745">
        <v>5.2750000000000004</v>
      </c>
      <c r="L35" s="794">
        <v>5.2750000000000004</v>
      </c>
      <c r="M35" s="22">
        <v>5.2750000000000004</v>
      </c>
      <c r="N35" s="120"/>
      <c r="O35" s="1"/>
    </row>
    <row r="36" spans="1:15" x14ac:dyDescent="0.25">
      <c r="A36" s="910" t="s">
        <v>18</v>
      </c>
      <c r="B36" s="744">
        <v>30.93</v>
      </c>
      <c r="C36" s="745">
        <v>27.43</v>
      </c>
      <c r="D36" s="745">
        <v>27.5</v>
      </c>
      <c r="E36" s="745">
        <v>28</v>
      </c>
      <c r="F36" s="745">
        <v>28</v>
      </c>
      <c r="G36" s="745">
        <v>28.25</v>
      </c>
      <c r="H36" s="745">
        <v>28.41</v>
      </c>
      <c r="I36" s="745">
        <v>28.06</v>
      </c>
      <c r="J36" s="746">
        <v>24.25</v>
      </c>
      <c r="K36" s="745">
        <v>24.25</v>
      </c>
      <c r="L36" s="794">
        <v>24</v>
      </c>
      <c r="M36" s="22">
        <v>24.25</v>
      </c>
      <c r="N36" s="120"/>
      <c r="O36" s="1"/>
    </row>
    <row r="37" spans="1:15" x14ac:dyDescent="0.25">
      <c r="A37" s="910" t="s">
        <v>75</v>
      </c>
      <c r="B37" s="744">
        <v>27.79</v>
      </c>
      <c r="C37" s="745">
        <v>30.79</v>
      </c>
      <c r="D37" s="745">
        <v>30.79</v>
      </c>
      <c r="E37" s="745">
        <v>29.53</v>
      </c>
      <c r="F37" s="745">
        <v>29.53</v>
      </c>
      <c r="G37" s="745">
        <v>29.54</v>
      </c>
      <c r="H37" s="745">
        <v>30.04</v>
      </c>
      <c r="I37" s="745">
        <v>30.54</v>
      </c>
      <c r="J37" s="746">
        <v>32.725000000000001</v>
      </c>
      <c r="K37" s="745">
        <v>33.725000000000001</v>
      </c>
      <c r="L37" s="794">
        <v>33.725000000000001</v>
      </c>
      <c r="M37" s="22">
        <v>32.725000000000001</v>
      </c>
      <c r="N37" s="120"/>
      <c r="O37" s="1"/>
    </row>
    <row r="38" spans="1:15" ht="16.5" thickBot="1" x14ac:dyDescent="0.3">
      <c r="A38" s="910"/>
      <c r="B38" s="34">
        <v>0</v>
      </c>
      <c r="C38" s="34">
        <v>0</v>
      </c>
      <c r="D38" s="34">
        <v>0</v>
      </c>
      <c r="E38" s="34">
        <v>0</v>
      </c>
      <c r="F38" s="34">
        <v>0</v>
      </c>
      <c r="G38" s="34">
        <v>0</v>
      </c>
      <c r="H38" s="34">
        <v>0</v>
      </c>
      <c r="I38" s="34">
        <v>0</v>
      </c>
      <c r="J38" s="499">
        <v>0</v>
      </c>
      <c r="K38" s="34">
        <v>0</v>
      </c>
      <c r="L38" s="492">
        <v>0</v>
      </c>
      <c r="M38" s="34">
        <v>0</v>
      </c>
      <c r="N38" s="120"/>
      <c r="O38" s="1"/>
    </row>
    <row r="39" spans="1:15" x14ac:dyDescent="0.25">
      <c r="A39" s="393"/>
      <c r="B39" s="395">
        <f t="shared" ref="B39:L39" si="6">SUM(B35:B38)</f>
        <v>62.019999999999996</v>
      </c>
      <c r="C39" s="33">
        <f t="shared" si="6"/>
        <v>61.519999999999996</v>
      </c>
      <c r="D39" s="33">
        <f t="shared" si="6"/>
        <v>61.59</v>
      </c>
      <c r="E39" s="33">
        <f t="shared" si="6"/>
        <v>60.83</v>
      </c>
      <c r="F39" s="33">
        <f t="shared" si="6"/>
        <v>60.83</v>
      </c>
      <c r="G39" s="33">
        <f t="shared" si="6"/>
        <v>61.09</v>
      </c>
      <c r="H39" s="33">
        <f t="shared" si="6"/>
        <v>61.75</v>
      </c>
      <c r="I39" s="33">
        <f t="shared" si="6"/>
        <v>61.9</v>
      </c>
      <c r="J39" s="593">
        <f t="shared" si="6"/>
        <v>62.25</v>
      </c>
      <c r="K39" s="40">
        <f t="shared" ref="K39" si="7">SUM(K35:K38)</f>
        <v>63.25</v>
      </c>
      <c r="L39" s="599">
        <f t="shared" si="6"/>
        <v>63</v>
      </c>
      <c r="M39" s="40">
        <f>SUM(M35:M38)</f>
        <v>62.25</v>
      </c>
      <c r="N39" s="120"/>
      <c r="O39" s="1"/>
    </row>
    <row r="40" spans="1:15" x14ac:dyDescent="0.25">
      <c r="A40" s="911"/>
      <c r="B40" s="93"/>
      <c r="C40" s="93"/>
      <c r="D40" s="93"/>
      <c r="E40" s="93"/>
      <c r="F40" s="93"/>
      <c r="G40" s="93"/>
      <c r="H40" s="93"/>
      <c r="I40" s="93"/>
      <c r="J40" s="417"/>
      <c r="K40" s="93"/>
      <c r="L40" s="109"/>
      <c r="M40" s="93"/>
      <c r="N40" s="120"/>
      <c r="O40" s="1"/>
    </row>
    <row r="41" spans="1:15" x14ac:dyDescent="0.25">
      <c r="A41" s="912" t="s">
        <v>214</v>
      </c>
      <c r="B41" s="744">
        <v>18.5</v>
      </c>
      <c r="C41" s="745">
        <v>13.75</v>
      </c>
      <c r="D41" s="745">
        <v>13.75</v>
      </c>
      <c r="E41" s="745">
        <v>13.75</v>
      </c>
      <c r="F41" s="745">
        <v>12.75</v>
      </c>
      <c r="G41" s="745">
        <v>12.75</v>
      </c>
      <c r="H41" s="745">
        <v>12.75</v>
      </c>
      <c r="I41" s="745">
        <v>14</v>
      </c>
      <c r="J41" s="746">
        <v>14</v>
      </c>
      <c r="K41" s="745">
        <v>14</v>
      </c>
      <c r="L41" s="794">
        <v>14</v>
      </c>
      <c r="M41" s="22">
        <v>14</v>
      </c>
      <c r="N41" s="120"/>
      <c r="O41" s="1"/>
    </row>
    <row r="42" spans="1:15" x14ac:dyDescent="0.25">
      <c r="A42" s="393"/>
      <c r="B42" s="50"/>
      <c r="C42" s="22"/>
      <c r="D42" s="22"/>
      <c r="E42" s="22"/>
      <c r="F42" s="22"/>
      <c r="G42" s="22"/>
      <c r="H42" s="22"/>
      <c r="I42" s="22"/>
      <c r="J42" s="421"/>
      <c r="K42" s="22"/>
      <c r="L42" s="452"/>
      <c r="M42" s="22"/>
      <c r="N42" s="120"/>
      <c r="O42" s="1"/>
    </row>
    <row r="43" spans="1:15" x14ac:dyDescent="0.25">
      <c r="A43" s="913" t="s">
        <v>215</v>
      </c>
      <c r="B43" s="275"/>
      <c r="C43" s="22"/>
      <c r="D43" s="22"/>
      <c r="E43" s="22"/>
      <c r="F43" s="22"/>
      <c r="G43" s="22"/>
      <c r="H43" s="22"/>
      <c r="I43" s="22"/>
      <c r="J43" s="421"/>
      <c r="K43" s="22"/>
      <c r="L43" s="452"/>
      <c r="M43" s="22"/>
      <c r="N43" s="120"/>
      <c r="O43" s="1"/>
    </row>
    <row r="44" spans="1:15" x14ac:dyDescent="0.25">
      <c r="A44" s="496" t="s">
        <v>11</v>
      </c>
      <c r="B44" s="744">
        <v>0.92</v>
      </c>
      <c r="C44" s="745">
        <v>0.92</v>
      </c>
      <c r="D44" s="745">
        <v>0.92</v>
      </c>
      <c r="E44" s="745">
        <v>0.92</v>
      </c>
      <c r="F44" s="745">
        <v>0.92</v>
      </c>
      <c r="G44" s="745">
        <v>0.92</v>
      </c>
      <c r="H44" s="745">
        <v>0.92</v>
      </c>
      <c r="I44" s="745">
        <v>1.25</v>
      </c>
      <c r="J44" s="746">
        <v>1.25</v>
      </c>
      <c r="K44" s="745">
        <v>1.75</v>
      </c>
      <c r="L44" s="794">
        <v>1.75</v>
      </c>
      <c r="M44" s="22">
        <v>1.75</v>
      </c>
      <c r="N44" s="120"/>
      <c r="O44" s="1"/>
    </row>
    <row r="45" spans="1:15" s="50" customFormat="1" x14ac:dyDescent="0.25">
      <c r="A45" s="496" t="s">
        <v>252</v>
      </c>
      <c r="B45" s="744">
        <v>1.83</v>
      </c>
      <c r="C45" s="745">
        <v>2</v>
      </c>
      <c r="D45" s="745">
        <v>2</v>
      </c>
      <c r="E45" s="745">
        <v>3.15</v>
      </c>
      <c r="F45" s="745">
        <v>3.25</v>
      </c>
      <c r="G45" s="745">
        <v>3.5</v>
      </c>
      <c r="H45" s="745">
        <v>3.5</v>
      </c>
      <c r="I45" s="745">
        <v>5.26</v>
      </c>
      <c r="J45" s="746">
        <v>5.125</v>
      </c>
      <c r="K45" s="745">
        <v>5.75</v>
      </c>
      <c r="L45" s="794">
        <v>5.5</v>
      </c>
      <c r="M45" s="22">
        <v>5.75</v>
      </c>
      <c r="N45" s="130"/>
      <c r="O45" s="42"/>
    </row>
    <row r="46" spans="1:15" s="50" customFormat="1" x14ac:dyDescent="0.25">
      <c r="A46" s="496" t="s">
        <v>269</v>
      </c>
      <c r="B46" s="291">
        <v>0</v>
      </c>
      <c r="C46" s="291">
        <v>0</v>
      </c>
      <c r="D46" s="277"/>
      <c r="E46" s="277">
        <v>0</v>
      </c>
      <c r="F46" s="277"/>
      <c r="G46" s="277"/>
      <c r="H46" s="277"/>
      <c r="I46" s="277"/>
      <c r="J46" s="422">
        <v>0.5</v>
      </c>
      <c r="K46" s="277">
        <v>0.5</v>
      </c>
      <c r="L46" s="453">
        <v>0.5</v>
      </c>
      <c r="M46" s="277">
        <v>0.5</v>
      </c>
      <c r="N46" s="130"/>
      <c r="O46" s="42"/>
    </row>
    <row r="47" spans="1:15" s="50" customFormat="1" x14ac:dyDescent="0.25">
      <c r="A47" s="911"/>
      <c r="B47" s="275">
        <f>SUM(B44:B46)</f>
        <v>2.75</v>
      </c>
      <c r="C47" s="22">
        <f t="shared" ref="C47:L47" si="8">SUM(C44:C46)</f>
        <v>2.92</v>
      </c>
      <c r="D47" s="22">
        <f t="shared" si="8"/>
        <v>2.92</v>
      </c>
      <c r="E47" s="22">
        <f t="shared" si="8"/>
        <v>4.07</v>
      </c>
      <c r="F47" s="22">
        <f t="shared" si="8"/>
        <v>4.17</v>
      </c>
      <c r="G47" s="22">
        <f t="shared" si="8"/>
        <v>4.42</v>
      </c>
      <c r="H47" s="22">
        <f t="shared" si="8"/>
        <v>4.42</v>
      </c>
      <c r="I47" s="22">
        <f t="shared" si="8"/>
        <v>6.51</v>
      </c>
      <c r="J47" s="421">
        <f t="shared" si="8"/>
        <v>6.875</v>
      </c>
      <c r="K47" s="22">
        <f t="shared" ref="K47" si="9">SUM(K44:K46)</f>
        <v>8</v>
      </c>
      <c r="L47" s="452">
        <f t="shared" si="8"/>
        <v>7.75</v>
      </c>
      <c r="M47" s="22">
        <f>SUM(M44:M46)</f>
        <v>8</v>
      </c>
      <c r="N47" s="130"/>
      <c r="O47" s="42"/>
    </row>
    <row r="48" spans="1:15" s="50" customFormat="1" x14ac:dyDescent="0.25">
      <c r="A48" s="914"/>
      <c r="B48" s="100"/>
      <c r="C48" s="100"/>
      <c r="D48" s="100"/>
      <c r="E48" s="100"/>
      <c r="F48" s="100"/>
      <c r="G48" s="100"/>
      <c r="H48" s="100"/>
      <c r="I48" s="100"/>
      <c r="J48" s="645"/>
      <c r="K48" s="100"/>
      <c r="L48" s="643"/>
      <c r="M48" s="100"/>
      <c r="N48" s="130"/>
      <c r="O48" s="42"/>
    </row>
    <row r="49" spans="1:15" x14ac:dyDescent="0.25">
      <c r="A49" s="393"/>
      <c r="B49" s="93"/>
      <c r="C49" s="93"/>
      <c r="D49" s="93"/>
      <c r="E49" s="93"/>
      <c r="F49" s="93"/>
      <c r="G49" s="93"/>
      <c r="H49" s="93"/>
      <c r="I49" s="93"/>
      <c r="J49" s="417"/>
      <c r="K49" s="93"/>
      <c r="L49" s="109"/>
      <c r="M49" s="93"/>
      <c r="N49" s="120"/>
      <c r="O49" s="1"/>
    </row>
    <row r="50" spans="1:15" x14ac:dyDescent="0.25">
      <c r="A50" s="914" t="s">
        <v>79</v>
      </c>
      <c r="B50" s="304">
        <f>+B39+B41+B47</f>
        <v>83.27</v>
      </c>
      <c r="C50" s="304">
        <f t="shared" ref="C50:L50" si="10">+C39+C41+C47</f>
        <v>78.19</v>
      </c>
      <c r="D50" s="304">
        <f t="shared" si="10"/>
        <v>78.260000000000005</v>
      </c>
      <c r="E50" s="304">
        <f t="shared" si="10"/>
        <v>78.650000000000006</v>
      </c>
      <c r="F50" s="304">
        <f t="shared" si="10"/>
        <v>77.75</v>
      </c>
      <c r="G50" s="304">
        <f t="shared" si="10"/>
        <v>78.260000000000005</v>
      </c>
      <c r="H50" s="304">
        <f t="shared" si="10"/>
        <v>78.92</v>
      </c>
      <c r="I50" s="304">
        <f t="shared" si="10"/>
        <v>82.410000000000011</v>
      </c>
      <c r="J50" s="646">
        <f t="shared" si="10"/>
        <v>83.125</v>
      </c>
      <c r="K50" s="308">
        <f t="shared" ref="K50" si="11">+K39+K41+K47</f>
        <v>85.25</v>
      </c>
      <c r="L50" s="644">
        <f t="shared" si="10"/>
        <v>84.75</v>
      </c>
      <c r="M50" s="308">
        <f>+M39+M41+M47</f>
        <v>84.25</v>
      </c>
      <c r="N50" s="120"/>
      <c r="O50" s="1"/>
    </row>
    <row r="51" spans="1:15" x14ac:dyDescent="0.25">
      <c r="A51" s="914"/>
      <c r="B51" s="93"/>
      <c r="C51" s="93"/>
      <c r="D51" s="93"/>
      <c r="E51" s="93"/>
      <c r="F51" s="93"/>
      <c r="G51" s="93"/>
      <c r="H51" s="93"/>
      <c r="I51" s="93"/>
      <c r="J51" s="417"/>
      <c r="K51" s="93"/>
      <c r="L51" s="109"/>
      <c r="M51" s="93"/>
      <c r="N51" s="120"/>
      <c r="O51" s="1"/>
    </row>
    <row r="52" spans="1:15" x14ac:dyDescent="0.25">
      <c r="A52" s="914"/>
      <c r="B52" s="93"/>
      <c r="C52" s="93"/>
      <c r="D52" s="93"/>
      <c r="E52" s="93"/>
      <c r="F52" s="93"/>
      <c r="G52" s="93"/>
      <c r="H52" s="93"/>
      <c r="I52" s="93"/>
      <c r="J52" s="417"/>
      <c r="K52" s="93"/>
      <c r="L52" s="109"/>
      <c r="M52" s="93"/>
      <c r="N52" s="120"/>
      <c r="O52" s="1"/>
    </row>
    <row r="53" spans="1:15" x14ac:dyDescent="0.25">
      <c r="A53" s="914"/>
      <c r="B53" s="93"/>
      <c r="C53" s="93"/>
      <c r="D53" s="93"/>
      <c r="E53" s="93"/>
      <c r="F53" s="93"/>
      <c r="G53" s="93"/>
      <c r="H53" s="93"/>
      <c r="I53" s="93"/>
      <c r="J53" s="417"/>
      <c r="K53" s="93"/>
      <c r="L53" s="109"/>
      <c r="M53" s="93"/>
      <c r="N53" s="120"/>
      <c r="O53" s="1"/>
    </row>
    <row r="54" spans="1:15" x14ac:dyDescent="0.25">
      <c r="A54" s="914"/>
      <c r="B54" s="93"/>
      <c r="C54" s="93"/>
      <c r="D54" s="93"/>
      <c r="E54" s="93"/>
      <c r="F54" s="93"/>
      <c r="G54" s="93"/>
      <c r="H54" s="93"/>
      <c r="I54" s="93"/>
      <c r="J54" s="417"/>
      <c r="K54" s="93"/>
      <c r="L54" s="109"/>
      <c r="M54" s="93"/>
      <c r="N54" s="120"/>
      <c r="O54" s="1"/>
    </row>
    <row r="55" spans="1:15" x14ac:dyDescent="0.25">
      <c r="A55" s="567"/>
      <c r="B55" s="93"/>
      <c r="C55" s="93"/>
      <c r="D55" s="93"/>
      <c r="E55" s="93"/>
      <c r="F55" s="93"/>
      <c r="G55" s="93"/>
      <c r="H55" s="93"/>
      <c r="I55" s="93"/>
      <c r="J55" s="417"/>
      <c r="K55" s="93"/>
      <c r="L55" s="109"/>
      <c r="M55" s="93"/>
      <c r="N55" s="120"/>
      <c r="O55" s="1"/>
    </row>
    <row r="56" spans="1:15" x14ac:dyDescent="0.25">
      <c r="A56" s="419"/>
      <c r="B56" s="316"/>
      <c r="C56" s="114"/>
      <c r="D56" s="114"/>
      <c r="E56" s="114"/>
      <c r="F56" s="114"/>
      <c r="G56" s="114"/>
      <c r="H56" s="114"/>
      <c r="I56" s="114"/>
      <c r="J56" s="419"/>
      <c r="K56" s="114"/>
      <c r="L56" s="455"/>
      <c r="M56" s="114"/>
      <c r="N56" s="120"/>
      <c r="O56" s="1"/>
    </row>
    <row r="57" spans="1:15" x14ac:dyDescent="0.25">
      <c r="A57" s="419"/>
      <c r="B57" s="316"/>
      <c r="C57" s="114"/>
      <c r="D57" s="114"/>
      <c r="E57" s="114"/>
      <c r="F57" s="114"/>
      <c r="G57" s="114"/>
      <c r="H57" s="114"/>
      <c r="I57" s="114"/>
      <c r="J57" s="419"/>
      <c r="K57" s="114"/>
      <c r="L57" s="455"/>
      <c r="M57" s="114"/>
      <c r="N57" s="120"/>
      <c r="O57" s="1"/>
    </row>
    <row r="58" spans="1:15" x14ac:dyDescent="0.25">
      <c r="A58" s="419"/>
      <c r="B58" s="316"/>
      <c r="C58" s="114"/>
      <c r="D58" s="114"/>
      <c r="E58" s="114"/>
      <c r="F58" s="114"/>
      <c r="G58" s="114"/>
      <c r="H58" s="114"/>
      <c r="I58" s="114"/>
      <c r="J58" s="419"/>
      <c r="K58" s="114"/>
      <c r="L58" s="455"/>
      <c r="M58" s="114"/>
      <c r="N58" s="120"/>
      <c r="O58" s="1"/>
    </row>
    <row r="59" spans="1:15" x14ac:dyDescent="0.25">
      <c r="A59" s="419"/>
      <c r="B59" s="316"/>
      <c r="C59" s="114"/>
      <c r="D59" s="114"/>
      <c r="E59" s="114"/>
      <c r="F59" s="114"/>
      <c r="G59" s="114"/>
      <c r="H59" s="114"/>
      <c r="I59" s="114"/>
      <c r="J59" s="419"/>
      <c r="K59" s="114"/>
      <c r="L59" s="455"/>
      <c r="M59" s="114"/>
      <c r="N59" s="120"/>
      <c r="O59" s="1"/>
    </row>
    <row r="60" spans="1:15" x14ac:dyDescent="0.25">
      <c r="A60" s="915"/>
      <c r="B60" s="315"/>
      <c r="C60" s="105"/>
      <c r="D60" s="105"/>
      <c r="E60" s="105"/>
      <c r="F60" s="105"/>
      <c r="G60" s="105"/>
      <c r="H60" s="105"/>
      <c r="I60" s="105"/>
      <c r="J60" s="381"/>
      <c r="K60" s="105"/>
      <c r="L60" s="372"/>
      <c r="M60" s="105"/>
      <c r="N60" s="120"/>
      <c r="O60" s="1"/>
    </row>
    <row r="61" spans="1:15" x14ac:dyDescent="0.25">
      <c r="A61" s="915"/>
      <c r="B61" s="116"/>
      <c r="C61" s="116"/>
      <c r="D61" s="116"/>
      <c r="E61" s="116"/>
      <c r="F61" s="116"/>
      <c r="G61" s="116"/>
      <c r="H61" s="116"/>
      <c r="I61" s="116"/>
      <c r="J61" s="400"/>
      <c r="K61" s="116"/>
      <c r="L61" s="444"/>
      <c r="M61" s="116"/>
      <c r="N61" s="120"/>
      <c r="O61" s="1"/>
    </row>
    <row r="62" spans="1:15" x14ac:dyDescent="0.25">
      <c r="A62" s="916"/>
      <c r="B62" s="315"/>
      <c r="C62" s="105"/>
      <c r="D62" s="105"/>
      <c r="E62" s="105"/>
      <c r="F62" s="105"/>
      <c r="G62" s="105"/>
      <c r="H62" s="105"/>
      <c r="I62" s="105"/>
      <c r="J62" s="381"/>
      <c r="K62" s="105"/>
      <c r="L62" s="372"/>
      <c r="M62" s="105"/>
      <c r="N62" s="120"/>
      <c r="O62" s="1"/>
    </row>
    <row r="63" spans="1:15" x14ac:dyDescent="0.25">
      <c r="A63" s="916"/>
      <c r="B63" s="104"/>
      <c r="C63" s="104"/>
      <c r="D63" s="104"/>
      <c r="E63" s="104"/>
      <c r="F63" s="104"/>
      <c r="G63" s="104"/>
      <c r="H63" s="104"/>
      <c r="I63" s="104"/>
      <c r="J63" s="381"/>
      <c r="K63" s="105"/>
      <c r="L63" s="372"/>
      <c r="M63" s="105"/>
      <c r="N63" s="120"/>
      <c r="O63" s="1"/>
    </row>
    <row r="64" spans="1:15" x14ac:dyDescent="0.25">
      <c r="A64" s="419"/>
      <c r="B64" s="215"/>
      <c r="C64" s="215"/>
      <c r="D64" s="215"/>
      <c r="E64" s="215"/>
      <c r="F64" s="215"/>
      <c r="G64" s="215"/>
      <c r="H64" s="215"/>
      <c r="I64" s="215"/>
      <c r="J64" s="412"/>
      <c r="K64" s="215"/>
      <c r="L64" s="450"/>
      <c r="M64" s="215"/>
      <c r="N64" s="120"/>
      <c r="O64" s="1"/>
    </row>
    <row r="65" spans="1:15" x14ac:dyDescent="0.25">
      <c r="A65" s="915"/>
      <c r="B65" s="93"/>
      <c r="C65" s="93"/>
      <c r="D65" s="93"/>
      <c r="E65" s="93"/>
      <c r="F65" s="93"/>
      <c r="G65" s="93"/>
      <c r="H65" s="93"/>
      <c r="I65" s="93"/>
      <c r="J65" s="417"/>
      <c r="K65" s="93"/>
      <c r="L65" s="109"/>
      <c r="M65" s="93"/>
      <c r="N65" s="120"/>
      <c r="O65" s="1"/>
    </row>
    <row r="66" spans="1:15" x14ac:dyDescent="0.25">
      <c r="A66" s="915"/>
      <c r="B66" s="93"/>
      <c r="C66" s="93"/>
      <c r="D66" s="93"/>
      <c r="E66" s="93"/>
      <c r="F66" s="93"/>
      <c r="G66" s="93"/>
      <c r="H66" s="93"/>
      <c r="I66" s="93"/>
      <c r="J66" s="417"/>
      <c r="K66" s="93"/>
      <c r="L66" s="109"/>
      <c r="M66" s="93"/>
      <c r="N66" s="120"/>
      <c r="O66" s="1"/>
    </row>
    <row r="67" spans="1:15" x14ac:dyDescent="0.25">
      <c r="A67" s="419"/>
      <c r="B67" s="93"/>
      <c r="C67" s="93"/>
      <c r="D67" s="93"/>
      <c r="E67" s="93"/>
      <c r="F67" s="93"/>
      <c r="G67" s="93"/>
      <c r="H67" s="93"/>
      <c r="I67" s="93"/>
      <c r="J67" s="417"/>
      <c r="K67" s="93"/>
      <c r="L67" s="109"/>
      <c r="M67" s="93"/>
      <c r="N67" s="120"/>
      <c r="O67" s="1"/>
    </row>
    <row r="68" spans="1:15" x14ac:dyDescent="0.25">
      <c r="A68" s="419"/>
      <c r="B68" s="316"/>
      <c r="C68" s="114"/>
      <c r="D68" s="114"/>
      <c r="E68" s="114"/>
      <c r="F68" s="114"/>
      <c r="G68" s="114"/>
      <c r="H68" s="114"/>
      <c r="I68" s="114"/>
      <c r="J68" s="419"/>
      <c r="K68" s="114"/>
      <c r="L68" s="455"/>
      <c r="M68" s="114"/>
      <c r="N68" s="120"/>
      <c r="O68" s="1"/>
    </row>
    <row r="69" spans="1:15" x14ac:dyDescent="0.25">
      <c r="A69" s="911"/>
      <c r="B69" s="316"/>
      <c r="C69" s="114"/>
      <c r="D69" s="114"/>
      <c r="E69" s="114"/>
      <c r="F69" s="114"/>
      <c r="G69" s="114"/>
      <c r="H69" s="114"/>
      <c r="I69" s="114"/>
      <c r="J69" s="419"/>
      <c r="K69" s="114"/>
      <c r="L69" s="455"/>
      <c r="M69" s="114"/>
    </row>
    <row r="70" spans="1:15" x14ac:dyDescent="0.25">
      <c r="A70" s="911"/>
      <c r="B70" s="93"/>
      <c r="C70" s="93"/>
      <c r="D70" s="93"/>
      <c r="E70" s="93"/>
      <c r="F70" s="93"/>
      <c r="G70" s="93"/>
      <c r="H70" s="93"/>
      <c r="I70" s="93"/>
      <c r="J70" s="417"/>
      <c r="K70" s="93"/>
      <c r="L70" s="109"/>
      <c r="M70" s="93"/>
      <c r="N70" s="120"/>
      <c r="O70" s="1"/>
    </row>
    <row r="71" spans="1:15" x14ac:dyDescent="0.25">
      <c r="A71" s="911"/>
      <c r="B71" s="322"/>
      <c r="C71" s="200"/>
      <c r="D71" s="200"/>
      <c r="E71" s="200"/>
      <c r="F71" s="200"/>
      <c r="G71" s="200"/>
      <c r="H71" s="200"/>
      <c r="I71" s="200"/>
      <c r="J71" s="459"/>
      <c r="K71" s="200"/>
      <c r="L71" s="468"/>
      <c r="M71" s="200"/>
      <c r="N71" s="120"/>
      <c r="O71" s="1"/>
    </row>
    <row r="72" spans="1:15" x14ac:dyDescent="0.25">
      <c r="A72" s="914"/>
      <c r="B72" s="202"/>
      <c r="C72" s="202"/>
      <c r="D72" s="202"/>
      <c r="E72" s="202"/>
      <c r="F72" s="202"/>
      <c r="G72" s="202"/>
      <c r="H72" s="202"/>
      <c r="I72" s="202"/>
      <c r="J72" s="460"/>
      <c r="K72" s="202"/>
      <c r="L72" s="469"/>
      <c r="M72" s="202"/>
      <c r="N72" s="120"/>
      <c r="O72" s="1"/>
    </row>
    <row r="73" spans="1:15" x14ac:dyDescent="0.25">
      <c r="A73" s="914"/>
      <c r="B73" s="202"/>
      <c r="C73" s="202"/>
      <c r="D73" s="202"/>
      <c r="E73" s="202"/>
      <c r="F73" s="202"/>
      <c r="G73" s="202"/>
      <c r="H73" s="202"/>
      <c r="I73" s="202"/>
      <c r="J73" s="460"/>
      <c r="K73" s="202"/>
      <c r="L73" s="469"/>
      <c r="M73" s="202"/>
      <c r="N73" s="120"/>
      <c r="O73" s="1"/>
    </row>
    <row r="74" spans="1:15" x14ac:dyDescent="0.25">
      <c r="A74" s="914"/>
      <c r="B74" s="202"/>
      <c r="C74" s="202"/>
      <c r="D74" s="202"/>
      <c r="E74" s="202"/>
      <c r="F74" s="202"/>
      <c r="G74" s="202"/>
      <c r="H74" s="202"/>
      <c r="I74" s="202"/>
      <c r="J74" s="460"/>
      <c r="K74" s="202"/>
      <c r="L74" s="469"/>
      <c r="M74" s="202"/>
      <c r="N74" s="120"/>
      <c r="O74" s="1"/>
    </row>
    <row r="75" spans="1:15" x14ac:dyDescent="0.25">
      <c r="A75" s="914"/>
      <c r="B75" s="202"/>
      <c r="C75" s="202"/>
      <c r="D75" s="202"/>
      <c r="E75" s="202"/>
      <c r="F75" s="202"/>
      <c r="G75" s="202"/>
      <c r="H75" s="202"/>
      <c r="I75" s="202"/>
      <c r="J75" s="460"/>
      <c r="K75" s="202"/>
      <c r="L75" s="469"/>
      <c r="M75" s="202"/>
      <c r="N75" s="120"/>
      <c r="O75" s="1"/>
    </row>
    <row r="76" spans="1:15" s="17" customFormat="1" x14ac:dyDescent="0.25">
      <c r="A76" s="567"/>
      <c r="B76" s="217"/>
      <c r="C76" s="217"/>
      <c r="D76" s="217"/>
      <c r="E76" s="217"/>
      <c r="F76" s="217"/>
      <c r="G76" s="217"/>
      <c r="H76" s="217"/>
      <c r="I76" s="217"/>
      <c r="J76" s="567"/>
      <c r="K76" s="217"/>
      <c r="L76" s="570"/>
      <c r="M76" s="217"/>
      <c r="N76" s="128"/>
      <c r="O76" s="32"/>
    </row>
    <row r="77" spans="1:15" x14ac:dyDescent="0.25">
      <c r="A77" s="438"/>
      <c r="B77" s="322"/>
      <c r="C77" s="140"/>
      <c r="D77" s="140"/>
      <c r="E77" s="140"/>
      <c r="F77" s="140"/>
      <c r="G77" s="140"/>
      <c r="H77" s="140"/>
      <c r="I77" s="140"/>
      <c r="J77" s="461"/>
      <c r="K77" s="140"/>
      <c r="L77" s="470"/>
      <c r="M77" s="140"/>
      <c r="N77" s="120"/>
      <c r="O77" s="1"/>
    </row>
    <row r="78" spans="1:15" x14ac:dyDescent="0.25">
      <c r="A78" s="664"/>
      <c r="B78" s="322"/>
      <c r="C78" s="140"/>
      <c r="D78" s="140"/>
      <c r="E78" s="140"/>
      <c r="F78" s="140"/>
      <c r="G78" s="140"/>
      <c r="H78" s="140"/>
      <c r="I78" s="140"/>
      <c r="J78" s="461"/>
      <c r="K78" s="140"/>
      <c r="L78" s="470"/>
      <c r="M78" s="140"/>
      <c r="N78" s="120"/>
      <c r="O78" s="1"/>
    </row>
    <row r="79" spans="1:15" x14ac:dyDescent="0.25">
      <c r="A79" s="664"/>
      <c r="B79" s="322"/>
      <c r="C79" s="140"/>
      <c r="D79" s="140"/>
      <c r="E79" s="140"/>
      <c r="F79" s="140"/>
      <c r="G79" s="140"/>
      <c r="H79" s="140"/>
      <c r="I79" s="140"/>
      <c r="J79" s="461"/>
      <c r="K79" s="140"/>
      <c r="L79" s="470"/>
      <c r="M79" s="140"/>
      <c r="N79" s="120"/>
      <c r="O79" s="1"/>
    </row>
    <row r="80" spans="1:15" x14ac:dyDescent="0.25">
      <c r="A80" s="911"/>
      <c r="B80" s="322"/>
      <c r="C80" s="140"/>
      <c r="D80" s="140"/>
      <c r="E80" s="140"/>
      <c r="F80" s="140"/>
      <c r="G80" s="140"/>
      <c r="H80" s="140"/>
      <c r="I80" s="140"/>
      <c r="J80" s="461"/>
      <c r="K80" s="140"/>
      <c r="L80" s="470"/>
      <c r="M80" s="140"/>
      <c r="N80" s="120"/>
      <c r="O80" s="1"/>
    </row>
    <row r="81" spans="1:15" x14ac:dyDescent="0.25">
      <c r="A81" s="914"/>
      <c r="B81" s="202"/>
      <c r="C81" s="202"/>
      <c r="D81" s="202"/>
      <c r="E81" s="202"/>
      <c r="F81" s="202"/>
      <c r="G81" s="202"/>
      <c r="H81" s="202"/>
      <c r="I81" s="202"/>
      <c r="J81" s="460"/>
      <c r="K81" s="202"/>
      <c r="L81" s="469"/>
      <c r="M81" s="202"/>
      <c r="N81" s="120"/>
      <c r="O81" s="1"/>
    </row>
    <row r="82" spans="1:15" x14ac:dyDescent="0.25">
      <c r="A82" s="419"/>
      <c r="B82" s="322"/>
      <c r="C82" s="140"/>
      <c r="D82" s="140"/>
      <c r="E82" s="140"/>
      <c r="F82" s="140"/>
      <c r="G82" s="140"/>
      <c r="H82" s="140"/>
      <c r="I82" s="140"/>
      <c r="J82" s="461"/>
      <c r="K82" s="140"/>
      <c r="L82" s="470"/>
      <c r="M82" s="140"/>
      <c r="N82" s="120"/>
      <c r="O82" s="1"/>
    </row>
    <row r="83" spans="1:15" x14ac:dyDescent="0.25">
      <c r="A83" s="911"/>
      <c r="B83" s="322"/>
      <c r="C83" s="140"/>
      <c r="D83" s="140"/>
      <c r="E83" s="140"/>
      <c r="F83" s="140"/>
      <c r="G83" s="140"/>
      <c r="H83" s="140"/>
      <c r="I83" s="140"/>
      <c r="J83" s="461"/>
      <c r="K83" s="140"/>
      <c r="L83" s="470"/>
      <c r="M83" s="140"/>
      <c r="N83" s="120"/>
      <c r="O83" s="1"/>
    </row>
    <row r="84" spans="1:15" x14ac:dyDescent="0.25">
      <c r="A84" s="914"/>
      <c r="B84" s="202"/>
      <c r="C84" s="202"/>
      <c r="D84" s="202"/>
      <c r="E84" s="202"/>
      <c r="F84" s="202"/>
      <c r="G84" s="202"/>
      <c r="H84" s="202"/>
      <c r="I84" s="202"/>
      <c r="J84" s="460"/>
      <c r="K84" s="202"/>
      <c r="L84" s="469"/>
      <c r="M84" s="202"/>
      <c r="N84" s="120"/>
      <c r="O84" s="1"/>
    </row>
    <row r="85" spans="1:15" x14ac:dyDescent="0.25">
      <c r="A85" s="914"/>
      <c r="B85" s="202"/>
      <c r="C85" s="202"/>
      <c r="D85" s="202"/>
      <c r="E85" s="202"/>
      <c r="F85" s="202"/>
      <c r="G85" s="202"/>
      <c r="H85" s="202"/>
      <c r="I85" s="202"/>
      <c r="J85" s="460"/>
      <c r="K85" s="202"/>
      <c r="L85" s="469"/>
      <c r="M85" s="202"/>
      <c r="N85" s="120"/>
      <c r="O85" s="1"/>
    </row>
    <row r="86" spans="1:15" x14ac:dyDescent="0.25">
      <c r="A86" s="914"/>
      <c r="B86" s="202"/>
      <c r="C86" s="202"/>
      <c r="D86" s="202"/>
      <c r="E86" s="202"/>
      <c r="F86" s="202"/>
      <c r="G86" s="202"/>
      <c r="H86" s="202"/>
      <c r="I86" s="202"/>
      <c r="J86" s="460"/>
      <c r="K86" s="202"/>
      <c r="L86" s="469"/>
      <c r="M86" s="202"/>
      <c r="N86" s="120"/>
      <c r="O86" s="1"/>
    </row>
    <row r="87" spans="1:15" x14ac:dyDescent="0.25">
      <c r="A87" s="567"/>
      <c r="B87" s="322"/>
      <c r="C87" s="140"/>
      <c r="D87" s="140"/>
      <c r="E87" s="140"/>
      <c r="F87" s="140"/>
      <c r="G87" s="140"/>
      <c r="H87" s="140"/>
      <c r="I87" s="140"/>
      <c r="J87" s="461"/>
      <c r="K87" s="140"/>
      <c r="L87" s="470"/>
      <c r="M87" s="140"/>
      <c r="N87" s="120"/>
      <c r="O87" s="1"/>
    </row>
    <row r="88" spans="1:15" x14ac:dyDescent="0.25">
      <c r="A88" s="664"/>
      <c r="B88" s="322"/>
      <c r="C88" s="140"/>
      <c r="D88" s="140"/>
      <c r="E88" s="140"/>
      <c r="F88" s="140"/>
      <c r="G88" s="140"/>
      <c r="H88" s="140"/>
      <c r="I88" s="140"/>
      <c r="J88" s="461"/>
      <c r="K88" s="140"/>
      <c r="L88" s="470"/>
      <c r="M88" s="140"/>
      <c r="N88" s="120"/>
      <c r="O88" s="1"/>
    </row>
    <row r="89" spans="1:15" x14ac:dyDescent="0.25">
      <c r="A89" s="419"/>
      <c r="B89" s="93"/>
      <c r="C89" s="93"/>
      <c r="D89" s="93"/>
      <c r="E89" s="93"/>
      <c r="F89" s="93"/>
      <c r="G89" s="93"/>
      <c r="H89" s="93"/>
      <c r="I89" s="93"/>
      <c r="J89" s="417"/>
      <c r="K89" s="93"/>
      <c r="L89" s="109"/>
      <c r="M89" s="93"/>
      <c r="N89" s="120"/>
      <c r="O89" s="1"/>
    </row>
    <row r="90" spans="1:15" ht="18.75" x14ac:dyDescent="0.3">
      <c r="A90" s="917"/>
      <c r="B90" s="215"/>
      <c r="C90" s="215"/>
      <c r="D90" s="215"/>
      <c r="E90" s="215"/>
      <c r="F90" s="215"/>
      <c r="G90" s="215"/>
      <c r="H90" s="215"/>
      <c r="I90" s="215"/>
      <c r="J90" s="412"/>
      <c r="K90" s="215"/>
      <c r="L90" s="450"/>
      <c r="M90" s="215"/>
      <c r="N90" s="120"/>
      <c r="O90" s="1"/>
    </row>
    <row r="91" spans="1:15" x14ac:dyDescent="0.25">
      <c r="A91" s="400"/>
      <c r="B91" s="207"/>
      <c r="C91" s="207"/>
      <c r="D91" s="207"/>
      <c r="E91" s="207"/>
      <c r="F91" s="207"/>
      <c r="G91" s="207"/>
      <c r="H91" s="207"/>
      <c r="I91" s="207"/>
      <c r="J91" s="462"/>
      <c r="K91" s="207"/>
      <c r="L91" s="471"/>
      <c r="M91" s="207"/>
      <c r="N91" s="120"/>
      <c r="O91" s="1"/>
    </row>
    <row r="92" spans="1:15" x14ac:dyDescent="0.25">
      <c r="A92" s="419"/>
      <c r="B92" s="93"/>
      <c r="C92" s="93"/>
      <c r="D92" s="93"/>
      <c r="E92" s="93"/>
      <c r="F92" s="93"/>
      <c r="G92" s="93"/>
      <c r="H92" s="93"/>
      <c r="I92" s="93"/>
      <c r="J92" s="417"/>
      <c r="K92" s="93"/>
      <c r="L92" s="109"/>
      <c r="M92" s="93"/>
      <c r="N92" s="120"/>
      <c r="O92" s="1"/>
    </row>
    <row r="93" spans="1:15" x14ac:dyDescent="0.25">
      <c r="A93" s="911"/>
      <c r="B93" s="93"/>
      <c r="C93" s="93"/>
      <c r="D93" s="93"/>
      <c r="E93" s="93"/>
      <c r="F93" s="93"/>
      <c r="G93" s="93"/>
      <c r="H93" s="93"/>
      <c r="I93" s="93"/>
      <c r="J93" s="417"/>
      <c r="K93" s="93"/>
      <c r="L93" s="109"/>
      <c r="M93" s="93"/>
      <c r="N93" s="120"/>
      <c r="O93" s="1"/>
    </row>
    <row r="94" spans="1:15" x14ac:dyDescent="0.25">
      <c r="A94" s="914"/>
      <c r="B94" s="93"/>
      <c r="C94" s="93"/>
      <c r="D94" s="93"/>
      <c r="E94" s="93"/>
      <c r="F94" s="93"/>
      <c r="G94" s="93"/>
      <c r="H94" s="93"/>
      <c r="I94" s="93"/>
      <c r="J94" s="417"/>
      <c r="K94" s="93"/>
      <c r="L94" s="109"/>
      <c r="M94" s="93"/>
      <c r="N94" s="120"/>
      <c r="O94" s="1"/>
    </row>
    <row r="95" spans="1:15" x14ac:dyDescent="0.25">
      <c r="A95" s="914"/>
      <c r="B95" s="93"/>
      <c r="C95" s="93"/>
      <c r="D95" s="93"/>
      <c r="E95" s="93"/>
      <c r="F95" s="93"/>
      <c r="G95" s="93"/>
      <c r="H95" s="93"/>
      <c r="I95" s="93"/>
      <c r="J95" s="417"/>
      <c r="K95" s="93"/>
      <c r="L95" s="109"/>
      <c r="M95" s="93"/>
      <c r="N95" s="120"/>
      <c r="O95" s="1"/>
    </row>
    <row r="96" spans="1:15" x14ac:dyDescent="0.25">
      <c r="A96" s="914"/>
      <c r="B96" s="93"/>
      <c r="C96" s="93"/>
      <c r="D96" s="93"/>
      <c r="E96" s="93"/>
      <c r="F96" s="93"/>
      <c r="G96" s="93"/>
      <c r="H96" s="93"/>
      <c r="I96" s="93"/>
      <c r="J96" s="417"/>
      <c r="K96" s="93"/>
      <c r="L96" s="109"/>
      <c r="M96" s="93"/>
      <c r="N96" s="120"/>
      <c r="O96" s="1"/>
    </row>
    <row r="97" spans="1:26" x14ac:dyDescent="0.25">
      <c r="A97" s="914"/>
      <c r="B97" s="93"/>
      <c r="C97" s="93"/>
      <c r="D97" s="93"/>
      <c r="E97" s="93"/>
      <c r="F97" s="93"/>
      <c r="G97" s="93"/>
      <c r="H97" s="93"/>
      <c r="I97" s="93"/>
      <c r="J97" s="417"/>
      <c r="K97" s="93"/>
      <c r="L97" s="109"/>
      <c r="M97" s="93"/>
      <c r="N97" s="120"/>
      <c r="O97" s="1"/>
    </row>
    <row r="98" spans="1:26" x14ac:dyDescent="0.25">
      <c r="A98" s="419"/>
      <c r="B98" s="93"/>
      <c r="C98" s="93"/>
      <c r="D98" s="93"/>
      <c r="E98" s="93"/>
      <c r="F98" s="93"/>
      <c r="G98" s="93"/>
      <c r="H98" s="93"/>
      <c r="I98" s="93"/>
      <c r="J98" s="417"/>
      <c r="K98" s="93"/>
      <c r="L98" s="109"/>
      <c r="M98" s="93"/>
      <c r="N98" s="120"/>
      <c r="O98" s="1"/>
    </row>
    <row r="99" spans="1:26" x14ac:dyDescent="0.25">
      <c r="A99" s="419"/>
      <c r="B99" s="93"/>
      <c r="C99" s="93"/>
      <c r="D99" s="93"/>
      <c r="E99" s="93"/>
      <c r="F99" s="93"/>
      <c r="G99" s="93"/>
      <c r="H99" s="93"/>
      <c r="I99" s="93"/>
      <c r="J99" s="417"/>
      <c r="K99" s="93"/>
      <c r="L99" s="109"/>
      <c r="M99" s="93"/>
      <c r="N99" s="120"/>
      <c r="O99" s="1"/>
    </row>
    <row r="100" spans="1:26" x14ac:dyDescent="0.25">
      <c r="A100" s="393"/>
      <c r="J100" s="393"/>
      <c r="L100" s="163"/>
      <c r="N100" s="120"/>
    </row>
    <row r="101" spans="1:26" x14ac:dyDescent="0.25">
      <c r="A101" s="393"/>
      <c r="J101" s="393"/>
      <c r="L101" s="163"/>
      <c r="N101" s="120"/>
    </row>
    <row r="102" spans="1:26" x14ac:dyDescent="0.25">
      <c r="A102" s="909" t="s">
        <v>92</v>
      </c>
      <c r="B102" s="1"/>
      <c r="C102" s="1"/>
      <c r="D102" s="1"/>
      <c r="E102" s="1"/>
      <c r="F102" s="1"/>
      <c r="G102" s="1"/>
      <c r="H102" s="1"/>
      <c r="I102" s="1"/>
      <c r="J102" s="385"/>
      <c r="K102" s="1"/>
      <c r="L102" s="446"/>
      <c r="M102" s="1"/>
      <c r="N102" s="120"/>
      <c r="Z102" s="278"/>
    </row>
    <row r="103" spans="1:26" x14ac:dyDescent="0.25">
      <c r="A103" s="910" t="s">
        <v>19</v>
      </c>
      <c r="B103" s="1">
        <v>425039</v>
      </c>
      <c r="C103" s="1">
        <v>410423</v>
      </c>
      <c r="D103" s="1">
        <v>456964</v>
      </c>
      <c r="E103" s="1">
        <v>455295</v>
      </c>
      <c r="F103" s="4">
        <v>561776</v>
      </c>
      <c r="G103" s="4">
        <v>1694302</v>
      </c>
      <c r="H103" s="1">
        <v>1620629</v>
      </c>
      <c r="I103" s="1"/>
      <c r="J103" s="385">
        <v>2245522</v>
      </c>
      <c r="K103" s="1"/>
      <c r="L103" s="446">
        <v>2900473</v>
      </c>
      <c r="M103" s="1">
        <v>2878899</v>
      </c>
      <c r="N103" s="120"/>
    </row>
    <row r="104" spans="1:26" x14ac:dyDescent="0.25">
      <c r="A104" s="910" t="s">
        <v>18</v>
      </c>
      <c r="B104" s="1">
        <v>3674299</v>
      </c>
      <c r="C104" s="1">
        <v>3711564</v>
      </c>
      <c r="D104" s="1">
        <v>3726884</v>
      </c>
      <c r="E104" s="1">
        <v>4140230</v>
      </c>
      <c r="F104" s="1">
        <v>4038717</v>
      </c>
      <c r="G104" s="1">
        <v>5473364</v>
      </c>
      <c r="H104" s="1">
        <v>4341628</v>
      </c>
      <c r="I104" s="1"/>
      <c r="J104" s="385">
        <v>4690982</v>
      </c>
      <c r="K104" s="1"/>
      <c r="L104" s="446">
        <v>4375811</v>
      </c>
      <c r="M104" s="1">
        <v>5003861</v>
      </c>
      <c r="N104" s="120"/>
    </row>
    <row r="105" spans="1:26" x14ac:dyDescent="0.25">
      <c r="A105" s="910" t="s">
        <v>75</v>
      </c>
      <c r="B105" s="1">
        <v>2824752</v>
      </c>
      <c r="C105" s="1">
        <v>3429800</v>
      </c>
      <c r="D105" s="1">
        <v>3605190</v>
      </c>
      <c r="E105" s="1">
        <v>3613875</v>
      </c>
      <c r="F105" s="1">
        <v>4039024</v>
      </c>
      <c r="G105" s="1">
        <v>4282105</v>
      </c>
      <c r="H105" s="1">
        <v>4495086</v>
      </c>
      <c r="I105" s="1">
        <v>10372472</v>
      </c>
      <c r="J105" s="385">
        <v>4866599</v>
      </c>
      <c r="K105" s="1"/>
      <c r="L105" s="446">
        <v>4615066</v>
      </c>
      <c r="M105" s="1">
        <v>5325143</v>
      </c>
      <c r="N105" s="120"/>
    </row>
    <row r="106" spans="1:26" x14ac:dyDescent="0.25">
      <c r="A106" s="910"/>
      <c r="B106" s="1">
        <v>0</v>
      </c>
      <c r="C106" s="1">
        <v>0</v>
      </c>
      <c r="D106" s="1">
        <v>0</v>
      </c>
      <c r="E106" s="1">
        <v>0</v>
      </c>
      <c r="F106" s="1">
        <v>0</v>
      </c>
      <c r="G106" s="1">
        <v>0</v>
      </c>
      <c r="H106" s="1">
        <v>0</v>
      </c>
      <c r="I106" s="1">
        <v>0</v>
      </c>
      <c r="J106" s="385">
        <v>0</v>
      </c>
      <c r="K106" s="1"/>
      <c r="L106" s="446">
        <v>0</v>
      </c>
      <c r="M106" s="1">
        <v>0</v>
      </c>
      <c r="N106" s="120"/>
    </row>
    <row r="107" spans="1:26" ht="16.5" thickBot="1" x14ac:dyDescent="0.3">
      <c r="A107" s="393"/>
      <c r="B107" s="37"/>
      <c r="C107" s="37"/>
      <c r="D107" s="37"/>
      <c r="E107" s="37"/>
      <c r="F107" s="37"/>
      <c r="G107" s="37"/>
      <c r="H107" s="37"/>
      <c r="I107" s="37"/>
      <c r="J107" s="921"/>
      <c r="K107" s="37"/>
      <c r="L107" s="925"/>
      <c r="M107" s="37"/>
      <c r="N107" s="120"/>
    </row>
    <row r="108" spans="1:26" x14ac:dyDescent="0.25">
      <c r="A108" s="428" t="s">
        <v>20</v>
      </c>
      <c r="B108" s="1">
        <f>SUM(B103:B107)</f>
        <v>6924090</v>
      </c>
      <c r="C108" s="1">
        <f t="shared" ref="C108:J108" si="12">SUM(C103:C107)</f>
        <v>7551787</v>
      </c>
      <c r="D108" s="1">
        <f t="shared" si="12"/>
        <v>7789038</v>
      </c>
      <c r="E108" s="1">
        <f t="shared" si="12"/>
        <v>8209400</v>
      </c>
      <c r="F108" s="1">
        <f t="shared" si="12"/>
        <v>8639517</v>
      </c>
      <c r="G108" s="5">
        <f t="shared" si="12"/>
        <v>11449771</v>
      </c>
      <c r="H108" s="1">
        <f t="shared" si="12"/>
        <v>10457343</v>
      </c>
      <c r="I108" s="1">
        <f t="shared" si="12"/>
        <v>10372472</v>
      </c>
      <c r="J108" s="385">
        <f t="shared" si="12"/>
        <v>11803103</v>
      </c>
      <c r="K108" s="5"/>
      <c r="L108" s="539">
        <f>SUM(L103:L107)</f>
        <v>11891350</v>
      </c>
      <c r="M108" s="1">
        <f>SUM(M103:M107)</f>
        <v>13207903</v>
      </c>
      <c r="N108" s="120"/>
    </row>
    <row r="109" spans="1:26" x14ac:dyDescent="0.25">
      <c r="A109" s="583" t="s">
        <v>67</v>
      </c>
      <c r="B109" s="1"/>
      <c r="C109" s="7">
        <f>(C108/B108)-1</f>
        <v>9.0654078730923571E-2</v>
      </c>
      <c r="D109" s="7">
        <f t="shared" ref="D109:I109" si="13">(D108/C108)-1</f>
        <v>3.1416537569187275E-2</v>
      </c>
      <c r="E109" s="7">
        <f t="shared" si="13"/>
        <v>5.3968410476364248E-2</v>
      </c>
      <c r="F109" s="7">
        <f t="shared" si="13"/>
        <v>5.2393232148512769E-2</v>
      </c>
      <c r="G109" s="7">
        <f t="shared" si="13"/>
        <v>0.32527906363283976</v>
      </c>
      <c r="H109" s="7">
        <f t="shared" si="13"/>
        <v>-8.667666803117724E-2</v>
      </c>
      <c r="I109" s="7">
        <f t="shared" si="13"/>
        <v>-8.1159239015111684E-3</v>
      </c>
      <c r="J109" s="531">
        <f>(J108/I108)-1</f>
        <v>0.13792575193261558</v>
      </c>
      <c r="K109" s="7"/>
      <c r="L109" s="540">
        <f>(L108/M108)-1</f>
        <v>-9.9679184500370721E-2</v>
      </c>
      <c r="M109" s="7">
        <f>(M108/J108)-1</f>
        <v>0.11901954935070891</v>
      </c>
      <c r="N109" s="120"/>
    </row>
    <row r="110" spans="1:26" x14ac:dyDescent="0.25">
      <c r="A110" s="526" t="s">
        <v>69</v>
      </c>
      <c r="B110" s="1"/>
      <c r="C110" s="1"/>
      <c r="D110" s="1"/>
      <c r="E110" s="1"/>
      <c r="F110" s="1"/>
      <c r="G110" s="1"/>
      <c r="H110" s="1"/>
      <c r="I110" s="1"/>
      <c r="J110" s="385"/>
      <c r="K110" s="23"/>
      <c r="L110" s="541">
        <f>(L108/G108)-1</f>
        <v>3.8566622860841449E-2</v>
      </c>
      <c r="M110" s="1"/>
      <c r="N110" s="120"/>
    </row>
    <row r="111" spans="1:26" x14ac:dyDescent="0.25">
      <c r="A111" s="393"/>
      <c r="B111" s="1"/>
      <c r="C111" s="1"/>
      <c r="D111" s="1"/>
      <c r="E111" s="1"/>
      <c r="F111" s="1"/>
      <c r="G111" s="1"/>
      <c r="H111" s="1"/>
      <c r="I111" s="1"/>
      <c r="J111" s="385"/>
      <c r="K111" s="1"/>
      <c r="L111" s="446"/>
      <c r="M111" s="1"/>
      <c r="N111" s="120"/>
    </row>
    <row r="112" spans="1:26" x14ac:dyDescent="0.25">
      <c r="A112" s="428" t="s">
        <v>76</v>
      </c>
      <c r="B112" s="1"/>
      <c r="C112" s="1"/>
      <c r="D112" s="1"/>
      <c r="E112" s="1"/>
      <c r="F112" s="1"/>
      <c r="G112" s="1"/>
      <c r="H112" s="1"/>
      <c r="I112" s="1"/>
      <c r="J112" s="385"/>
      <c r="K112" s="1"/>
      <c r="L112" s="446"/>
      <c r="M112" s="1"/>
      <c r="N112" s="120"/>
    </row>
    <row r="113" spans="1:14" x14ac:dyDescent="0.25">
      <c r="A113" s="910" t="s">
        <v>77</v>
      </c>
      <c r="B113" s="4">
        <v>5241595</v>
      </c>
      <c r="C113" s="1">
        <v>3140781</v>
      </c>
      <c r="D113" s="1">
        <v>2833380</v>
      </c>
      <c r="E113" s="1">
        <v>3287046</v>
      </c>
      <c r="F113" s="1">
        <v>2806142</v>
      </c>
      <c r="G113" s="1">
        <v>3849000</v>
      </c>
      <c r="H113" s="1">
        <v>3764678</v>
      </c>
      <c r="I113" s="3">
        <v>4584652</v>
      </c>
      <c r="J113" s="385">
        <v>4185637</v>
      </c>
      <c r="K113" s="1"/>
      <c r="L113" s="446">
        <v>4002992</v>
      </c>
      <c r="M113" s="1">
        <v>4540987</v>
      </c>
      <c r="N113" s="120"/>
    </row>
    <row r="114" spans="1:14" x14ac:dyDescent="0.25">
      <c r="A114" s="393"/>
      <c r="B114" s="1"/>
      <c r="C114" s="1"/>
      <c r="D114" s="1"/>
      <c r="E114" s="1"/>
      <c r="F114" s="1"/>
      <c r="G114" s="1"/>
      <c r="H114" s="1"/>
      <c r="I114" s="1"/>
      <c r="J114" s="385"/>
      <c r="K114" s="1"/>
      <c r="L114" s="446"/>
      <c r="M114" s="1"/>
      <c r="N114" s="120"/>
    </row>
    <row r="115" spans="1:14" x14ac:dyDescent="0.25">
      <c r="A115" s="428" t="s">
        <v>78</v>
      </c>
      <c r="B115" s="1"/>
      <c r="C115" s="1"/>
      <c r="D115" s="1"/>
      <c r="E115" s="1"/>
      <c r="F115" s="1"/>
      <c r="G115" s="1"/>
      <c r="H115" s="1"/>
      <c r="I115" s="1"/>
      <c r="J115" s="385"/>
      <c r="K115" s="1"/>
      <c r="L115" s="446"/>
      <c r="M115" s="1"/>
      <c r="N115" s="120"/>
    </row>
    <row r="116" spans="1:14" x14ac:dyDescent="0.25">
      <c r="A116" s="910" t="s">
        <v>11</v>
      </c>
      <c r="B116" s="1">
        <v>595887</v>
      </c>
      <c r="C116" s="1">
        <v>1530881</v>
      </c>
      <c r="D116" s="1">
        <v>307217</v>
      </c>
      <c r="E116" s="1">
        <v>128452</v>
      </c>
      <c r="F116" s="1">
        <v>670538</v>
      </c>
      <c r="G116" s="1">
        <v>2647720</v>
      </c>
      <c r="H116" s="1">
        <v>231332</v>
      </c>
      <c r="I116" s="1">
        <v>1421689</v>
      </c>
      <c r="J116" s="922">
        <v>1801108</v>
      </c>
      <c r="K116" s="1"/>
      <c r="L116" s="446">
        <v>3925834</v>
      </c>
      <c r="M116" s="1">
        <v>2558164</v>
      </c>
      <c r="N116" s="120"/>
    </row>
    <row r="117" spans="1:14" x14ac:dyDescent="0.25">
      <c r="A117" s="910" t="s">
        <v>12</v>
      </c>
      <c r="B117" s="1">
        <v>1255753</v>
      </c>
      <c r="C117" s="1">
        <v>184764</v>
      </c>
      <c r="D117" s="1">
        <v>247679</v>
      </c>
      <c r="E117" s="1">
        <v>496842</v>
      </c>
      <c r="F117" s="1">
        <v>2975832</v>
      </c>
      <c r="G117" s="4">
        <v>2268117</v>
      </c>
      <c r="H117" s="4">
        <v>4524675</v>
      </c>
      <c r="I117" s="4">
        <v>4907854</v>
      </c>
      <c r="J117" s="922">
        <v>4342713</v>
      </c>
      <c r="K117" s="4"/>
      <c r="L117" s="926">
        <v>4100733</v>
      </c>
      <c r="M117" s="4">
        <v>3191649</v>
      </c>
      <c r="N117" s="120"/>
    </row>
    <row r="118" spans="1:14" x14ac:dyDescent="0.25">
      <c r="A118" s="910" t="s">
        <v>14</v>
      </c>
      <c r="B118" s="42">
        <v>0</v>
      </c>
      <c r="C118" s="42">
        <v>0</v>
      </c>
      <c r="D118" s="42">
        <v>86293</v>
      </c>
      <c r="E118" s="42">
        <v>582195</v>
      </c>
      <c r="F118" s="42">
        <v>58281</v>
      </c>
      <c r="G118" s="49">
        <v>94523</v>
      </c>
      <c r="H118" s="49">
        <v>4495086</v>
      </c>
      <c r="I118" s="42">
        <v>310000</v>
      </c>
      <c r="J118" s="922">
        <v>2584</v>
      </c>
      <c r="K118" s="42"/>
      <c r="L118" s="446">
        <v>635900</v>
      </c>
      <c r="M118" s="42">
        <v>762916</v>
      </c>
      <c r="N118" s="120"/>
    </row>
    <row r="119" spans="1:14" x14ac:dyDescent="0.25">
      <c r="A119" s="910" t="s">
        <v>139</v>
      </c>
      <c r="B119" s="42"/>
      <c r="C119" s="42"/>
      <c r="D119" s="42"/>
      <c r="E119" s="42"/>
      <c r="F119" s="42"/>
      <c r="G119" s="49"/>
      <c r="H119" s="49"/>
      <c r="I119" s="42">
        <f>1951760+300000+706330-2137382</f>
        <v>820708</v>
      </c>
      <c r="J119" s="922">
        <v>206224</v>
      </c>
      <c r="K119" s="42"/>
      <c r="L119" s="446">
        <v>235962</v>
      </c>
      <c r="M119" s="42">
        <v>7754679</v>
      </c>
      <c r="N119" s="120"/>
    </row>
    <row r="120" spans="1:14" x14ac:dyDescent="0.25">
      <c r="A120" s="910" t="s">
        <v>158</v>
      </c>
      <c r="B120" s="42"/>
      <c r="C120" s="42"/>
      <c r="D120" s="42"/>
      <c r="E120" s="42"/>
      <c r="F120" s="42"/>
      <c r="G120" s="49"/>
      <c r="H120" s="49"/>
      <c r="I120" s="42"/>
      <c r="J120" s="922">
        <v>0</v>
      </c>
      <c r="K120" s="42"/>
      <c r="L120" s="446">
        <v>130000</v>
      </c>
      <c r="M120" s="42">
        <v>23500</v>
      </c>
      <c r="N120" s="120"/>
    </row>
    <row r="121" spans="1:14" x14ac:dyDescent="0.25">
      <c r="A121" s="910" t="s">
        <v>137</v>
      </c>
      <c r="B121" s="42"/>
      <c r="C121" s="42"/>
      <c r="D121" s="42"/>
      <c r="E121" s="42"/>
      <c r="F121" s="42"/>
      <c r="G121" s="49"/>
      <c r="H121" s="49"/>
      <c r="I121" s="42"/>
      <c r="J121" s="922">
        <v>769038</v>
      </c>
      <c r="K121" s="42"/>
      <c r="L121" s="446">
        <v>619746</v>
      </c>
      <c r="M121" s="42">
        <v>634907</v>
      </c>
      <c r="N121" s="120"/>
    </row>
    <row r="122" spans="1:14" x14ac:dyDescent="0.25">
      <c r="A122" s="910" t="s">
        <v>138</v>
      </c>
      <c r="B122" s="42"/>
      <c r="C122" s="42"/>
      <c r="D122" s="42"/>
      <c r="E122" s="42"/>
      <c r="F122" s="42"/>
      <c r="G122" s="49"/>
      <c r="H122" s="49"/>
      <c r="I122" s="42"/>
      <c r="J122" s="922">
        <v>0</v>
      </c>
      <c r="K122" s="42"/>
      <c r="L122" s="446">
        <v>2545000</v>
      </c>
      <c r="M122" s="42">
        <v>0</v>
      </c>
      <c r="N122" s="120"/>
    </row>
    <row r="123" spans="1:14" ht="16.5" thickBot="1" x14ac:dyDescent="0.3">
      <c r="A123" s="910" t="s">
        <v>80</v>
      </c>
      <c r="B123" s="37"/>
      <c r="C123" s="37"/>
      <c r="D123" s="37"/>
      <c r="E123" s="37"/>
      <c r="F123" s="37"/>
      <c r="G123" s="37"/>
      <c r="H123" s="37">
        <v>122976</v>
      </c>
      <c r="I123" s="37"/>
      <c r="J123" s="921">
        <v>0</v>
      </c>
      <c r="K123" s="37"/>
      <c r="L123" s="925">
        <v>0</v>
      </c>
      <c r="M123" s="37">
        <v>0</v>
      </c>
      <c r="N123" s="120"/>
    </row>
    <row r="124" spans="1:14" x14ac:dyDescent="0.25">
      <c r="A124" s="565" t="s">
        <v>79</v>
      </c>
      <c r="B124" s="1">
        <f t="shared" ref="B124:L124" si="14">SUM(B116:B123)</f>
        <v>1851640</v>
      </c>
      <c r="C124" s="1">
        <f t="shared" si="14"/>
        <v>1715645</v>
      </c>
      <c r="D124" s="1">
        <f t="shared" si="14"/>
        <v>641189</v>
      </c>
      <c r="E124" s="1">
        <f t="shared" si="14"/>
        <v>1207489</v>
      </c>
      <c r="F124" s="1">
        <f t="shared" si="14"/>
        <v>3704651</v>
      </c>
      <c r="G124" s="1">
        <f t="shared" si="14"/>
        <v>5010360</v>
      </c>
      <c r="H124" s="1">
        <f t="shared" si="14"/>
        <v>9374069</v>
      </c>
      <c r="I124" s="1">
        <f t="shared" si="14"/>
        <v>7460251</v>
      </c>
      <c r="J124" s="385">
        <f t="shared" si="14"/>
        <v>7121667</v>
      </c>
      <c r="K124" s="1"/>
      <c r="L124" s="446">
        <f t="shared" si="14"/>
        <v>12193175</v>
      </c>
      <c r="M124" s="1">
        <f>SUM(M116:M123)</f>
        <v>14925815</v>
      </c>
      <c r="N124" s="120"/>
    </row>
    <row r="125" spans="1:14" x14ac:dyDescent="0.25">
      <c r="A125" s="393"/>
      <c r="J125" s="393"/>
      <c r="L125" s="163"/>
      <c r="N125" s="120"/>
    </row>
    <row r="126" spans="1:14" x14ac:dyDescent="0.25">
      <c r="A126" s="393"/>
      <c r="J126" s="393"/>
      <c r="L126" s="163"/>
      <c r="N126" s="120"/>
    </row>
    <row r="127" spans="1:14" x14ac:dyDescent="0.25">
      <c r="A127" s="393"/>
      <c r="J127" s="393"/>
      <c r="L127" s="163"/>
      <c r="N127" s="120"/>
    </row>
    <row r="128" spans="1:14" x14ac:dyDescent="0.25">
      <c r="A128" s="393"/>
      <c r="J128" s="393"/>
      <c r="L128" s="163"/>
      <c r="N128" s="120"/>
    </row>
    <row r="129" spans="1:14" x14ac:dyDescent="0.25">
      <c r="A129" s="906" t="s">
        <v>99</v>
      </c>
      <c r="B129" s="84" t="s">
        <v>95</v>
      </c>
      <c r="C129" s="84" t="s">
        <v>95</v>
      </c>
      <c r="D129" s="84" t="s">
        <v>95</v>
      </c>
      <c r="E129" s="84" t="s">
        <v>95</v>
      </c>
      <c r="F129" s="84" t="s">
        <v>95</v>
      </c>
      <c r="G129" s="84" t="s">
        <v>95</v>
      </c>
      <c r="H129" s="84" t="s">
        <v>95</v>
      </c>
      <c r="I129" s="84" t="s">
        <v>95</v>
      </c>
      <c r="J129" s="923" t="s">
        <v>95</v>
      </c>
      <c r="K129" s="84"/>
      <c r="L129" s="927" t="s">
        <v>95</v>
      </c>
      <c r="M129" s="84" t="s">
        <v>95</v>
      </c>
      <c r="N129" s="120"/>
    </row>
    <row r="130" spans="1:14" x14ac:dyDescent="0.25">
      <c r="A130" s="906"/>
      <c r="B130" s="2"/>
      <c r="C130" s="2"/>
      <c r="D130" s="2"/>
      <c r="E130" s="2"/>
      <c r="F130" s="2"/>
      <c r="G130" s="2"/>
      <c r="H130" s="2"/>
      <c r="I130" s="2"/>
      <c r="J130" s="905"/>
      <c r="K130" s="2"/>
      <c r="L130" s="928"/>
      <c r="M130" s="2"/>
      <c r="N130" s="120"/>
    </row>
    <row r="131" spans="1:14" x14ac:dyDescent="0.25">
      <c r="A131" s="918" t="s">
        <v>111</v>
      </c>
      <c r="B131" s="94">
        <f t="shared" ref="B131:J131" si="15">B12-B21</f>
        <v>-5046518</v>
      </c>
      <c r="C131" s="94">
        <f t="shared" si="15"/>
        <v>-9069152</v>
      </c>
      <c r="D131" s="94">
        <f t="shared" si="15"/>
        <v>-912877</v>
      </c>
      <c r="E131" s="94">
        <f t="shared" si="15"/>
        <v>-1526691</v>
      </c>
      <c r="F131" s="94">
        <f t="shared" si="15"/>
        <v>-4661053</v>
      </c>
      <c r="G131" s="94">
        <f t="shared" si="15"/>
        <v>-10157174</v>
      </c>
      <c r="H131" s="94">
        <f t="shared" si="15"/>
        <v>-6146817</v>
      </c>
      <c r="I131" s="94">
        <f t="shared" si="15"/>
        <v>-6862327</v>
      </c>
      <c r="J131" s="924">
        <f t="shared" si="15"/>
        <v>-9437725</v>
      </c>
      <c r="K131" s="298"/>
      <c r="L131" s="929">
        <f>L12-L21</f>
        <v>-12008793</v>
      </c>
      <c r="M131" s="94">
        <f>M12-M21</f>
        <v>-10808567</v>
      </c>
      <c r="N131" s="120"/>
    </row>
    <row r="132" spans="1:14" x14ac:dyDescent="0.25">
      <c r="A132" s="918"/>
      <c r="B132" s="104"/>
      <c r="C132" s="104"/>
      <c r="D132" s="104"/>
      <c r="E132" s="104"/>
      <c r="F132" s="104"/>
      <c r="G132" s="104"/>
      <c r="H132" s="104"/>
      <c r="I132" s="104"/>
      <c r="J132" s="595"/>
      <c r="K132" s="104"/>
      <c r="L132" s="601"/>
      <c r="M132" s="104"/>
      <c r="N132" s="120"/>
    </row>
    <row r="133" spans="1:14" x14ac:dyDescent="0.25">
      <c r="A133" s="393"/>
      <c r="B133" s="2">
        <v>2009</v>
      </c>
      <c r="C133" s="2">
        <v>2010</v>
      </c>
      <c r="D133" s="2">
        <v>2011</v>
      </c>
      <c r="E133" s="2">
        <v>2012</v>
      </c>
      <c r="F133" s="2">
        <v>2013</v>
      </c>
      <c r="G133" s="2">
        <v>2014</v>
      </c>
      <c r="H133" s="2">
        <v>2015</v>
      </c>
      <c r="I133" s="194">
        <v>2016</v>
      </c>
      <c r="J133" s="841">
        <v>2017</v>
      </c>
      <c r="K133" s="195"/>
      <c r="L133" s="842">
        <v>2019</v>
      </c>
      <c r="M133" s="194">
        <v>2018</v>
      </c>
      <c r="N133" s="120"/>
    </row>
    <row r="134" spans="1:14" x14ac:dyDescent="0.25">
      <c r="A134" s="906" t="s">
        <v>131</v>
      </c>
      <c r="B134" s="1">
        <v>3375911</v>
      </c>
      <c r="C134" s="1">
        <v>2332303</v>
      </c>
      <c r="D134" s="1">
        <v>790795</v>
      </c>
      <c r="E134" s="1">
        <v>1266138</v>
      </c>
      <c r="F134" s="1">
        <v>1439875</v>
      </c>
      <c r="G134" s="1">
        <v>5215278</v>
      </c>
      <c r="H134" s="1">
        <v>4740307</v>
      </c>
      <c r="I134" s="1">
        <v>7115764</v>
      </c>
      <c r="J134" s="385">
        <v>6749998</v>
      </c>
      <c r="K134" s="1"/>
      <c r="L134" s="446">
        <v>9715623</v>
      </c>
      <c r="M134" s="1">
        <v>7682984</v>
      </c>
      <c r="N134" s="120"/>
    </row>
    <row r="135" spans="1:14" x14ac:dyDescent="0.25">
      <c r="A135" s="906" t="s">
        <v>133</v>
      </c>
      <c r="B135" s="1">
        <f t="shared" ref="B135:J135" si="16">B21-B134</f>
        <v>11289520</v>
      </c>
      <c r="C135" s="1">
        <f t="shared" si="16"/>
        <v>16239720</v>
      </c>
      <c r="D135" s="1">
        <f t="shared" si="16"/>
        <v>11442943</v>
      </c>
      <c r="E135" s="1">
        <f t="shared" si="16"/>
        <v>12081084</v>
      </c>
      <c r="F135" s="1">
        <f t="shared" si="16"/>
        <v>16740194</v>
      </c>
      <c r="G135" s="1">
        <f t="shared" si="16"/>
        <v>19305485</v>
      </c>
      <c r="H135" s="1">
        <f t="shared" si="16"/>
        <v>17719969</v>
      </c>
      <c r="I135" s="1">
        <f t="shared" si="16"/>
        <v>16191201</v>
      </c>
      <c r="J135" s="385">
        <f t="shared" si="16"/>
        <v>16360409</v>
      </c>
      <c r="K135" s="1"/>
      <c r="L135" s="446">
        <f>L21-L134</f>
        <v>18371894</v>
      </c>
      <c r="M135" s="1">
        <f>M21-M134</f>
        <v>19382232</v>
      </c>
      <c r="N135" s="120"/>
    </row>
    <row r="136" spans="1:14" x14ac:dyDescent="0.25">
      <c r="A136" s="393"/>
      <c r="B136" s="1"/>
      <c r="C136" s="1"/>
      <c r="D136" s="1"/>
      <c r="E136" s="1"/>
      <c r="F136" s="1"/>
      <c r="G136" s="1"/>
      <c r="H136" s="1"/>
      <c r="I136" s="1"/>
      <c r="J136" s="385"/>
      <c r="K136" s="1"/>
      <c r="L136" s="446"/>
      <c r="M136" s="1"/>
      <c r="N136" s="120"/>
    </row>
    <row r="137" spans="1:14" x14ac:dyDescent="0.25">
      <c r="A137" s="428" t="s">
        <v>21</v>
      </c>
      <c r="B137" s="12">
        <f>Stats!C4</f>
        <v>64690</v>
      </c>
      <c r="C137" s="12">
        <f>Stats!D4</f>
        <v>63162</v>
      </c>
      <c r="D137" s="12">
        <f>Stats!E4</f>
        <v>67742</v>
      </c>
      <c r="E137" s="12">
        <f>Stats!F4</f>
        <v>68761</v>
      </c>
      <c r="F137" s="12">
        <f>Stats!G4</f>
        <v>69341</v>
      </c>
      <c r="G137" s="12">
        <f>Stats!H4</f>
        <v>70370</v>
      </c>
      <c r="H137" s="12">
        <f>Stats!I4</f>
        <v>71027</v>
      </c>
      <c r="I137" s="12">
        <f>Stats!J4</f>
        <v>73420</v>
      </c>
      <c r="J137" s="483">
        <f>Stats!K4</f>
        <v>74385</v>
      </c>
      <c r="K137" s="47"/>
      <c r="L137" s="486">
        <f>Stats!M4</f>
        <v>77262</v>
      </c>
      <c r="M137" s="47">
        <f>Stats!L4</f>
        <v>75840</v>
      </c>
      <c r="N137" s="120"/>
    </row>
    <row r="138" spans="1:14" x14ac:dyDescent="0.25">
      <c r="A138" s="428" t="s">
        <v>23</v>
      </c>
      <c r="J138" s="393"/>
      <c r="L138" s="163"/>
      <c r="N138" s="120"/>
    </row>
    <row r="139" spans="1:14" x14ac:dyDescent="0.25">
      <c r="A139" s="428" t="s">
        <v>22</v>
      </c>
      <c r="B139" s="1"/>
      <c r="C139" s="1"/>
      <c r="D139" s="1"/>
      <c r="E139" s="1"/>
      <c r="F139" s="1"/>
      <c r="G139" s="1"/>
      <c r="H139" s="1"/>
      <c r="I139" s="1"/>
      <c r="J139" s="385"/>
      <c r="K139" s="1"/>
      <c r="L139" s="446"/>
      <c r="M139" s="1"/>
      <c r="N139" s="120"/>
    </row>
    <row r="140" spans="1:14" x14ac:dyDescent="0.25">
      <c r="A140" s="428" t="s">
        <v>60</v>
      </c>
      <c r="B140" s="15"/>
      <c r="C140" s="15"/>
      <c r="D140" s="15"/>
      <c r="E140" s="15"/>
      <c r="F140" s="15"/>
      <c r="G140" s="15"/>
      <c r="H140" s="15"/>
      <c r="I140" s="15"/>
      <c r="J140" s="415"/>
      <c r="K140" s="15"/>
      <c r="L140" s="451"/>
      <c r="M140" s="15"/>
      <c r="N140" s="120"/>
    </row>
    <row r="141" spans="1:14" x14ac:dyDescent="0.25">
      <c r="A141" s="910" t="s">
        <v>19</v>
      </c>
      <c r="B141" s="22">
        <v>3.3</v>
      </c>
      <c r="C141" s="22">
        <v>3.3</v>
      </c>
      <c r="D141" s="22">
        <v>3.3</v>
      </c>
      <c r="E141" s="22">
        <v>3.3</v>
      </c>
      <c r="F141" s="22">
        <v>3.3</v>
      </c>
      <c r="G141" s="22">
        <v>3.3</v>
      </c>
      <c r="H141" s="22">
        <v>3.3</v>
      </c>
      <c r="I141" s="22">
        <v>3.3</v>
      </c>
      <c r="J141" s="421">
        <v>3.3</v>
      </c>
      <c r="K141" s="22"/>
      <c r="L141" s="452">
        <v>3.3</v>
      </c>
      <c r="M141" s="22">
        <v>3.3</v>
      </c>
      <c r="N141" s="120"/>
    </row>
    <row r="142" spans="1:14" x14ac:dyDescent="0.25">
      <c r="A142" s="910" t="s">
        <v>18</v>
      </c>
      <c r="B142" s="22">
        <v>31.93</v>
      </c>
      <c r="C142" s="22">
        <v>30.93</v>
      </c>
      <c r="D142" s="22">
        <v>27.43</v>
      </c>
      <c r="E142" s="22">
        <v>27.5</v>
      </c>
      <c r="F142" s="22">
        <v>28</v>
      </c>
      <c r="G142" s="22">
        <v>28</v>
      </c>
      <c r="H142" s="22">
        <v>28.25</v>
      </c>
      <c r="I142" s="22">
        <v>28.41</v>
      </c>
      <c r="J142" s="421">
        <v>28.06</v>
      </c>
      <c r="K142" s="22"/>
      <c r="L142" s="452">
        <v>28.06</v>
      </c>
      <c r="M142" s="22">
        <v>28.06</v>
      </c>
      <c r="N142" s="120"/>
    </row>
    <row r="143" spans="1:14" x14ac:dyDescent="0.25">
      <c r="A143" s="910" t="s">
        <v>75</v>
      </c>
      <c r="B143" s="22">
        <v>27.79</v>
      </c>
      <c r="C143" s="22">
        <v>27.79</v>
      </c>
      <c r="D143" s="22">
        <v>30.79</v>
      </c>
      <c r="E143" s="22">
        <v>30.79</v>
      </c>
      <c r="F143" s="22">
        <v>29.53</v>
      </c>
      <c r="G143" s="22">
        <v>29.53</v>
      </c>
      <c r="H143" s="22">
        <v>29.54</v>
      </c>
      <c r="I143" s="22">
        <v>30.04</v>
      </c>
      <c r="J143" s="421">
        <v>30.54</v>
      </c>
      <c r="K143" s="22"/>
      <c r="L143" s="452">
        <v>31.04</v>
      </c>
      <c r="M143" s="22">
        <v>30.54</v>
      </c>
      <c r="N143" s="120"/>
    </row>
    <row r="144" spans="1:14" ht="16.5" thickBot="1" x14ac:dyDescent="0.3">
      <c r="A144" s="910"/>
      <c r="B144" s="34">
        <v>0</v>
      </c>
      <c r="C144" s="34">
        <v>0</v>
      </c>
      <c r="D144" s="34">
        <v>0</v>
      </c>
      <c r="E144" s="34">
        <v>0</v>
      </c>
      <c r="F144" s="34">
        <v>0</v>
      </c>
      <c r="G144" s="34">
        <v>0</v>
      </c>
      <c r="H144" s="34">
        <v>0</v>
      </c>
      <c r="I144" s="34">
        <v>0</v>
      </c>
      <c r="J144" s="499">
        <v>0</v>
      </c>
      <c r="K144" s="34"/>
      <c r="L144" s="492">
        <v>0</v>
      </c>
      <c r="M144" s="34">
        <v>0</v>
      </c>
      <c r="N144" s="120"/>
    </row>
    <row r="145" spans="1:14" x14ac:dyDescent="0.25">
      <c r="A145" s="393"/>
      <c r="B145" s="33">
        <f t="shared" ref="B145:L145" si="17">SUM(B141:B144)</f>
        <v>63.019999999999996</v>
      </c>
      <c r="C145" s="33">
        <f t="shared" si="17"/>
        <v>62.019999999999996</v>
      </c>
      <c r="D145" s="33">
        <f t="shared" si="17"/>
        <v>61.519999999999996</v>
      </c>
      <c r="E145" s="33">
        <f t="shared" si="17"/>
        <v>61.59</v>
      </c>
      <c r="F145" s="33">
        <f t="shared" si="17"/>
        <v>60.83</v>
      </c>
      <c r="G145" s="33">
        <f t="shared" si="17"/>
        <v>60.83</v>
      </c>
      <c r="H145" s="33">
        <f t="shared" si="17"/>
        <v>61.09</v>
      </c>
      <c r="I145" s="33">
        <f t="shared" si="17"/>
        <v>61.75</v>
      </c>
      <c r="J145" s="396">
        <f t="shared" si="17"/>
        <v>61.9</v>
      </c>
      <c r="K145" s="33"/>
      <c r="L145" s="454">
        <f t="shared" si="17"/>
        <v>62.4</v>
      </c>
      <c r="M145" s="33">
        <f>SUM(M141:M144)</f>
        <v>61.9</v>
      </c>
      <c r="N145" s="120"/>
    </row>
    <row r="146" spans="1:14" x14ac:dyDescent="0.25">
      <c r="A146" s="583" t="s">
        <v>67</v>
      </c>
      <c r="B146" s="15"/>
      <c r="C146" s="35">
        <f>C145/B145</f>
        <v>0.98413202158045066</v>
      </c>
      <c r="D146" s="35">
        <f t="shared" ref="D146:I146" si="18">D145/C145</f>
        <v>0.99193808448887455</v>
      </c>
      <c r="E146" s="35">
        <f t="shared" si="18"/>
        <v>1.0011378413524059</v>
      </c>
      <c r="F146" s="35">
        <f t="shared" si="18"/>
        <v>0.98766033446988144</v>
      </c>
      <c r="G146" s="35">
        <f t="shared" si="18"/>
        <v>1</v>
      </c>
      <c r="H146" s="35">
        <f t="shared" si="18"/>
        <v>1.0042742068058526</v>
      </c>
      <c r="I146" s="35">
        <f t="shared" si="18"/>
        <v>1.0108037321983958</v>
      </c>
      <c r="J146" s="500">
        <f>J145/I145</f>
        <v>1.0024291497975708</v>
      </c>
      <c r="K146" s="35"/>
      <c r="L146" s="493">
        <f>L145/M145</f>
        <v>1.0080775444264944</v>
      </c>
      <c r="M146" s="35">
        <f>M145/J145</f>
        <v>1</v>
      </c>
      <c r="N146" s="120"/>
    </row>
    <row r="147" spans="1:14" x14ac:dyDescent="0.25">
      <c r="A147" s="919"/>
      <c r="B147" s="15"/>
      <c r="C147" s="35"/>
      <c r="D147" s="35"/>
      <c r="E147" s="35"/>
      <c r="F147" s="35"/>
      <c r="G147" s="35"/>
      <c r="H147" s="35"/>
      <c r="I147" s="35"/>
      <c r="J147" s="500"/>
      <c r="K147" s="35"/>
      <c r="L147" s="493"/>
      <c r="M147" s="35"/>
      <c r="N147" s="120"/>
    </row>
    <row r="148" spans="1:14" x14ac:dyDescent="0.25">
      <c r="A148" s="919"/>
      <c r="B148" s="15"/>
      <c r="C148" s="35"/>
      <c r="D148" s="35"/>
      <c r="E148" s="35"/>
      <c r="F148" s="35"/>
      <c r="G148" s="35"/>
      <c r="H148" s="35"/>
      <c r="I148" s="35"/>
      <c r="J148" s="500"/>
      <c r="K148" s="35"/>
      <c r="L148" s="493"/>
      <c r="M148" s="35"/>
      <c r="N148" s="120"/>
    </row>
    <row r="149" spans="1:14" x14ac:dyDescent="0.25">
      <c r="A149" s="428" t="s">
        <v>76</v>
      </c>
      <c r="B149" s="15"/>
      <c r="C149" s="35"/>
      <c r="D149" s="35"/>
      <c r="E149" s="35"/>
      <c r="F149" s="35"/>
      <c r="G149" s="35"/>
      <c r="H149" s="35"/>
      <c r="I149" s="35"/>
      <c r="J149" s="500"/>
      <c r="K149" s="35"/>
      <c r="L149" s="493"/>
      <c r="M149" s="35"/>
      <c r="N149" s="120"/>
    </row>
    <row r="150" spans="1:14" x14ac:dyDescent="0.25">
      <c r="A150" s="910" t="s">
        <v>77</v>
      </c>
      <c r="B150" s="22">
        <v>18.5</v>
      </c>
      <c r="C150" s="48">
        <v>18.5</v>
      </c>
      <c r="D150" s="22">
        <v>13.75</v>
      </c>
      <c r="E150" s="22">
        <v>13.75</v>
      </c>
      <c r="F150" s="22">
        <v>13.75</v>
      </c>
      <c r="G150" s="22">
        <v>12.75</v>
      </c>
      <c r="H150" s="22">
        <v>12.75</v>
      </c>
      <c r="I150" s="22">
        <v>12.75</v>
      </c>
      <c r="J150" s="421">
        <v>14</v>
      </c>
      <c r="K150" s="22"/>
      <c r="L150" s="452">
        <v>14</v>
      </c>
      <c r="M150" s="22">
        <v>14</v>
      </c>
      <c r="N150" s="120"/>
    </row>
    <row r="151" spans="1:14" x14ac:dyDescent="0.25">
      <c r="A151" s="393"/>
      <c r="B151" s="15"/>
      <c r="C151" s="35"/>
      <c r="D151" s="35"/>
      <c r="E151" s="35"/>
      <c r="F151" s="35"/>
      <c r="G151" s="35"/>
      <c r="H151" s="35"/>
      <c r="I151" s="35"/>
      <c r="J151" s="500"/>
      <c r="K151" s="35"/>
      <c r="L151" s="493"/>
      <c r="M151" s="35"/>
      <c r="N151" s="120"/>
    </row>
    <row r="152" spans="1:14" x14ac:dyDescent="0.25">
      <c r="A152" s="428" t="s">
        <v>78</v>
      </c>
      <c r="B152" s="15"/>
      <c r="C152" s="35"/>
      <c r="D152" s="35"/>
      <c r="E152" s="35"/>
      <c r="F152" s="35"/>
      <c r="G152" s="35"/>
      <c r="H152" s="35"/>
      <c r="I152" s="35"/>
      <c r="J152" s="500"/>
      <c r="K152" s="35"/>
      <c r="L152" s="493"/>
      <c r="M152" s="35"/>
      <c r="N152" s="120"/>
    </row>
    <row r="153" spans="1:14" x14ac:dyDescent="0.25">
      <c r="A153" s="910" t="s">
        <v>11</v>
      </c>
      <c r="B153" s="22">
        <v>0.92</v>
      </c>
      <c r="C153" s="22">
        <v>0.92</v>
      </c>
      <c r="D153" s="22">
        <v>0.92</v>
      </c>
      <c r="E153" s="22">
        <v>0.92</v>
      </c>
      <c r="F153" s="22">
        <v>0.92</v>
      </c>
      <c r="G153" s="22">
        <v>0.92</v>
      </c>
      <c r="H153" s="22">
        <v>0.92</v>
      </c>
      <c r="I153" s="22">
        <v>0.92</v>
      </c>
      <c r="J153" s="421">
        <v>1.25</v>
      </c>
      <c r="K153" s="22"/>
      <c r="L153" s="452">
        <v>1.71</v>
      </c>
      <c r="M153" s="22">
        <v>1.25</v>
      </c>
      <c r="N153" s="120"/>
    </row>
    <row r="154" spans="1:14" x14ac:dyDescent="0.25">
      <c r="A154" s="910" t="s">
        <v>12</v>
      </c>
      <c r="B154" s="22">
        <v>1.83</v>
      </c>
      <c r="C154" s="22">
        <v>1.83</v>
      </c>
      <c r="D154" s="22">
        <v>2</v>
      </c>
      <c r="E154" s="22">
        <v>2</v>
      </c>
      <c r="F154" s="22">
        <v>3.15</v>
      </c>
      <c r="G154" s="22">
        <v>3.25</v>
      </c>
      <c r="H154" s="22">
        <v>3.5</v>
      </c>
      <c r="I154" s="22">
        <v>3.5</v>
      </c>
      <c r="J154" s="421">
        <v>5.26</v>
      </c>
      <c r="K154" s="22"/>
      <c r="L154" s="452">
        <v>6.04</v>
      </c>
      <c r="M154" s="22">
        <v>5.26</v>
      </c>
      <c r="N154" s="120"/>
    </row>
    <row r="155" spans="1:14" x14ac:dyDescent="0.25">
      <c r="A155" s="910" t="s">
        <v>14</v>
      </c>
      <c r="B155" s="22">
        <v>0</v>
      </c>
      <c r="C155" s="22">
        <v>0</v>
      </c>
      <c r="D155" s="22">
        <v>0</v>
      </c>
      <c r="E155" s="22">
        <v>0</v>
      </c>
      <c r="F155" s="22">
        <v>0</v>
      </c>
      <c r="G155" s="22">
        <v>0</v>
      </c>
      <c r="H155" s="22">
        <v>0</v>
      </c>
      <c r="I155" s="22">
        <v>0</v>
      </c>
      <c r="J155" s="421">
        <v>0</v>
      </c>
      <c r="K155" s="22"/>
      <c r="L155" s="452">
        <v>0</v>
      </c>
      <c r="M155" s="22">
        <v>0</v>
      </c>
      <c r="N155" s="120"/>
    </row>
    <row r="156" spans="1:14" x14ac:dyDescent="0.25">
      <c r="A156" s="565" t="s">
        <v>79</v>
      </c>
      <c r="B156" s="15"/>
      <c r="C156" s="35"/>
      <c r="D156" s="35"/>
      <c r="E156" s="35"/>
      <c r="F156" s="35"/>
      <c r="G156" s="35"/>
      <c r="H156" s="35"/>
      <c r="I156" s="35"/>
      <c r="J156" s="500"/>
      <c r="K156" s="35"/>
      <c r="L156" s="493"/>
      <c r="M156" s="35"/>
      <c r="N156" s="120"/>
    </row>
    <row r="157" spans="1:14" x14ac:dyDescent="0.25">
      <c r="A157" s="919"/>
      <c r="B157" s="15"/>
      <c r="C157" s="35"/>
      <c r="D157" s="35"/>
      <c r="E157" s="35"/>
      <c r="F157" s="35"/>
      <c r="G157" s="35"/>
      <c r="H157" s="35"/>
      <c r="I157" s="35"/>
      <c r="J157" s="500"/>
      <c r="K157" s="35"/>
      <c r="L157" s="493"/>
      <c r="M157" s="35"/>
      <c r="N157" s="120"/>
    </row>
    <row r="158" spans="1:14" x14ac:dyDescent="0.25">
      <c r="A158" s="393"/>
      <c r="B158" s="1"/>
      <c r="C158" s="1"/>
      <c r="D158" s="1"/>
      <c r="E158" s="1"/>
      <c r="F158" s="1"/>
      <c r="G158" s="1"/>
      <c r="H158" s="1"/>
      <c r="I158" s="1"/>
      <c r="J158" s="385"/>
      <c r="K158" s="1"/>
      <c r="L158" s="446"/>
      <c r="M158" s="1"/>
      <c r="N158" s="120"/>
    </row>
    <row r="159" spans="1:14" ht="18.75" x14ac:dyDescent="0.3">
      <c r="A159" s="920" t="s">
        <v>26</v>
      </c>
      <c r="B159" s="2">
        <v>2008</v>
      </c>
      <c r="C159" s="2">
        <v>2009</v>
      </c>
      <c r="D159" s="2">
        <v>2010</v>
      </c>
      <c r="E159" s="2">
        <v>2011</v>
      </c>
      <c r="F159" s="2">
        <v>2012</v>
      </c>
      <c r="G159" s="2">
        <v>2013</v>
      </c>
      <c r="H159" s="2">
        <v>2014</v>
      </c>
      <c r="I159" s="2">
        <v>2015</v>
      </c>
      <c r="J159" s="841">
        <v>2016</v>
      </c>
      <c r="K159" s="195"/>
      <c r="L159" s="842">
        <v>2018</v>
      </c>
      <c r="M159" s="122">
        <v>2017</v>
      </c>
      <c r="N159" s="120"/>
    </row>
    <row r="160" spans="1:14" x14ac:dyDescent="0.25">
      <c r="A160" s="905" t="s">
        <v>62</v>
      </c>
      <c r="B160" s="8">
        <f t="shared" ref="B160:L160" si="19">B108/B137</f>
        <v>107.03493584788994</v>
      </c>
      <c r="C160" s="8">
        <f t="shared" si="19"/>
        <v>119.56218929102941</v>
      </c>
      <c r="D160" s="8">
        <f t="shared" si="19"/>
        <v>114.98092763721178</v>
      </c>
      <c r="E160" s="8">
        <f t="shared" si="19"/>
        <v>119.39035208912028</v>
      </c>
      <c r="F160" s="8">
        <f t="shared" si="19"/>
        <v>124.59464097719963</v>
      </c>
      <c r="G160" s="8">
        <f t="shared" si="19"/>
        <v>162.70812846383402</v>
      </c>
      <c r="H160" s="8">
        <f t="shared" si="19"/>
        <v>147.2305320511918</v>
      </c>
      <c r="I160" s="8">
        <f t="shared" si="19"/>
        <v>141.27583764641787</v>
      </c>
      <c r="J160" s="389">
        <f t="shared" si="19"/>
        <v>158.67584862539491</v>
      </c>
      <c r="K160" s="8"/>
      <c r="L160" s="448">
        <f t="shared" si="19"/>
        <v>153.90942507312781</v>
      </c>
      <c r="M160" s="8">
        <f>M108/M137</f>
        <v>174.15483913502109</v>
      </c>
      <c r="N160" s="120"/>
    </row>
    <row r="161" spans="1:14" x14ac:dyDescent="0.25">
      <c r="A161" s="393"/>
      <c r="B161" s="1"/>
      <c r="C161" s="1"/>
      <c r="D161" s="1"/>
      <c r="E161" s="1"/>
      <c r="F161" s="1"/>
      <c r="G161" s="1"/>
      <c r="H161" s="1"/>
      <c r="I161" s="1"/>
      <c r="J161" s="385"/>
      <c r="K161" s="1"/>
      <c r="L161" s="446"/>
      <c r="M161" s="1"/>
      <c r="N161" s="120"/>
    </row>
    <row r="162" spans="1:14" x14ac:dyDescent="0.25">
      <c r="A162" s="428" t="s">
        <v>130</v>
      </c>
      <c r="B162" s="1"/>
      <c r="C162" s="1"/>
      <c r="D162" s="1"/>
      <c r="E162" s="1"/>
      <c r="F162" s="1"/>
      <c r="G162" s="1"/>
      <c r="H162" s="1"/>
      <c r="I162" s="1"/>
      <c r="J162" s="385"/>
      <c r="K162" s="1"/>
      <c r="L162" s="446"/>
      <c r="M162" s="1"/>
      <c r="N162" s="120"/>
    </row>
    <row r="163" spans="1:14" x14ac:dyDescent="0.25">
      <c r="A163" s="910" t="s">
        <v>19</v>
      </c>
      <c r="B163" s="1">
        <f t="shared" ref="B163:L163" si="20">B103/B141</f>
        <v>128799.69696969698</v>
      </c>
      <c r="C163" s="1">
        <f t="shared" si="20"/>
        <v>124370.60606060606</v>
      </c>
      <c r="D163" s="1">
        <f t="shared" si="20"/>
        <v>138473.93939393939</v>
      </c>
      <c r="E163" s="1">
        <f t="shared" si="20"/>
        <v>137968.18181818182</v>
      </c>
      <c r="F163" s="1">
        <f t="shared" si="20"/>
        <v>170235.15151515152</v>
      </c>
      <c r="G163" s="1">
        <f t="shared" si="20"/>
        <v>513424.84848484851</v>
      </c>
      <c r="H163" s="1">
        <f t="shared" si="20"/>
        <v>491099.69696969702</v>
      </c>
      <c r="I163" s="1">
        <f t="shared" si="20"/>
        <v>0</v>
      </c>
      <c r="J163" s="385">
        <f t="shared" si="20"/>
        <v>680461.21212121216</v>
      </c>
      <c r="K163" s="1"/>
      <c r="L163" s="446">
        <f t="shared" si="20"/>
        <v>878931.21212121216</v>
      </c>
      <c r="M163" s="1">
        <f>M103/M141</f>
        <v>872393.63636363635</v>
      </c>
      <c r="N163" s="120"/>
    </row>
    <row r="164" spans="1:14" x14ac:dyDescent="0.25">
      <c r="A164" s="910" t="s">
        <v>18</v>
      </c>
      <c r="B164" s="1">
        <f t="shared" ref="B164:L164" si="21">B104/B142</f>
        <v>115073.56717820231</v>
      </c>
      <c r="C164" s="1">
        <f t="shared" si="21"/>
        <v>119998.83608147429</v>
      </c>
      <c r="D164" s="1">
        <f t="shared" si="21"/>
        <v>135868.90266131973</v>
      </c>
      <c r="E164" s="1">
        <f t="shared" si="21"/>
        <v>150553.81818181818</v>
      </c>
      <c r="F164" s="1">
        <f t="shared" si="21"/>
        <v>144239.89285714287</v>
      </c>
      <c r="G164" s="1">
        <f t="shared" si="21"/>
        <v>195477.28571428571</v>
      </c>
      <c r="H164" s="1">
        <f t="shared" si="21"/>
        <v>153685.94690265486</v>
      </c>
      <c r="I164" s="1">
        <f t="shared" si="21"/>
        <v>0</v>
      </c>
      <c r="J164" s="385">
        <f t="shared" si="21"/>
        <v>167176.8353528154</v>
      </c>
      <c r="K164" s="1"/>
      <c r="L164" s="446">
        <f t="shared" si="21"/>
        <v>155944.79686386316</v>
      </c>
      <c r="M164" s="1">
        <f>M104/M142</f>
        <v>178327.19173200286</v>
      </c>
      <c r="N164" s="120"/>
    </row>
    <row r="165" spans="1:14" x14ac:dyDescent="0.25">
      <c r="A165" s="910" t="s">
        <v>75</v>
      </c>
      <c r="B165" s="1">
        <f t="shared" ref="B165:L165" si="22">B105/B143</f>
        <v>101646.3476070529</v>
      </c>
      <c r="C165" s="1">
        <f t="shared" si="22"/>
        <v>123418.4958618208</v>
      </c>
      <c r="D165" s="1">
        <f t="shared" si="22"/>
        <v>117089.63949334199</v>
      </c>
      <c r="E165" s="1">
        <f t="shared" si="22"/>
        <v>117371.7115946736</v>
      </c>
      <c r="F165" s="1">
        <f t="shared" si="22"/>
        <v>136776.97257026751</v>
      </c>
      <c r="G165" s="1">
        <f t="shared" si="22"/>
        <v>145008.63528614969</v>
      </c>
      <c r="H165" s="1">
        <f t="shared" si="22"/>
        <v>152169.46513202437</v>
      </c>
      <c r="I165" s="1">
        <f t="shared" si="22"/>
        <v>345288.68175765645</v>
      </c>
      <c r="J165" s="385">
        <f t="shared" si="22"/>
        <v>159351.63719711854</v>
      </c>
      <c r="K165" s="1"/>
      <c r="L165" s="446">
        <f t="shared" si="22"/>
        <v>148681.25</v>
      </c>
      <c r="M165" s="1">
        <f>M105/M143</f>
        <v>174366.17550753112</v>
      </c>
      <c r="N165" s="120"/>
    </row>
    <row r="166" spans="1:14" ht="16.5" thickBot="1" x14ac:dyDescent="0.3">
      <c r="A166" s="910"/>
      <c r="B166" s="37"/>
      <c r="C166" s="37"/>
      <c r="D166" s="37"/>
      <c r="E166" s="37"/>
      <c r="F166" s="37"/>
      <c r="G166" s="37"/>
      <c r="H166" s="37"/>
      <c r="I166" s="37"/>
      <c r="J166" s="921"/>
      <c r="K166" s="37"/>
      <c r="L166" s="925"/>
      <c r="M166" s="37" t="e">
        <f>M106/M144</f>
        <v>#DIV/0!</v>
      </c>
      <c r="N166" s="120"/>
    </row>
    <row r="167" spans="1:14" x14ac:dyDescent="0.25">
      <c r="A167" s="393"/>
      <c r="B167" s="1">
        <f t="shared" ref="B167:L167" si="23">B108/B145</f>
        <v>109871.31069501746</v>
      </c>
      <c r="C167" s="1">
        <f t="shared" si="23"/>
        <v>121763.73750403097</v>
      </c>
      <c r="D167" s="1">
        <f t="shared" si="23"/>
        <v>126609.85045513655</v>
      </c>
      <c r="E167" s="1">
        <f t="shared" si="23"/>
        <v>133291.11868809871</v>
      </c>
      <c r="F167" s="1">
        <f t="shared" si="23"/>
        <v>142027.23984875885</v>
      </c>
      <c r="G167" s="1">
        <f t="shared" si="23"/>
        <v>188225.72743711984</v>
      </c>
      <c r="H167" s="1">
        <f t="shared" si="23"/>
        <v>171179.29284661973</v>
      </c>
      <c r="I167" s="1">
        <f t="shared" si="23"/>
        <v>167975.25506072876</v>
      </c>
      <c r="J167" s="385">
        <f t="shared" si="23"/>
        <v>190680.17770597737</v>
      </c>
      <c r="K167" s="1"/>
      <c r="L167" s="446">
        <f t="shared" si="23"/>
        <v>190566.50641025641</v>
      </c>
      <c r="M167" s="1">
        <f>M108/M145</f>
        <v>213374.84652665589</v>
      </c>
      <c r="N167" s="120"/>
    </row>
    <row r="168" spans="1:14" x14ac:dyDescent="0.25">
      <c r="A168" s="393"/>
      <c r="B168" s="1"/>
      <c r="C168" s="1"/>
      <c r="D168" s="1"/>
      <c r="E168" s="1"/>
      <c r="F168" s="1"/>
      <c r="G168" s="1"/>
      <c r="H168" s="1"/>
      <c r="I168" s="1"/>
      <c r="J168" s="385"/>
      <c r="K168" s="1"/>
      <c r="L168" s="446"/>
      <c r="M168" s="1"/>
      <c r="N168" s="120"/>
    </row>
    <row r="169" spans="1:14" x14ac:dyDescent="0.25">
      <c r="A169" s="428" t="s">
        <v>82</v>
      </c>
      <c r="B169" s="1"/>
      <c r="C169" s="1"/>
      <c r="D169" s="1"/>
      <c r="E169" s="1"/>
      <c r="F169" s="1"/>
      <c r="G169" s="1"/>
      <c r="H169" s="1"/>
      <c r="I169" s="1"/>
      <c r="J169" s="385"/>
      <c r="K169" s="1"/>
      <c r="L169" s="446"/>
      <c r="M169" s="1"/>
      <c r="N169" s="120"/>
    </row>
    <row r="170" spans="1:14" x14ac:dyDescent="0.25">
      <c r="A170" s="910" t="s">
        <v>77</v>
      </c>
      <c r="B170" s="1">
        <f t="shared" ref="B170:L170" si="24">B113/B150</f>
        <v>283329.45945945947</v>
      </c>
      <c r="C170" s="1">
        <f t="shared" si="24"/>
        <v>169771.94594594595</v>
      </c>
      <c r="D170" s="1">
        <f t="shared" si="24"/>
        <v>206064</v>
      </c>
      <c r="E170" s="1">
        <f t="shared" si="24"/>
        <v>239057.8909090909</v>
      </c>
      <c r="F170" s="1">
        <f t="shared" si="24"/>
        <v>204083.05454545454</v>
      </c>
      <c r="G170" s="1">
        <f t="shared" si="24"/>
        <v>301882.35294117645</v>
      </c>
      <c r="H170" s="1">
        <f t="shared" si="24"/>
        <v>295268.86274509801</v>
      </c>
      <c r="I170" s="1">
        <f t="shared" si="24"/>
        <v>359580.54901960783</v>
      </c>
      <c r="J170" s="385">
        <f t="shared" si="24"/>
        <v>298974.07142857142</v>
      </c>
      <c r="K170" s="1"/>
      <c r="L170" s="446">
        <f t="shared" si="24"/>
        <v>285928</v>
      </c>
      <c r="M170" s="1">
        <f>M113/M150</f>
        <v>324356.21428571426</v>
      </c>
      <c r="N170" s="120"/>
    </row>
    <row r="171" spans="1:14" x14ac:dyDescent="0.25">
      <c r="A171" s="393"/>
      <c r="B171" s="1"/>
      <c r="C171" s="1"/>
      <c r="D171" s="1"/>
      <c r="E171" s="1"/>
      <c r="F171" s="1"/>
      <c r="G171" s="1"/>
      <c r="H171" s="1"/>
      <c r="I171" s="1"/>
      <c r="J171" s="385"/>
      <c r="K171" s="1"/>
      <c r="L171" s="446"/>
      <c r="M171" s="1"/>
      <c r="N171" s="120"/>
    </row>
    <row r="172" spans="1:14" x14ac:dyDescent="0.25">
      <c r="A172" s="428" t="s">
        <v>81</v>
      </c>
      <c r="B172" s="1"/>
      <c r="C172" s="1"/>
      <c r="D172" s="1"/>
      <c r="E172" s="1"/>
      <c r="F172" s="1"/>
      <c r="G172" s="1"/>
      <c r="H172" s="1"/>
      <c r="I172" s="1"/>
      <c r="J172" s="385"/>
      <c r="K172" s="1"/>
      <c r="L172" s="446"/>
      <c r="M172" s="1"/>
      <c r="N172" s="120"/>
    </row>
    <row r="173" spans="1:14" x14ac:dyDescent="0.25">
      <c r="A173" s="910" t="s">
        <v>11</v>
      </c>
      <c r="B173" s="1">
        <f t="shared" ref="B173:L173" si="25">B116/B153</f>
        <v>647703.26086956519</v>
      </c>
      <c r="C173" s="1">
        <f t="shared" si="25"/>
        <v>1664001.0869565217</v>
      </c>
      <c r="D173" s="1">
        <f t="shared" si="25"/>
        <v>333931.52173913043</v>
      </c>
      <c r="E173" s="1">
        <f t="shared" si="25"/>
        <v>139621.73913043478</v>
      </c>
      <c r="F173" s="1">
        <f t="shared" si="25"/>
        <v>728845.65217391297</v>
      </c>
      <c r="G173" s="1">
        <f t="shared" si="25"/>
        <v>2877956.5217391304</v>
      </c>
      <c r="H173" s="1">
        <f t="shared" si="25"/>
        <v>251447.82608695651</v>
      </c>
      <c r="I173" s="1">
        <f t="shared" si="25"/>
        <v>1545314.1304347825</v>
      </c>
      <c r="J173" s="385">
        <f t="shared" si="25"/>
        <v>1440886.4</v>
      </c>
      <c r="K173" s="1"/>
      <c r="L173" s="446">
        <f t="shared" si="25"/>
        <v>2295809.3567251461</v>
      </c>
      <c r="M173" s="1">
        <f>M116/M153</f>
        <v>2046531.2</v>
      </c>
      <c r="N173" s="120"/>
    </row>
    <row r="174" spans="1:14" x14ac:dyDescent="0.25">
      <c r="A174" s="910" t="s">
        <v>12</v>
      </c>
      <c r="B174" s="1">
        <f t="shared" ref="B174:L174" si="26">B117/B154</f>
        <v>686203.82513661205</v>
      </c>
      <c r="C174" s="1">
        <f t="shared" si="26"/>
        <v>100963.93442622951</v>
      </c>
      <c r="D174" s="1">
        <f t="shared" si="26"/>
        <v>123839.5</v>
      </c>
      <c r="E174" s="1">
        <f t="shared" si="26"/>
        <v>248421</v>
      </c>
      <c r="F174" s="1">
        <f t="shared" si="26"/>
        <v>944708.57142857148</v>
      </c>
      <c r="G174" s="1">
        <f t="shared" si="26"/>
        <v>697882.15384615387</v>
      </c>
      <c r="H174" s="1">
        <f t="shared" si="26"/>
        <v>1292764.2857142857</v>
      </c>
      <c r="I174" s="1">
        <f t="shared" si="26"/>
        <v>1402244</v>
      </c>
      <c r="J174" s="385">
        <f t="shared" si="26"/>
        <v>825610.83650190115</v>
      </c>
      <c r="K174" s="1"/>
      <c r="L174" s="446">
        <f t="shared" si="26"/>
        <v>678929.30463576154</v>
      </c>
      <c r="M174" s="1">
        <f>M117/M154</f>
        <v>606777.37642585556</v>
      </c>
      <c r="N174" s="120"/>
    </row>
    <row r="175" spans="1:14" x14ac:dyDescent="0.25">
      <c r="A175" s="910" t="s">
        <v>14</v>
      </c>
      <c r="B175" s="1" t="e">
        <f t="shared" ref="B175:L175" si="27">B123/B155</f>
        <v>#DIV/0!</v>
      </c>
      <c r="C175" s="1" t="e">
        <f t="shared" si="27"/>
        <v>#DIV/0!</v>
      </c>
      <c r="D175" s="1" t="e">
        <f t="shared" si="27"/>
        <v>#DIV/0!</v>
      </c>
      <c r="E175" s="1" t="e">
        <f t="shared" si="27"/>
        <v>#DIV/0!</v>
      </c>
      <c r="F175" s="1" t="e">
        <f t="shared" si="27"/>
        <v>#DIV/0!</v>
      </c>
      <c r="G175" s="1" t="e">
        <f t="shared" si="27"/>
        <v>#DIV/0!</v>
      </c>
      <c r="H175" s="1" t="e">
        <f t="shared" si="27"/>
        <v>#DIV/0!</v>
      </c>
      <c r="I175" s="1" t="e">
        <f t="shared" si="27"/>
        <v>#DIV/0!</v>
      </c>
      <c r="J175" s="385" t="e">
        <f t="shared" si="27"/>
        <v>#DIV/0!</v>
      </c>
      <c r="K175" s="1"/>
      <c r="L175" s="446" t="e">
        <f t="shared" si="27"/>
        <v>#DIV/0!</v>
      </c>
      <c r="M175" s="1" t="e">
        <f>M123/M155</f>
        <v>#DIV/0!</v>
      </c>
      <c r="N175" s="120"/>
    </row>
    <row r="176" spans="1:14" x14ac:dyDescent="0.25">
      <c r="A176" s="565" t="s">
        <v>79</v>
      </c>
      <c r="B176" s="1"/>
      <c r="C176" s="1"/>
      <c r="D176" s="1"/>
      <c r="E176" s="1"/>
      <c r="F176" s="1"/>
      <c r="G176" s="1"/>
      <c r="H176" s="1"/>
      <c r="I176" s="1"/>
      <c r="J176" s="385"/>
      <c r="K176" s="1"/>
      <c r="L176" s="446"/>
      <c r="M176" s="1"/>
      <c r="N176" s="120"/>
    </row>
    <row r="177" spans="1:14" x14ac:dyDescent="0.25">
      <c r="A177" s="393"/>
      <c r="B177" s="1"/>
      <c r="C177" s="1"/>
      <c r="D177" s="1"/>
      <c r="E177" s="1"/>
      <c r="F177" s="1"/>
      <c r="G177" s="1"/>
      <c r="H177" s="1"/>
      <c r="I177" s="1"/>
      <c r="J177" s="385"/>
      <c r="K177" s="1"/>
      <c r="L177" s="446"/>
      <c r="M177" s="1"/>
      <c r="N177" s="120"/>
    </row>
    <row r="178" spans="1:14" x14ac:dyDescent="0.25">
      <c r="A178" s="393"/>
      <c r="B178" s="1"/>
      <c r="C178" s="1"/>
      <c r="D178" s="1"/>
      <c r="E178" s="1"/>
      <c r="F178" s="1"/>
      <c r="G178" s="1"/>
      <c r="H178" s="1"/>
      <c r="I178" s="1"/>
      <c r="J178" s="385"/>
      <c r="K178" s="1"/>
      <c r="L178" s="446"/>
      <c r="M178" s="1"/>
      <c r="N178" s="120"/>
    </row>
    <row r="179" spans="1:14" x14ac:dyDescent="0.25">
      <c r="A179" s="393"/>
      <c r="B179" s="2">
        <v>2008</v>
      </c>
      <c r="C179" s="2">
        <v>2009</v>
      </c>
      <c r="D179" s="2">
        <v>2010</v>
      </c>
      <c r="E179" s="2">
        <v>2011</v>
      </c>
      <c r="F179" s="2">
        <v>2012</v>
      </c>
      <c r="G179" s="2">
        <v>2013</v>
      </c>
      <c r="H179" s="2">
        <v>2014</v>
      </c>
      <c r="I179" s="2">
        <v>2015</v>
      </c>
      <c r="J179" s="841">
        <v>2016</v>
      </c>
      <c r="K179" s="195"/>
      <c r="L179" s="842">
        <v>2018</v>
      </c>
      <c r="M179" s="122">
        <v>2017</v>
      </c>
      <c r="N179" s="120"/>
    </row>
    <row r="180" spans="1:14" x14ac:dyDescent="0.25">
      <c r="A180" s="393" t="s">
        <v>65</v>
      </c>
      <c r="B180" s="14">
        <f>B143/(B137/1000)</f>
        <v>0.42958726232802597</v>
      </c>
      <c r="C180" s="14">
        <f t="shared" ref="C180:L180" si="28">C143/(C137/1000)</f>
        <v>0.43997973465058104</v>
      </c>
      <c r="D180" s="14">
        <f t="shared" si="28"/>
        <v>0.45451861474417637</v>
      </c>
      <c r="E180" s="14">
        <f t="shared" si="28"/>
        <v>0.44778290019051498</v>
      </c>
      <c r="F180" s="14">
        <f t="shared" si="28"/>
        <v>0.42586637054556475</v>
      </c>
      <c r="G180" s="14">
        <f t="shared" si="28"/>
        <v>0.41963905073184593</v>
      </c>
      <c r="H180" s="14">
        <f t="shared" si="28"/>
        <v>0.41589817956551733</v>
      </c>
      <c r="I180" s="14">
        <f t="shared" si="28"/>
        <v>0.4091528193952601</v>
      </c>
      <c r="J180" s="534">
        <f t="shared" si="28"/>
        <v>0.41056664650131069</v>
      </c>
      <c r="K180" s="14"/>
      <c r="L180" s="545">
        <f t="shared" si="28"/>
        <v>0.40174988998472727</v>
      </c>
      <c r="M180" s="14">
        <f>M143/(M137/1000)</f>
        <v>0.4026898734177215</v>
      </c>
      <c r="N180" s="120"/>
    </row>
    <row r="181" spans="1:14" x14ac:dyDescent="0.25">
      <c r="A181" s="393" t="s">
        <v>64</v>
      </c>
      <c r="B181" s="14">
        <f>B145/(B137/1000)</f>
        <v>0.97418457257690516</v>
      </c>
      <c r="C181" s="14">
        <f t="shared" ref="C181:L181" si="29">C145/(C137/1000)</f>
        <v>0.98191950856527654</v>
      </c>
      <c r="D181" s="14">
        <f t="shared" si="29"/>
        <v>0.90815151604617506</v>
      </c>
      <c r="E181" s="14">
        <f t="shared" si="29"/>
        <v>0.89571123165748034</v>
      </c>
      <c r="F181" s="14">
        <f t="shared" si="29"/>
        <v>0.87725876465583141</v>
      </c>
      <c r="G181" s="14">
        <f t="shared" si="29"/>
        <v>0.86443086542560743</v>
      </c>
      <c r="H181" s="14">
        <f t="shared" si="29"/>
        <v>0.86009545665732756</v>
      </c>
      <c r="I181" s="14">
        <f t="shared" si="29"/>
        <v>0.84105148460909829</v>
      </c>
      <c r="J181" s="534">
        <f t="shared" si="29"/>
        <v>0.83215702090475219</v>
      </c>
      <c r="K181" s="14"/>
      <c r="L181" s="545">
        <f t="shared" si="29"/>
        <v>0.80764153141259609</v>
      </c>
      <c r="M181" s="14">
        <f>M145/(M137/1000)</f>
        <v>0.81619198312236285</v>
      </c>
      <c r="N181" s="120"/>
    </row>
    <row r="182" spans="1:14" x14ac:dyDescent="0.25">
      <c r="A182" s="905"/>
      <c r="B182" s="2"/>
      <c r="C182" s="2"/>
      <c r="D182" s="2"/>
      <c r="E182" s="2"/>
      <c r="F182" s="2"/>
      <c r="G182" s="2"/>
      <c r="H182" s="2"/>
      <c r="I182" s="2"/>
      <c r="J182" s="905"/>
      <c r="K182" s="197"/>
      <c r="L182" s="930"/>
      <c r="M182" s="18"/>
      <c r="N182" s="120"/>
    </row>
    <row r="183" spans="1:14" x14ac:dyDescent="0.25">
      <c r="A183" s="905" t="s">
        <v>0</v>
      </c>
      <c r="B183" s="3">
        <v>9528681</v>
      </c>
      <c r="C183" s="3">
        <v>8698322</v>
      </c>
      <c r="D183" s="11">
        <v>9572289</v>
      </c>
      <c r="E183" s="1">
        <v>10206841</v>
      </c>
      <c r="F183" s="1">
        <v>12989173</v>
      </c>
      <c r="G183" s="1">
        <v>13139972</v>
      </c>
      <c r="H183" s="1">
        <v>13433473</v>
      </c>
      <c r="I183" s="1">
        <v>14149386</v>
      </c>
      <c r="J183" s="385">
        <v>10372472</v>
      </c>
      <c r="K183" s="1"/>
      <c r="L183" s="446">
        <v>12864910</v>
      </c>
      <c r="M183" s="1">
        <v>12525620</v>
      </c>
      <c r="N183" s="120"/>
    </row>
    <row r="184" spans="1:14" x14ac:dyDescent="0.25">
      <c r="A184" s="393" t="s">
        <v>42</v>
      </c>
      <c r="B184" s="7"/>
      <c r="C184" s="7">
        <f t="shared" ref="C184:I184" si="30">C183/B183</f>
        <v>0.91285687914203451</v>
      </c>
      <c r="D184" s="7">
        <f t="shared" si="30"/>
        <v>1.1004753560514315</v>
      </c>
      <c r="E184" s="7">
        <f t="shared" si="30"/>
        <v>1.0662905183911602</v>
      </c>
      <c r="F184" s="7">
        <f t="shared" si="30"/>
        <v>1.2725948214535723</v>
      </c>
      <c r="G184" s="7">
        <f t="shared" si="30"/>
        <v>1.0116095920810355</v>
      </c>
      <c r="H184" s="7">
        <f t="shared" si="30"/>
        <v>1.0223365011736707</v>
      </c>
      <c r="I184" s="7">
        <f t="shared" si="30"/>
        <v>1.0532932176213849</v>
      </c>
      <c r="J184" s="531">
        <f>J183/I183</f>
        <v>0.73306869994217416</v>
      </c>
      <c r="K184" s="7"/>
      <c r="L184" s="540">
        <f>L183/M183</f>
        <v>1.0270876810888403</v>
      </c>
      <c r="M184" s="7">
        <f>M183/J183</f>
        <v>1.2075829175533084</v>
      </c>
      <c r="N184" s="120"/>
    </row>
    <row r="185" spans="1:14" x14ac:dyDescent="0.25">
      <c r="A185" s="393"/>
      <c r="I185" s="7" t="e">
        <f>I183/#REF!</f>
        <v>#REF!</v>
      </c>
      <c r="J185" s="531"/>
      <c r="K185" s="23"/>
      <c r="L185" s="541">
        <f>L183/J183</f>
        <v>1.2402935385123237</v>
      </c>
      <c r="M185" s="7"/>
      <c r="N185" s="120"/>
    </row>
    <row r="186" spans="1:14" x14ac:dyDescent="0.25">
      <c r="A186" s="393"/>
      <c r="I186" s="7"/>
      <c r="J186" s="531"/>
      <c r="K186" s="7"/>
      <c r="L186" s="540"/>
      <c r="M186" s="7"/>
      <c r="N186" s="120"/>
    </row>
    <row r="187" spans="1:14" x14ac:dyDescent="0.25">
      <c r="A187" s="393" t="s">
        <v>18</v>
      </c>
      <c r="B187" s="1">
        <v>3674299</v>
      </c>
      <c r="C187" s="1">
        <v>3711564</v>
      </c>
      <c r="D187" s="1">
        <v>3726884</v>
      </c>
      <c r="E187" s="1">
        <v>4140230</v>
      </c>
      <c r="F187" s="1">
        <v>4038717</v>
      </c>
      <c r="G187" s="1">
        <v>6467410</v>
      </c>
      <c r="H187" s="1">
        <v>5029840</v>
      </c>
      <c r="I187" s="1"/>
      <c r="J187" s="385">
        <v>10372472</v>
      </c>
      <c r="K187" s="1"/>
      <c r="L187" s="446">
        <v>12864910</v>
      </c>
      <c r="M187" s="1">
        <v>12525620</v>
      </c>
      <c r="N187" s="120"/>
    </row>
    <row r="188" spans="1:14" x14ac:dyDescent="0.25">
      <c r="A188" s="393"/>
      <c r="J188" s="385"/>
      <c r="K188" s="1"/>
      <c r="L188" s="446"/>
      <c r="M188" s="1"/>
      <c r="N188" s="120"/>
    </row>
    <row r="189" spans="1:14" x14ac:dyDescent="0.25">
      <c r="A189" s="393" t="s">
        <v>1</v>
      </c>
      <c r="B189" s="1">
        <v>356600</v>
      </c>
      <c r="C189" s="1">
        <v>282964</v>
      </c>
      <c r="D189" s="1">
        <v>325758</v>
      </c>
      <c r="E189" s="1">
        <v>291797</v>
      </c>
      <c r="F189" s="1">
        <v>288034</v>
      </c>
      <c r="G189" s="1">
        <v>284230</v>
      </c>
      <c r="H189" s="1">
        <v>284090</v>
      </c>
      <c r="I189" s="1"/>
      <c r="J189" s="385"/>
      <c r="K189" s="1"/>
      <c r="L189" s="446"/>
      <c r="M189" s="1"/>
      <c r="N189" s="120"/>
    </row>
    <row r="190" spans="1:14" x14ac:dyDescent="0.25">
      <c r="A190" s="393" t="s">
        <v>2</v>
      </c>
      <c r="B190" s="1">
        <v>62470</v>
      </c>
      <c r="C190" s="1">
        <v>43401</v>
      </c>
      <c r="D190" s="1">
        <f>43611+1724+2504</f>
        <v>47839</v>
      </c>
      <c r="E190" s="1">
        <f>27986+14298</f>
        <v>42284</v>
      </c>
      <c r="F190" s="1">
        <f>27360+13776</f>
        <v>41136</v>
      </c>
      <c r="G190" s="1">
        <f>31000+14060</f>
        <v>45060</v>
      </c>
      <c r="H190" s="1">
        <f>31730+14390</f>
        <v>46120</v>
      </c>
      <c r="I190" s="1"/>
      <c r="J190" s="385"/>
      <c r="K190" s="1"/>
      <c r="L190" s="446"/>
      <c r="M190" s="1"/>
      <c r="N190" s="120"/>
    </row>
    <row r="191" spans="1:14" x14ac:dyDescent="0.25">
      <c r="A191" s="393" t="s">
        <v>3</v>
      </c>
      <c r="B191" s="1">
        <v>1304049</v>
      </c>
      <c r="C191" s="1">
        <v>1910207</v>
      </c>
      <c r="D191" s="1">
        <v>2009181</v>
      </c>
      <c r="E191" s="1">
        <v>1965704</v>
      </c>
      <c r="F191" s="1">
        <v>2403156</v>
      </c>
      <c r="G191" s="1">
        <v>2949850</v>
      </c>
      <c r="H191" s="1">
        <v>3100710</v>
      </c>
      <c r="I191" s="1"/>
      <c r="J191" s="385"/>
      <c r="K191" s="1"/>
      <c r="L191" s="446"/>
      <c r="M191" s="1"/>
      <c r="N191" s="120"/>
    </row>
    <row r="192" spans="1:14" x14ac:dyDescent="0.25">
      <c r="A192" s="393" t="s">
        <v>4</v>
      </c>
      <c r="B192" s="1">
        <v>169190</v>
      </c>
      <c r="C192" s="1">
        <v>144775</v>
      </c>
      <c r="D192" s="1">
        <f>132127+7111+1800</f>
        <v>141038</v>
      </c>
      <c r="E192" s="1">
        <f>11984+116799</f>
        <v>128783</v>
      </c>
      <c r="F192" s="1">
        <f>15978+142464</f>
        <v>158442</v>
      </c>
      <c r="G192" s="1">
        <f>50640+124870</f>
        <v>175510</v>
      </c>
      <c r="H192" s="1">
        <f>48670+132440</f>
        <v>181110</v>
      </c>
      <c r="I192" s="1"/>
      <c r="J192" s="385"/>
      <c r="K192" s="1"/>
      <c r="L192" s="446"/>
      <c r="M192" s="1"/>
      <c r="N192" s="120"/>
    </row>
    <row r="193" spans="1:14" x14ac:dyDescent="0.25">
      <c r="A193" s="393" t="s">
        <v>5</v>
      </c>
      <c r="B193" s="1">
        <v>537040</v>
      </c>
      <c r="C193" s="1">
        <v>488905</v>
      </c>
      <c r="D193" s="1">
        <v>502267</v>
      </c>
      <c r="E193" s="1">
        <v>594061</v>
      </c>
      <c r="F193" s="1">
        <v>593981</v>
      </c>
      <c r="G193" s="1">
        <v>594890</v>
      </c>
      <c r="H193" s="1">
        <v>607660</v>
      </c>
      <c r="I193" s="1"/>
      <c r="J193" s="385"/>
      <c r="K193" s="1"/>
      <c r="L193" s="446"/>
      <c r="M193" s="1"/>
      <c r="N193" s="120"/>
    </row>
    <row r="194" spans="1:14" x14ac:dyDescent="0.25">
      <c r="A194" s="393" t="s">
        <v>6</v>
      </c>
      <c r="B194" s="1">
        <v>279690</v>
      </c>
      <c r="C194" s="1">
        <v>272317</v>
      </c>
      <c r="D194" s="1">
        <v>282611</v>
      </c>
      <c r="E194" s="1">
        <v>280800</v>
      </c>
      <c r="F194" s="1">
        <v>287739</v>
      </c>
      <c r="G194" s="1">
        <v>296730</v>
      </c>
      <c r="H194" s="1">
        <v>309020</v>
      </c>
      <c r="I194" s="1"/>
      <c r="J194" s="385"/>
      <c r="K194" s="1"/>
      <c r="L194" s="446"/>
      <c r="M194" s="1"/>
      <c r="N194" s="120"/>
    </row>
    <row r="195" spans="1:14" x14ac:dyDescent="0.25">
      <c r="A195" s="393" t="s">
        <v>7</v>
      </c>
      <c r="B195" s="1">
        <v>327730</v>
      </c>
      <c r="C195" s="1">
        <v>287231</v>
      </c>
      <c r="D195" s="1">
        <v>296496</v>
      </c>
      <c r="E195" s="1">
        <v>310446</v>
      </c>
      <c r="F195" s="1">
        <v>316536</v>
      </c>
      <c r="G195" s="1">
        <v>376400</v>
      </c>
      <c r="H195" s="1">
        <v>388760</v>
      </c>
      <c r="I195" s="1"/>
      <c r="J195" s="385"/>
      <c r="K195" s="1"/>
      <c r="L195" s="446"/>
      <c r="M195" s="1"/>
      <c r="N195" s="120"/>
    </row>
    <row r="196" spans="1:14" x14ac:dyDescent="0.25">
      <c r="A196" s="393"/>
      <c r="B196" s="6">
        <f t="shared" ref="B196:H196" si="31">SUM(B189:B195)</f>
        <v>3036769</v>
      </c>
      <c r="C196" s="6">
        <f t="shared" si="31"/>
        <v>3429800</v>
      </c>
      <c r="D196" s="6">
        <f t="shared" si="31"/>
        <v>3605190</v>
      </c>
      <c r="E196" s="6">
        <f t="shared" si="31"/>
        <v>3613875</v>
      </c>
      <c r="F196" s="6">
        <f t="shared" si="31"/>
        <v>4089024</v>
      </c>
      <c r="G196" s="6">
        <f t="shared" si="31"/>
        <v>4722670</v>
      </c>
      <c r="H196" s="6">
        <f t="shared" si="31"/>
        <v>4917470</v>
      </c>
      <c r="J196" s="385">
        <v>499855</v>
      </c>
      <c r="K196" s="1"/>
      <c r="L196" s="446">
        <v>5453193</v>
      </c>
      <c r="M196" s="1">
        <v>5059866</v>
      </c>
      <c r="N196" s="120"/>
    </row>
    <row r="197" spans="1:14" x14ac:dyDescent="0.25">
      <c r="A197" s="393"/>
      <c r="B197" s="1"/>
      <c r="C197" s="1"/>
      <c r="D197" s="1"/>
      <c r="E197" s="1"/>
      <c r="F197" s="1"/>
      <c r="G197" s="1"/>
      <c r="H197" s="1"/>
      <c r="I197" s="1"/>
      <c r="J197" s="385"/>
      <c r="K197" s="1"/>
      <c r="L197" s="446"/>
      <c r="M197" s="1"/>
      <c r="N197" s="120"/>
    </row>
    <row r="198" spans="1:14" x14ac:dyDescent="0.25">
      <c r="A198" s="393" t="s">
        <v>8</v>
      </c>
      <c r="B198" s="1"/>
      <c r="C198" s="1"/>
      <c r="D198" s="1"/>
      <c r="E198" s="1"/>
      <c r="F198" s="1"/>
      <c r="G198" s="1"/>
      <c r="H198" s="1"/>
      <c r="I198" s="1"/>
      <c r="J198" s="385"/>
      <c r="K198" s="1"/>
      <c r="L198" s="446"/>
      <c r="M198" s="1"/>
      <c r="N198" s="120"/>
    </row>
    <row r="199" spans="1:14" x14ac:dyDescent="0.25">
      <c r="A199" s="393" t="s">
        <v>13</v>
      </c>
      <c r="B199" s="1">
        <v>1396050</v>
      </c>
      <c r="C199" s="1">
        <v>833838</v>
      </c>
      <c r="D199" s="1">
        <v>579728</v>
      </c>
      <c r="E199" s="1">
        <v>620576</v>
      </c>
      <c r="F199" s="1">
        <v>587609</v>
      </c>
      <c r="G199" s="1">
        <v>660490</v>
      </c>
      <c r="H199" s="1">
        <v>645900</v>
      </c>
      <c r="I199" s="1"/>
      <c r="J199" s="385"/>
      <c r="K199" s="1"/>
      <c r="L199" s="446"/>
      <c r="M199" s="1"/>
      <c r="N199" s="120"/>
    </row>
    <row r="200" spans="1:14" x14ac:dyDescent="0.25">
      <c r="A200" s="393" t="s">
        <v>16</v>
      </c>
      <c r="B200" s="1">
        <v>973840</v>
      </c>
      <c r="C200" s="1">
        <v>914769</v>
      </c>
      <c r="D200" s="1">
        <f>4095+116310+801077</f>
        <v>921482</v>
      </c>
      <c r="E200" s="1">
        <f>97929+1167050</f>
        <v>1264979</v>
      </c>
      <c r="F200" s="1">
        <f>90109+726029</f>
        <v>816138</v>
      </c>
      <c r="G200" s="1">
        <f>89480+1598920</f>
        <v>1688400</v>
      </c>
      <c r="H200" s="1">
        <f>89480+930060</f>
        <v>1019540</v>
      </c>
      <c r="I200" s="1"/>
      <c r="J200" s="385"/>
      <c r="K200" s="1"/>
      <c r="L200" s="446"/>
      <c r="M200" s="1"/>
      <c r="N200" s="120"/>
    </row>
    <row r="201" spans="1:14" x14ac:dyDescent="0.25">
      <c r="A201" s="393" t="s">
        <v>15</v>
      </c>
      <c r="B201" s="1"/>
      <c r="C201" s="1">
        <v>53307</v>
      </c>
      <c r="D201" s="1">
        <v>55446</v>
      </c>
      <c r="E201" s="1">
        <v>53978</v>
      </c>
      <c r="F201" s="1">
        <v>54054</v>
      </c>
      <c r="G201" s="1">
        <v>197450</v>
      </c>
      <c r="H201" s="1">
        <f>184640+78460</f>
        <v>263100</v>
      </c>
      <c r="I201" s="1"/>
      <c r="J201" s="385"/>
      <c r="K201" s="1"/>
      <c r="L201" s="446"/>
      <c r="M201" s="1"/>
      <c r="N201" s="120"/>
    </row>
    <row r="202" spans="1:14" x14ac:dyDescent="0.25">
      <c r="A202" s="393" t="s">
        <v>9</v>
      </c>
      <c r="B202" s="4">
        <v>3226390</v>
      </c>
      <c r="C202" s="1">
        <v>1143018</v>
      </c>
      <c r="D202" s="1">
        <f>534+438503+733439</f>
        <v>1172476</v>
      </c>
      <c r="E202" s="1">
        <f>437416+806795</f>
        <v>1244211</v>
      </c>
      <c r="F202" s="1">
        <f>850229+89330</f>
        <v>939559</v>
      </c>
      <c r="G202" s="1">
        <f>445330+1330440</f>
        <v>1775770</v>
      </c>
      <c r="H202" s="1">
        <f>498440+1290120</f>
        <v>1788560</v>
      </c>
      <c r="I202" s="1"/>
      <c r="J202" s="385"/>
      <c r="K202" s="1"/>
      <c r="L202" s="446"/>
      <c r="M202" s="1"/>
      <c r="N202" s="120"/>
    </row>
    <row r="203" spans="1:14" x14ac:dyDescent="0.25">
      <c r="A203" s="393"/>
      <c r="B203" s="5">
        <f t="shared" ref="B203:H203" si="32">SUM(B199:B202)</f>
        <v>5596280</v>
      </c>
      <c r="C203" s="5">
        <f t="shared" si="32"/>
        <v>2944932</v>
      </c>
      <c r="D203" s="5">
        <f t="shared" si="32"/>
        <v>2729132</v>
      </c>
      <c r="E203" s="5">
        <f t="shared" si="32"/>
        <v>3183744</v>
      </c>
      <c r="F203" s="5">
        <f t="shared" si="32"/>
        <v>2397360</v>
      </c>
      <c r="G203" s="5">
        <f t="shared" si="32"/>
        <v>4322110</v>
      </c>
      <c r="H203" s="5">
        <f t="shared" si="32"/>
        <v>3717100</v>
      </c>
      <c r="I203" s="1"/>
      <c r="J203" s="385">
        <v>4584652</v>
      </c>
      <c r="K203" s="1"/>
      <c r="L203" s="446">
        <v>4540987</v>
      </c>
      <c r="M203" s="1">
        <v>4271147</v>
      </c>
      <c r="N203" s="120"/>
    </row>
    <row r="204" spans="1:14" x14ac:dyDescent="0.25">
      <c r="A204" s="393"/>
      <c r="B204" s="1" t="s">
        <v>10</v>
      </c>
      <c r="C204" s="1"/>
      <c r="D204" s="1"/>
      <c r="E204" s="1"/>
      <c r="F204" s="1"/>
      <c r="G204" s="1"/>
      <c r="H204" s="1"/>
      <c r="I204" s="1"/>
      <c r="J204" s="385"/>
      <c r="K204" s="7"/>
      <c r="L204" s="540">
        <f>L203/J203</f>
        <v>0.99047583109906712</v>
      </c>
      <c r="M204" s="1"/>
      <c r="N204" s="120"/>
    </row>
    <row r="205" spans="1:14" x14ac:dyDescent="0.25">
      <c r="A205" s="393"/>
      <c r="B205" s="1">
        <v>1446560</v>
      </c>
      <c r="C205" s="1"/>
      <c r="D205" s="1"/>
      <c r="E205" s="1"/>
      <c r="F205" s="1"/>
      <c r="G205" s="1"/>
      <c r="H205" s="1"/>
      <c r="I205" s="1"/>
      <c r="J205" s="385"/>
      <c r="K205" s="1"/>
      <c r="L205" s="446"/>
      <c r="M205" s="1"/>
      <c r="N205" s="120"/>
    </row>
    <row r="206" spans="1:14" x14ac:dyDescent="0.25">
      <c r="A206" s="393" t="s">
        <v>17</v>
      </c>
      <c r="B206" s="1"/>
      <c r="C206" s="1">
        <v>104354</v>
      </c>
      <c r="D206" s="1">
        <v>104248</v>
      </c>
      <c r="E206" s="1">
        <v>103302</v>
      </c>
      <c r="F206" s="1">
        <v>89229</v>
      </c>
      <c r="G206" s="1">
        <v>11570</v>
      </c>
      <c r="H206" s="1">
        <v>114720</v>
      </c>
      <c r="I206" s="1"/>
      <c r="J206" s="385"/>
      <c r="K206" s="1"/>
      <c r="L206" s="446"/>
      <c r="M206" s="1"/>
      <c r="N206" s="120"/>
    </row>
    <row r="207" spans="1:14" x14ac:dyDescent="0.25">
      <c r="A207" s="393"/>
      <c r="B207" s="1"/>
      <c r="C207" s="1"/>
      <c r="D207" s="1"/>
      <c r="E207" s="1"/>
      <c r="F207" s="1">
        <v>107110</v>
      </c>
      <c r="G207" s="1">
        <v>111570</v>
      </c>
      <c r="H207" s="1"/>
      <c r="I207" s="1"/>
      <c r="J207" s="385"/>
      <c r="K207" s="1"/>
      <c r="L207" s="446"/>
      <c r="M207" s="1"/>
      <c r="N207" s="120"/>
    </row>
    <row r="208" spans="1:14" x14ac:dyDescent="0.25">
      <c r="A208" s="393"/>
      <c r="B208" s="1"/>
      <c r="C208" s="1"/>
      <c r="D208" s="1"/>
      <c r="E208" s="1"/>
      <c r="F208" s="1"/>
      <c r="G208" s="1"/>
      <c r="H208" s="1"/>
      <c r="I208" s="1"/>
      <c r="J208" s="385"/>
      <c r="K208" s="1"/>
      <c r="L208" s="446"/>
      <c r="M208" s="1"/>
      <c r="N208" s="120"/>
    </row>
    <row r="209" spans="1:14" x14ac:dyDescent="0.25">
      <c r="A209" s="393" t="s">
        <v>11</v>
      </c>
      <c r="B209" s="1">
        <v>1404490</v>
      </c>
      <c r="C209" s="1">
        <v>1530881</v>
      </c>
      <c r="D209" s="1">
        <v>307217</v>
      </c>
      <c r="E209" s="1">
        <v>128452</v>
      </c>
      <c r="F209" s="1">
        <v>670538</v>
      </c>
      <c r="G209" s="1">
        <v>2750700</v>
      </c>
      <c r="H209" s="1">
        <v>279630</v>
      </c>
      <c r="I209" s="1"/>
      <c r="J209" s="385"/>
      <c r="K209" s="1"/>
      <c r="L209" s="446"/>
      <c r="M209" s="1"/>
      <c r="N209" s="120"/>
    </row>
    <row r="210" spans="1:14" x14ac:dyDescent="0.25">
      <c r="A210" s="393"/>
      <c r="B210" s="1"/>
      <c r="C210" s="1"/>
      <c r="D210" s="1"/>
      <c r="E210" s="1"/>
      <c r="F210" s="1">
        <v>2493570</v>
      </c>
      <c r="G210" s="1">
        <v>274420</v>
      </c>
      <c r="H210" s="1"/>
      <c r="I210" s="1"/>
      <c r="J210" s="385"/>
      <c r="K210" s="1"/>
      <c r="L210" s="446"/>
      <c r="M210" s="1"/>
      <c r="N210" s="120"/>
    </row>
    <row r="211" spans="1:14" x14ac:dyDescent="0.25">
      <c r="A211" s="393"/>
      <c r="B211" s="1"/>
      <c r="C211" s="1"/>
      <c r="D211" s="1"/>
      <c r="E211" s="1"/>
      <c r="F211" s="1"/>
      <c r="G211" s="1"/>
      <c r="I211" s="1"/>
      <c r="J211" s="385"/>
      <c r="K211" s="1"/>
      <c r="L211" s="446"/>
      <c r="M211" s="1"/>
      <c r="N211" s="120"/>
    </row>
    <row r="212" spans="1:14" x14ac:dyDescent="0.25">
      <c r="A212" s="393" t="s">
        <v>12</v>
      </c>
      <c r="B212" s="1">
        <v>1502120</v>
      </c>
      <c r="C212" s="1">
        <v>184764</v>
      </c>
      <c r="D212" s="1">
        <v>247679</v>
      </c>
      <c r="E212" s="1">
        <v>496842</v>
      </c>
      <c r="F212" s="1">
        <v>1962055</v>
      </c>
      <c r="G212" s="1">
        <v>1800000</v>
      </c>
      <c r="H212" s="1">
        <v>5169910</v>
      </c>
      <c r="I212" s="1"/>
      <c r="J212" s="385"/>
      <c r="K212" s="1"/>
      <c r="L212" s="446"/>
      <c r="M212" s="1"/>
      <c r="N212" s="120"/>
    </row>
    <row r="213" spans="1:14" x14ac:dyDescent="0.25">
      <c r="A213" s="393"/>
      <c r="B213" s="1"/>
      <c r="C213" s="1"/>
      <c r="D213" s="1"/>
      <c r="E213" s="1"/>
      <c r="F213" s="1">
        <v>4239640</v>
      </c>
      <c r="G213" s="1">
        <v>2586330</v>
      </c>
      <c r="H213" s="1"/>
      <c r="I213" s="1"/>
      <c r="J213" s="385"/>
      <c r="K213" s="1"/>
      <c r="L213" s="446"/>
      <c r="M213" s="1"/>
      <c r="N213" s="120"/>
    </row>
    <row r="214" spans="1:14" x14ac:dyDescent="0.25">
      <c r="A214" s="393"/>
      <c r="B214" s="1"/>
      <c r="C214" s="1"/>
      <c r="D214" s="1"/>
      <c r="E214" s="1"/>
      <c r="F214" s="1"/>
      <c r="G214" s="1"/>
      <c r="H214" s="1"/>
      <c r="I214" s="1"/>
      <c r="J214" s="385"/>
      <c r="K214" s="1"/>
      <c r="L214" s="446"/>
      <c r="M214" s="1"/>
      <c r="N214" s="120"/>
    </row>
    <row r="215" spans="1:14" x14ac:dyDescent="0.25">
      <c r="A215" s="393" t="s">
        <v>14</v>
      </c>
      <c r="B215" s="1"/>
      <c r="C215" s="1"/>
      <c r="D215" s="1">
        <v>86293</v>
      </c>
      <c r="E215" s="1">
        <v>582195</v>
      </c>
      <c r="F215" s="1">
        <v>58281</v>
      </c>
      <c r="G215" s="1">
        <v>491720</v>
      </c>
      <c r="H215" s="1">
        <v>300000</v>
      </c>
      <c r="I215" s="1"/>
      <c r="J215" s="385"/>
      <c r="K215" s="1"/>
      <c r="L215" s="446"/>
      <c r="M215" s="1"/>
      <c r="N215" s="120"/>
    </row>
    <row r="216" spans="1:14" x14ac:dyDescent="0.25">
      <c r="A216" s="393"/>
      <c r="B216" s="1"/>
      <c r="C216" s="1"/>
      <c r="D216" s="1"/>
      <c r="F216" s="1">
        <v>305000</v>
      </c>
      <c r="G216" s="1">
        <v>205000</v>
      </c>
      <c r="H216" s="1"/>
      <c r="I216" s="1"/>
      <c r="J216" s="385"/>
      <c r="K216" s="1"/>
      <c r="L216" s="446"/>
      <c r="M216" s="1"/>
      <c r="N216" s="120"/>
    </row>
    <row r="217" spans="1:14" x14ac:dyDescent="0.25">
      <c r="A217" s="393"/>
      <c r="B217" s="1"/>
      <c r="C217" s="1"/>
      <c r="D217" s="1"/>
      <c r="E217" s="1"/>
      <c r="F217" s="1"/>
      <c r="G217" s="1"/>
      <c r="H217" s="1"/>
      <c r="I217" s="1"/>
      <c r="J217" s="385"/>
      <c r="K217" s="1"/>
      <c r="L217" s="446"/>
      <c r="M217" s="1"/>
      <c r="N217" s="120"/>
    </row>
    <row r="218" spans="1:14" x14ac:dyDescent="0.25">
      <c r="A218" s="393"/>
      <c r="B218" s="1"/>
      <c r="C218" s="1"/>
      <c r="D218" s="1"/>
      <c r="E218" s="1"/>
      <c r="F218" s="1"/>
      <c r="G218" s="1"/>
      <c r="H218" s="1"/>
      <c r="I218" s="1"/>
      <c r="J218" s="385"/>
      <c r="K218" s="1"/>
      <c r="L218" s="446"/>
      <c r="M218" s="1"/>
      <c r="N218" s="120"/>
    </row>
    <row r="219" spans="1:14" x14ac:dyDescent="0.25">
      <c r="A219" s="393" t="s">
        <v>21</v>
      </c>
      <c r="B219" s="12">
        <v>65800</v>
      </c>
      <c r="C219" s="12">
        <v>66572</v>
      </c>
      <c r="D219" s="13">
        <v>67581</v>
      </c>
      <c r="E219" s="12">
        <v>68825</v>
      </c>
      <c r="F219" s="12">
        <v>72846</v>
      </c>
      <c r="G219" s="12">
        <v>71985</v>
      </c>
      <c r="H219" s="12">
        <v>74349</v>
      </c>
      <c r="I219" s="12">
        <v>74427</v>
      </c>
      <c r="J219" s="385"/>
      <c r="K219" s="1"/>
      <c r="L219" s="446"/>
      <c r="M219" s="1"/>
      <c r="N219" s="120"/>
    </row>
    <row r="220" spans="1:14" x14ac:dyDescent="0.25">
      <c r="A220" s="393" t="s">
        <v>22</v>
      </c>
      <c r="B220" s="1"/>
      <c r="C220" s="1"/>
      <c r="D220" s="1"/>
      <c r="E220" s="1"/>
      <c r="F220" s="1"/>
      <c r="G220" s="1"/>
      <c r="H220" s="1"/>
      <c r="I220" s="1"/>
      <c r="J220" s="385"/>
      <c r="K220" s="1"/>
      <c r="L220" s="446"/>
      <c r="M220" s="1"/>
      <c r="N220" s="120"/>
    </row>
    <row r="221" spans="1:14" x14ac:dyDescent="0.25">
      <c r="A221" s="393" t="s">
        <v>48</v>
      </c>
      <c r="B221" s="16">
        <v>65</v>
      </c>
      <c r="C221" s="16">
        <v>62</v>
      </c>
      <c r="D221" s="16">
        <v>64</v>
      </c>
      <c r="E221" s="16">
        <v>64</v>
      </c>
      <c r="F221" s="16">
        <v>66</v>
      </c>
      <c r="G221" s="16">
        <v>65</v>
      </c>
      <c r="H221" s="16">
        <v>66</v>
      </c>
      <c r="I221" s="16">
        <v>67</v>
      </c>
      <c r="J221" s="534">
        <v>83.125</v>
      </c>
      <c r="K221" s="14"/>
      <c r="L221" s="545">
        <v>84.75</v>
      </c>
      <c r="M221" s="14">
        <v>85.25</v>
      </c>
      <c r="N221" s="120"/>
    </row>
    <row r="222" spans="1:14" x14ac:dyDescent="0.25">
      <c r="A222" s="393" t="s">
        <v>49</v>
      </c>
      <c r="B222" s="16">
        <v>19</v>
      </c>
      <c r="C222" s="16">
        <v>19</v>
      </c>
      <c r="D222" s="16">
        <v>14</v>
      </c>
      <c r="E222" s="16">
        <v>14</v>
      </c>
      <c r="F222" s="16">
        <v>14</v>
      </c>
      <c r="G222" s="16">
        <v>13</v>
      </c>
      <c r="H222" s="16">
        <v>13</v>
      </c>
      <c r="I222" s="16">
        <v>14</v>
      </c>
      <c r="J222" s="415"/>
      <c r="K222" s="15"/>
      <c r="L222" s="451"/>
      <c r="M222" s="15"/>
      <c r="N222" s="120"/>
    </row>
    <row r="223" spans="1:14" x14ac:dyDescent="0.25">
      <c r="A223" s="393" t="s">
        <v>47</v>
      </c>
      <c r="B223" s="16">
        <f t="shared" ref="B223:I223" si="33">B221+B222</f>
        <v>84</v>
      </c>
      <c r="C223" s="16">
        <f t="shared" si="33"/>
        <v>81</v>
      </c>
      <c r="D223" s="16">
        <f t="shared" si="33"/>
        <v>78</v>
      </c>
      <c r="E223" s="16">
        <f t="shared" si="33"/>
        <v>78</v>
      </c>
      <c r="F223" s="16">
        <f t="shared" si="33"/>
        <v>80</v>
      </c>
      <c r="G223" s="16">
        <f t="shared" si="33"/>
        <v>78</v>
      </c>
      <c r="H223" s="16">
        <f t="shared" si="33"/>
        <v>79</v>
      </c>
      <c r="I223" s="16">
        <f t="shared" si="33"/>
        <v>81</v>
      </c>
      <c r="J223" s="498"/>
      <c r="K223" s="16"/>
      <c r="L223" s="491"/>
      <c r="M223" s="16"/>
      <c r="N223" s="120"/>
    </row>
    <row r="224" spans="1:14" x14ac:dyDescent="0.25">
      <c r="A224" s="393" t="s">
        <v>23</v>
      </c>
      <c r="B224" s="14">
        <f t="shared" ref="B224:J224" si="34">SUM(B221:B223)</f>
        <v>168</v>
      </c>
      <c r="C224" s="14">
        <f t="shared" si="34"/>
        <v>162</v>
      </c>
      <c r="D224" s="14">
        <f t="shared" si="34"/>
        <v>156</v>
      </c>
      <c r="E224" s="14">
        <f t="shared" si="34"/>
        <v>156</v>
      </c>
      <c r="F224" s="14">
        <f t="shared" si="34"/>
        <v>160</v>
      </c>
      <c r="G224" s="14">
        <f t="shared" si="34"/>
        <v>156</v>
      </c>
      <c r="H224" s="14">
        <f t="shared" si="34"/>
        <v>158</v>
      </c>
      <c r="I224" s="14">
        <f t="shared" si="34"/>
        <v>162</v>
      </c>
      <c r="J224" s="534">
        <f t="shared" si="34"/>
        <v>83.125</v>
      </c>
      <c r="K224" s="14"/>
      <c r="L224" s="545">
        <f>SUM(L221:L223)</f>
        <v>84.75</v>
      </c>
      <c r="M224" s="14">
        <f>SUM(M221:M223)</f>
        <v>85.25</v>
      </c>
      <c r="N224" s="120"/>
    </row>
    <row r="225" spans="1:14" x14ac:dyDescent="0.25">
      <c r="A225" s="393"/>
      <c r="B225" s="1"/>
      <c r="C225" s="1"/>
      <c r="D225" s="1"/>
      <c r="E225" s="1"/>
      <c r="F225" s="1"/>
      <c r="G225" s="1"/>
      <c r="H225" s="1"/>
      <c r="I225" s="1"/>
      <c r="J225" s="385"/>
      <c r="K225" s="1"/>
      <c r="L225" s="446"/>
      <c r="M225" s="1"/>
      <c r="N225" s="120"/>
    </row>
    <row r="226" spans="1:14" x14ac:dyDescent="0.25">
      <c r="A226" s="393" t="s">
        <v>24</v>
      </c>
      <c r="B226" s="1"/>
      <c r="C226" s="1"/>
      <c r="D226" s="1"/>
      <c r="E226" s="1"/>
      <c r="F226" s="1"/>
      <c r="G226" s="1"/>
      <c r="H226" s="1"/>
      <c r="I226" s="1"/>
      <c r="J226" s="385"/>
      <c r="K226" s="1"/>
      <c r="L226" s="446"/>
      <c r="M226" s="1"/>
      <c r="N226" s="120"/>
    </row>
    <row r="227" spans="1:14" x14ac:dyDescent="0.25">
      <c r="A227" s="393" t="s">
        <v>25</v>
      </c>
      <c r="B227" s="1"/>
      <c r="C227" s="1"/>
      <c r="D227" s="1"/>
      <c r="E227" s="1"/>
      <c r="F227" s="1"/>
      <c r="G227" s="1"/>
      <c r="H227" s="1"/>
      <c r="I227" s="1"/>
      <c r="J227" s="385"/>
      <c r="K227" s="1"/>
      <c r="L227" s="446"/>
      <c r="M227" s="1"/>
      <c r="N227" s="120"/>
    </row>
    <row r="228" spans="1:14" x14ac:dyDescent="0.25">
      <c r="A228" s="393"/>
      <c r="B228" s="1"/>
      <c r="C228" s="1"/>
      <c r="D228" s="1"/>
      <c r="E228" s="1"/>
      <c r="F228" s="1"/>
      <c r="G228" s="1"/>
      <c r="H228" s="1"/>
      <c r="I228" s="1"/>
      <c r="J228" s="385"/>
      <c r="K228" s="1"/>
      <c r="L228" s="446"/>
      <c r="M228" s="1"/>
      <c r="N228" s="120"/>
    </row>
    <row r="229" spans="1:14" x14ac:dyDescent="0.25">
      <c r="A229" s="393" t="s">
        <v>26</v>
      </c>
      <c r="B229" s="1"/>
      <c r="C229" s="1"/>
      <c r="D229" s="1"/>
      <c r="E229" s="1"/>
      <c r="F229" s="1"/>
      <c r="G229" s="1"/>
      <c r="H229" s="1"/>
      <c r="I229" s="1"/>
      <c r="J229" s="385"/>
      <c r="K229" s="1"/>
      <c r="L229" s="446"/>
      <c r="M229" s="1"/>
      <c r="N229" s="120"/>
    </row>
    <row r="230" spans="1:14" x14ac:dyDescent="0.25">
      <c r="A230" s="905" t="s">
        <v>43</v>
      </c>
      <c r="B230" s="8">
        <f t="shared" ref="B230:H230" si="35">B183/B219</f>
        <v>144.81278115501519</v>
      </c>
      <c r="C230" s="8">
        <f t="shared" si="35"/>
        <v>130.66036772216549</v>
      </c>
      <c r="D230" s="8">
        <f t="shared" si="35"/>
        <v>141.64171882629734</v>
      </c>
      <c r="E230" s="8">
        <f t="shared" si="35"/>
        <v>148.30135851798039</v>
      </c>
      <c r="F230" s="8">
        <f t="shared" si="35"/>
        <v>178.3100376135958</v>
      </c>
      <c r="G230" s="8">
        <f t="shared" si="35"/>
        <v>182.53763978606653</v>
      </c>
      <c r="H230" s="8">
        <f t="shared" si="35"/>
        <v>180.68128690365708</v>
      </c>
      <c r="I230" s="1"/>
      <c r="J230" s="385"/>
      <c r="K230" s="1"/>
      <c r="L230" s="446"/>
      <c r="M230" s="1"/>
      <c r="N230" s="120"/>
    </row>
    <row r="231" spans="1:14" x14ac:dyDescent="0.25">
      <c r="A231" s="393" t="s">
        <v>27</v>
      </c>
      <c r="B231" s="1"/>
      <c r="C231" s="1"/>
      <c r="D231" s="1"/>
      <c r="E231" s="1"/>
      <c r="F231" s="1"/>
      <c r="G231" s="1"/>
      <c r="H231" s="1"/>
      <c r="I231" s="1"/>
      <c r="J231" s="385"/>
      <c r="K231" s="1"/>
      <c r="L231" s="446"/>
      <c r="M231" s="1"/>
      <c r="N231" s="120"/>
    </row>
    <row r="232" spans="1:14" x14ac:dyDescent="0.25">
      <c r="A232" s="393" t="s">
        <v>28</v>
      </c>
      <c r="B232" s="1"/>
      <c r="C232" s="1"/>
      <c r="D232" s="1"/>
      <c r="E232" s="1"/>
      <c r="F232" s="1"/>
      <c r="G232" s="1"/>
      <c r="H232" s="1"/>
      <c r="I232" s="1"/>
      <c r="J232" s="385"/>
      <c r="K232" s="1"/>
      <c r="L232" s="446"/>
      <c r="M232" s="1"/>
      <c r="N232" s="120"/>
    </row>
    <row r="233" spans="1:14" x14ac:dyDescent="0.25">
      <c r="A233" s="393" t="s">
        <v>29</v>
      </c>
      <c r="B233" s="1"/>
      <c r="C233" s="1"/>
      <c r="D233" s="1"/>
      <c r="E233" s="1"/>
      <c r="F233" s="1"/>
      <c r="G233" s="1"/>
      <c r="H233" s="1"/>
      <c r="I233" s="1"/>
      <c r="J233" s="385"/>
      <c r="K233" s="1"/>
      <c r="L233" s="446"/>
      <c r="M233" s="1"/>
      <c r="N233" s="120"/>
    </row>
    <row r="234" spans="1:14" x14ac:dyDescent="0.25">
      <c r="A234" s="393"/>
      <c r="B234" s="1"/>
      <c r="C234" s="1"/>
      <c r="D234" s="1"/>
      <c r="E234" s="1"/>
      <c r="F234" s="1"/>
      <c r="G234" s="1"/>
      <c r="H234" s="1"/>
      <c r="I234" s="1"/>
      <c r="J234" s="385"/>
      <c r="K234" s="1"/>
      <c r="L234" s="446"/>
      <c r="M234" s="1"/>
      <c r="N234" s="120"/>
    </row>
    <row r="235" spans="1:14" x14ac:dyDescent="0.25">
      <c r="A235" s="393" t="s">
        <v>30</v>
      </c>
      <c r="B235" s="1"/>
      <c r="C235" s="1"/>
      <c r="D235" s="1"/>
      <c r="E235" s="1"/>
      <c r="F235" s="1"/>
      <c r="G235" s="1"/>
      <c r="H235" s="1"/>
      <c r="I235" s="1"/>
      <c r="J235" s="385"/>
      <c r="K235" s="1"/>
      <c r="L235" s="446"/>
      <c r="M235" s="1"/>
      <c r="N235" s="120"/>
    </row>
    <row r="236" spans="1:14" x14ac:dyDescent="0.25">
      <c r="A236" s="393" t="s">
        <v>21</v>
      </c>
      <c r="B236" s="1"/>
      <c r="C236" s="1"/>
      <c r="D236" s="1"/>
      <c r="E236" s="1"/>
      <c r="F236" s="1"/>
      <c r="G236" s="1"/>
      <c r="H236" s="1"/>
      <c r="I236" s="1"/>
      <c r="J236" s="385"/>
      <c r="K236" s="1"/>
      <c r="L236" s="446"/>
      <c r="M236" s="1"/>
      <c r="N236" s="120"/>
    </row>
    <row r="237" spans="1:14" x14ac:dyDescent="0.25">
      <c r="B237" s="1"/>
      <c r="C237" s="1"/>
      <c r="D237" s="1"/>
      <c r="E237" s="1"/>
      <c r="F237" s="1"/>
      <c r="G237" s="1"/>
      <c r="H237" s="1"/>
      <c r="I237" s="1"/>
      <c r="J237" s="1"/>
      <c r="K237" s="1"/>
      <c r="L237" s="1"/>
      <c r="M237" s="1"/>
      <c r="N237" s="19"/>
    </row>
    <row r="238" spans="1:14" x14ac:dyDescent="0.25">
      <c r="B238" s="1"/>
      <c r="C238" s="1"/>
      <c r="D238" s="1"/>
      <c r="E238" s="1"/>
      <c r="F238" s="1"/>
      <c r="G238" s="1"/>
      <c r="H238" s="1"/>
      <c r="I238" s="1"/>
      <c r="J238" s="1"/>
      <c r="K238" s="1"/>
      <c r="L238" s="1"/>
      <c r="M238" s="1"/>
      <c r="N238" s="19"/>
    </row>
    <row r="239" spans="1:14" x14ac:dyDescent="0.25">
      <c r="B239" s="1"/>
      <c r="C239" s="1"/>
      <c r="D239" s="1"/>
      <c r="E239" s="1"/>
      <c r="F239" s="1"/>
      <c r="G239" s="1"/>
      <c r="H239" s="1"/>
      <c r="I239" s="1"/>
      <c r="J239" s="1"/>
      <c r="K239" s="1"/>
      <c r="L239" s="1"/>
      <c r="M239" s="1"/>
      <c r="N239" s="19"/>
    </row>
    <row r="240" spans="1:14" x14ac:dyDescent="0.25">
      <c r="B240" s="1"/>
      <c r="C240" s="1"/>
      <c r="D240" s="1"/>
      <c r="E240" s="1"/>
      <c r="F240" s="1"/>
      <c r="G240" s="1"/>
      <c r="H240" s="1"/>
      <c r="I240" s="1"/>
      <c r="J240" s="1"/>
      <c r="K240" s="1"/>
      <c r="L240" s="1"/>
      <c r="M240" s="1"/>
      <c r="N240" s="19"/>
    </row>
    <row r="241" spans="2:14" x14ac:dyDescent="0.25">
      <c r="B241" s="1"/>
      <c r="C241" s="1"/>
      <c r="D241" s="1"/>
      <c r="E241" s="1"/>
      <c r="F241" s="1"/>
      <c r="G241" s="1"/>
      <c r="H241" s="1"/>
      <c r="I241" s="1"/>
      <c r="J241" s="1"/>
      <c r="K241" s="1"/>
      <c r="L241" s="1"/>
      <c r="M241" s="1"/>
      <c r="N241" s="19"/>
    </row>
    <row r="242" spans="2:14" x14ac:dyDescent="0.25">
      <c r="B242" s="1"/>
      <c r="C242" s="1"/>
      <c r="D242" s="1"/>
      <c r="E242" s="1"/>
      <c r="F242" s="1"/>
      <c r="G242" s="1"/>
      <c r="H242" s="1"/>
      <c r="I242" s="1"/>
      <c r="J242" s="1"/>
      <c r="K242" s="1"/>
      <c r="L242" s="1"/>
      <c r="M242" s="1"/>
      <c r="N242" s="19"/>
    </row>
    <row r="243" spans="2:14" x14ac:dyDescent="0.25">
      <c r="B243" s="1"/>
      <c r="C243" s="1"/>
      <c r="D243" s="1"/>
      <c r="E243" s="1"/>
      <c r="F243" s="1"/>
      <c r="G243" s="1"/>
      <c r="H243" s="1"/>
      <c r="I243" s="1"/>
      <c r="J243" s="1"/>
      <c r="K243" s="1"/>
      <c r="L243" s="1"/>
      <c r="M243" s="1"/>
      <c r="N243" s="19"/>
    </row>
    <row r="244" spans="2:14" x14ac:dyDescent="0.25">
      <c r="B244" s="1"/>
      <c r="C244" s="1"/>
      <c r="D244" s="1"/>
      <c r="E244" s="1"/>
      <c r="F244" s="1"/>
      <c r="G244" s="1"/>
      <c r="H244" s="1"/>
      <c r="I244" s="1"/>
      <c r="J244" s="1"/>
      <c r="K244" s="1"/>
      <c r="L244" s="1"/>
      <c r="M244" s="1"/>
      <c r="N244" s="19"/>
    </row>
    <row r="245" spans="2:14" x14ac:dyDescent="0.25">
      <c r="B245" s="1"/>
      <c r="C245" s="1"/>
      <c r="D245" s="1"/>
      <c r="E245" s="1"/>
      <c r="F245" s="1"/>
      <c r="G245" s="1"/>
      <c r="H245" s="1"/>
      <c r="I245" s="1"/>
      <c r="J245" s="1"/>
      <c r="K245" s="1"/>
      <c r="L245" s="1"/>
      <c r="M245" s="1"/>
      <c r="N245" s="19"/>
    </row>
    <row r="246" spans="2:14" x14ac:dyDescent="0.25">
      <c r="B246" s="1"/>
      <c r="C246" s="1"/>
      <c r="D246" s="1"/>
      <c r="E246" s="1"/>
      <c r="F246" s="1"/>
      <c r="G246" s="1"/>
      <c r="H246" s="1"/>
      <c r="I246" s="1"/>
      <c r="J246" s="1"/>
      <c r="K246" s="1"/>
      <c r="L246" s="1"/>
      <c r="M246" s="1"/>
      <c r="N246" s="19"/>
    </row>
    <row r="247" spans="2:14" x14ac:dyDescent="0.25">
      <c r="B247" s="1"/>
      <c r="C247" s="1"/>
      <c r="D247" s="1"/>
      <c r="E247" s="1"/>
      <c r="F247" s="1"/>
      <c r="G247" s="1"/>
      <c r="H247" s="1"/>
      <c r="I247" s="1"/>
      <c r="J247" s="1"/>
      <c r="K247" s="1"/>
      <c r="L247" s="1"/>
      <c r="M247" s="1"/>
      <c r="N247" s="19"/>
    </row>
    <row r="248" spans="2:14" x14ac:dyDescent="0.25">
      <c r="B248" s="1"/>
      <c r="C248" s="1"/>
      <c r="D248" s="1"/>
      <c r="E248" s="1"/>
      <c r="F248" s="1"/>
      <c r="G248" s="1"/>
      <c r="H248" s="1"/>
      <c r="I248" s="1"/>
      <c r="J248" s="1"/>
      <c r="K248" s="1"/>
      <c r="L248" s="1"/>
      <c r="M248" s="1"/>
      <c r="N248" s="19"/>
    </row>
    <row r="249" spans="2:14" x14ac:dyDescent="0.25">
      <c r="B249" s="1"/>
      <c r="C249" s="1"/>
      <c r="D249" s="1"/>
      <c r="E249" s="1"/>
      <c r="F249" s="1"/>
      <c r="G249" s="1"/>
      <c r="H249" s="1"/>
      <c r="I249" s="1"/>
      <c r="J249" s="1"/>
      <c r="K249" s="1"/>
      <c r="L249" s="1"/>
      <c r="M249" s="1"/>
      <c r="N249" s="19"/>
    </row>
    <row r="250" spans="2:14" x14ac:dyDescent="0.25">
      <c r="B250" s="1"/>
      <c r="C250" s="1"/>
      <c r="D250" s="1"/>
      <c r="E250" s="1"/>
      <c r="F250" s="1"/>
      <c r="G250" s="1"/>
      <c r="H250" s="1"/>
      <c r="I250" s="1"/>
      <c r="J250" s="1"/>
      <c r="K250" s="1"/>
      <c r="L250" s="1"/>
      <c r="M250" s="1"/>
      <c r="N250" s="19"/>
    </row>
    <row r="251" spans="2:14" x14ac:dyDescent="0.25">
      <c r="B251" s="1"/>
      <c r="C251" s="1"/>
      <c r="D251" s="1"/>
      <c r="E251" s="1"/>
      <c r="F251" s="1"/>
      <c r="G251" s="1"/>
      <c r="H251" s="1"/>
      <c r="I251" s="1"/>
      <c r="J251" s="1"/>
      <c r="K251" s="1"/>
      <c r="L251" s="1"/>
      <c r="M251" s="1"/>
      <c r="N251" s="19"/>
    </row>
    <row r="252" spans="2:14" x14ac:dyDescent="0.25">
      <c r="B252" s="1"/>
      <c r="C252" s="1"/>
      <c r="D252" s="1"/>
      <c r="E252" s="1"/>
      <c r="F252" s="1"/>
      <c r="G252" s="1"/>
      <c r="H252" s="1"/>
      <c r="I252" s="1"/>
      <c r="J252" s="1"/>
      <c r="K252" s="1"/>
      <c r="L252" s="1"/>
      <c r="M252" s="1"/>
      <c r="N252" s="19"/>
    </row>
    <row r="253" spans="2:14" x14ac:dyDescent="0.25">
      <c r="B253" s="1"/>
      <c r="C253" s="1"/>
      <c r="D253" s="1"/>
      <c r="E253" s="1"/>
      <c r="F253" s="1"/>
      <c r="G253" s="1"/>
      <c r="H253" s="1"/>
      <c r="I253" s="1"/>
      <c r="J253" s="1"/>
      <c r="K253" s="1"/>
      <c r="L253" s="1"/>
      <c r="M253" s="1"/>
      <c r="N253" s="19"/>
    </row>
    <row r="254" spans="2:14" x14ac:dyDescent="0.25">
      <c r="B254" s="1"/>
      <c r="C254" s="1"/>
      <c r="D254" s="1"/>
      <c r="E254" s="1"/>
      <c r="F254" s="1"/>
      <c r="G254" s="1"/>
      <c r="H254" s="1"/>
      <c r="I254" s="1"/>
      <c r="J254" s="1"/>
      <c r="K254" s="1"/>
      <c r="L254" s="1"/>
      <c r="M254" s="1"/>
      <c r="N254" s="19"/>
    </row>
    <row r="255" spans="2:14" x14ac:dyDescent="0.25">
      <c r="B255" s="1"/>
      <c r="C255" s="1"/>
      <c r="D255" s="1"/>
      <c r="E255" s="1"/>
      <c r="F255" s="1"/>
      <c r="G255" s="1"/>
      <c r="H255" s="1"/>
      <c r="I255" s="1"/>
      <c r="J255" s="1"/>
      <c r="K255" s="1"/>
      <c r="L255" s="1"/>
      <c r="M255" s="1"/>
      <c r="N255" s="19"/>
    </row>
    <row r="256" spans="2:14" x14ac:dyDescent="0.25">
      <c r="B256" s="1"/>
      <c r="C256" s="1"/>
      <c r="D256" s="1"/>
      <c r="E256" s="1"/>
      <c r="F256" s="1"/>
      <c r="G256" s="1"/>
      <c r="H256" s="1"/>
      <c r="I256" s="1"/>
      <c r="J256" s="1"/>
      <c r="K256" s="1"/>
      <c r="L256" s="1"/>
      <c r="M256" s="1"/>
      <c r="N256" s="19"/>
    </row>
    <row r="257" spans="14:14" x14ac:dyDescent="0.25">
      <c r="N257" s="19"/>
    </row>
    <row r="258" spans="14:14" x14ac:dyDescent="0.25">
      <c r="N258" s="19"/>
    </row>
    <row r="259" spans="14:14" x14ac:dyDescent="0.25">
      <c r="N259" s="19"/>
    </row>
    <row r="260" spans="14:14" x14ac:dyDescent="0.25">
      <c r="N260" s="19"/>
    </row>
    <row r="261" spans="14:14" x14ac:dyDescent="0.25">
      <c r="N261" s="19"/>
    </row>
    <row r="262" spans="14:14" x14ac:dyDescent="0.25">
      <c r="N262" s="19"/>
    </row>
    <row r="263" spans="14:14" x14ac:dyDescent="0.25">
      <c r="N263" s="19"/>
    </row>
    <row r="264" spans="14:14" x14ac:dyDescent="0.25">
      <c r="N264" s="19"/>
    </row>
    <row r="265" spans="14:14" x14ac:dyDescent="0.25">
      <c r="N265" s="19"/>
    </row>
    <row r="266" spans="14:14" x14ac:dyDescent="0.25">
      <c r="N266" s="19"/>
    </row>
    <row r="267" spans="14:14" x14ac:dyDescent="0.25">
      <c r="N267" s="19"/>
    </row>
    <row r="268" spans="14:14" x14ac:dyDescent="0.25">
      <c r="N268" s="19"/>
    </row>
    <row r="269" spans="14:14" x14ac:dyDescent="0.25">
      <c r="N269" s="19"/>
    </row>
    <row r="270" spans="14:14" x14ac:dyDescent="0.25">
      <c r="N270" s="19"/>
    </row>
    <row r="271" spans="14:14" x14ac:dyDescent="0.25">
      <c r="N271" s="19"/>
    </row>
    <row r="272" spans="14:14" x14ac:dyDescent="0.25">
      <c r="N272" s="19"/>
    </row>
    <row r="273" spans="14:14" x14ac:dyDescent="0.25">
      <c r="N273" s="19"/>
    </row>
    <row r="274" spans="14:14" x14ac:dyDescent="0.25">
      <c r="N274" s="19"/>
    </row>
    <row r="275" spans="14:14" x14ac:dyDescent="0.25">
      <c r="N275" s="19"/>
    </row>
    <row r="276" spans="14:14" x14ac:dyDescent="0.25">
      <c r="N276" s="19"/>
    </row>
    <row r="277" spans="14:14" x14ac:dyDescent="0.25">
      <c r="N277" s="19"/>
    </row>
    <row r="278" spans="14:14" x14ac:dyDescent="0.25">
      <c r="N278" s="19"/>
    </row>
    <row r="279" spans="14:14" x14ac:dyDescent="0.25">
      <c r="N279" s="19"/>
    </row>
    <row r="280" spans="14:14" x14ac:dyDescent="0.25">
      <c r="N280" s="19"/>
    </row>
    <row r="281" spans="14:14" x14ac:dyDescent="0.25">
      <c r="N281" s="19"/>
    </row>
    <row r="282" spans="14:14" x14ac:dyDescent="0.25">
      <c r="N282" s="19"/>
    </row>
    <row r="283" spans="14:14" x14ac:dyDescent="0.25">
      <c r="N283" s="19"/>
    </row>
    <row r="284" spans="14:14" x14ac:dyDescent="0.25">
      <c r="N284" s="19"/>
    </row>
    <row r="285" spans="14:14" x14ac:dyDescent="0.25">
      <c r="N285" s="19"/>
    </row>
    <row r="286" spans="14:14" x14ac:dyDescent="0.25">
      <c r="N286" s="19"/>
    </row>
    <row r="287" spans="14:14" x14ac:dyDescent="0.25">
      <c r="N287" s="19"/>
    </row>
    <row r="288" spans="14:14" x14ac:dyDescent="0.25">
      <c r="N288" s="19"/>
    </row>
    <row r="289" spans="14:14" x14ac:dyDescent="0.25">
      <c r="N289" s="19"/>
    </row>
    <row r="290" spans="14:14" x14ac:dyDescent="0.25">
      <c r="N290" s="19"/>
    </row>
    <row r="291" spans="14:14" x14ac:dyDescent="0.25">
      <c r="N291" s="19"/>
    </row>
    <row r="292" spans="14:14" x14ac:dyDescent="0.25">
      <c r="N292" s="19"/>
    </row>
    <row r="293" spans="14:14" x14ac:dyDescent="0.25">
      <c r="N293" s="19"/>
    </row>
    <row r="294" spans="14:14" x14ac:dyDescent="0.25">
      <c r="N294" s="19"/>
    </row>
    <row r="295" spans="14:14" x14ac:dyDescent="0.25">
      <c r="N295" s="19"/>
    </row>
    <row r="296" spans="14:14" x14ac:dyDescent="0.25">
      <c r="N296" s="19"/>
    </row>
    <row r="297" spans="14:14" x14ac:dyDescent="0.25">
      <c r="N297" s="19"/>
    </row>
    <row r="298" spans="14:14" x14ac:dyDescent="0.25">
      <c r="N298" s="19"/>
    </row>
    <row r="299" spans="14:14" x14ac:dyDescent="0.25">
      <c r="N299" s="19"/>
    </row>
    <row r="300" spans="14:14" x14ac:dyDescent="0.25">
      <c r="N300" s="19"/>
    </row>
    <row r="301" spans="14:14" x14ac:dyDescent="0.25">
      <c r="N301" s="19"/>
    </row>
    <row r="302" spans="14:14" x14ac:dyDescent="0.25">
      <c r="N302" s="19"/>
    </row>
    <row r="303" spans="14:14" x14ac:dyDescent="0.25">
      <c r="N303" s="19"/>
    </row>
    <row r="304" spans="14:14" x14ac:dyDescent="0.25">
      <c r="N304" s="19"/>
    </row>
    <row r="305" spans="14:14" x14ac:dyDescent="0.25">
      <c r="N305" s="19"/>
    </row>
    <row r="306" spans="14:14" x14ac:dyDescent="0.25">
      <c r="N306" s="19"/>
    </row>
    <row r="307" spans="14:14" x14ac:dyDescent="0.25">
      <c r="N307" s="19"/>
    </row>
    <row r="308" spans="14:14" x14ac:dyDescent="0.25">
      <c r="N308" s="19"/>
    </row>
    <row r="309" spans="14:14" x14ac:dyDescent="0.25">
      <c r="N309" s="19"/>
    </row>
    <row r="310" spans="14:14" x14ac:dyDescent="0.25">
      <c r="N310" s="19"/>
    </row>
    <row r="311" spans="14:14" x14ac:dyDescent="0.25">
      <c r="N311" s="19"/>
    </row>
    <row r="312" spans="14:14" x14ac:dyDescent="0.25">
      <c r="N312" s="19"/>
    </row>
    <row r="313" spans="14:14" x14ac:dyDescent="0.25">
      <c r="N313" s="19"/>
    </row>
    <row r="314" spans="14:14" x14ac:dyDescent="0.25">
      <c r="N314" s="19"/>
    </row>
    <row r="315" spans="14:14" x14ac:dyDescent="0.25">
      <c r="N315" s="19"/>
    </row>
    <row r="316" spans="14:14" x14ac:dyDescent="0.25">
      <c r="N316" s="19"/>
    </row>
    <row r="317" spans="14:14" x14ac:dyDescent="0.25">
      <c r="N317" s="19"/>
    </row>
    <row r="318" spans="14:14" x14ac:dyDescent="0.25">
      <c r="N318" s="19"/>
    </row>
    <row r="319" spans="14:14" x14ac:dyDescent="0.25">
      <c r="N319" s="19"/>
    </row>
    <row r="320" spans="14:14" x14ac:dyDescent="0.25">
      <c r="N320" s="19"/>
    </row>
    <row r="321" spans="14:14" x14ac:dyDescent="0.25">
      <c r="N321" s="19"/>
    </row>
    <row r="322" spans="14:14" x14ac:dyDescent="0.25">
      <c r="N322" s="19"/>
    </row>
    <row r="323" spans="14:14" x14ac:dyDescent="0.25">
      <c r="N323" s="19"/>
    </row>
    <row r="324" spans="14:14" x14ac:dyDescent="0.25">
      <c r="N324" s="19"/>
    </row>
    <row r="325" spans="14:14" x14ac:dyDescent="0.25">
      <c r="N325" s="19"/>
    </row>
    <row r="326" spans="14:14" x14ac:dyDescent="0.25">
      <c r="N326" s="19"/>
    </row>
    <row r="327" spans="14:14" x14ac:dyDescent="0.25">
      <c r="N327" s="19"/>
    </row>
    <row r="328" spans="14:14" x14ac:dyDescent="0.25">
      <c r="N328" s="19"/>
    </row>
    <row r="329" spans="14:14" x14ac:dyDescent="0.25">
      <c r="N329" s="19"/>
    </row>
    <row r="330" spans="14:14" x14ac:dyDescent="0.25">
      <c r="N330" s="19"/>
    </row>
    <row r="331" spans="14:14" x14ac:dyDescent="0.25">
      <c r="N331" s="19"/>
    </row>
    <row r="332" spans="14:14" x14ac:dyDescent="0.25">
      <c r="N332" s="19"/>
    </row>
    <row r="333" spans="14:14" x14ac:dyDescent="0.25">
      <c r="N333" s="19"/>
    </row>
    <row r="334" spans="14:14" x14ac:dyDescent="0.25">
      <c r="N334" s="19"/>
    </row>
    <row r="335" spans="14:14" x14ac:dyDescent="0.25">
      <c r="N335" s="19"/>
    </row>
    <row r="336" spans="14:14" x14ac:dyDescent="0.25">
      <c r="N336" s="19"/>
    </row>
    <row r="337" spans="14:14" x14ac:dyDescent="0.25">
      <c r="N337" s="19"/>
    </row>
    <row r="338" spans="14:14" x14ac:dyDescent="0.25">
      <c r="N338" s="19"/>
    </row>
    <row r="339" spans="14:14" x14ac:dyDescent="0.25">
      <c r="N339" s="19"/>
    </row>
    <row r="340" spans="14:14" x14ac:dyDescent="0.25">
      <c r="N340" s="19"/>
    </row>
    <row r="341" spans="14:14" x14ac:dyDescent="0.25">
      <c r="N341" s="19"/>
    </row>
    <row r="342" spans="14:14" x14ac:dyDescent="0.25">
      <c r="N342" s="19"/>
    </row>
    <row r="343" spans="14:14" x14ac:dyDescent="0.25">
      <c r="N343" s="19"/>
    </row>
    <row r="344" spans="14:14" x14ac:dyDescent="0.25">
      <c r="N344" s="19"/>
    </row>
    <row r="345" spans="14:14" x14ac:dyDescent="0.25">
      <c r="N345" s="19"/>
    </row>
    <row r="346" spans="14:14" x14ac:dyDescent="0.25">
      <c r="N346" s="19"/>
    </row>
    <row r="347" spans="14:14" x14ac:dyDescent="0.25">
      <c r="N347" s="19"/>
    </row>
    <row r="348" spans="14:14" x14ac:dyDescent="0.25">
      <c r="N348" s="19"/>
    </row>
    <row r="349" spans="14:14" x14ac:dyDescent="0.25">
      <c r="N349" s="19"/>
    </row>
    <row r="350" spans="14:14" x14ac:dyDescent="0.25">
      <c r="N350" s="19"/>
    </row>
    <row r="351" spans="14:14" x14ac:dyDescent="0.25">
      <c r="N351" s="19"/>
    </row>
    <row r="352" spans="14:14" x14ac:dyDescent="0.25">
      <c r="N352" s="19"/>
    </row>
    <row r="353" spans="14:14" x14ac:dyDescent="0.25">
      <c r="N353" s="19"/>
    </row>
    <row r="354" spans="14:14" x14ac:dyDescent="0.25">
      <c r="N354" s="19"/>
    </row>
    <row r="355" spans="14:14" x14ac:dyDescent="0.25">
      <c r="N355" s="19"/>
    </row>
    <row r="356" spans="14:14" x14ac:dyDescent="0.25">
      <c r="N356" s="19"/>
    </row>
    <row r="357" spans="14:14" x14ac:dyDescent="0.25">
      <c r="N357" s="19"/>
    </row>
    <row r="358" spans="14:14" x14ac:dyDescent="0.25">
      <c r="N358" s="19"/>
    </row>
    <row r="359" spans="14:14" x14ac:dyDescent="0.25">
      <c r="N359" s="19"/>
    </row>
    <row r="360" spans="14:14" x14ac:dyDescent="0.25">
      <c r="N360" s="19"/>
    </row>
    <row r="361" spans="14:14" x14ac:dyDescent="0.25">
      <c r="N361" s="19"/>
    </row>
    <row r="362" spans="14:14" x14ac:dyDescent="0.25">
      <c r="N362" s="19"/>
    </row>
    <row r="363" spans="14:14" x14ac:dyDescent="0.25">
      <c r="N363" s="19"/>
    </row>
    <row r="364" spans="14:14" x14ac:dyDescent="0.25">
      <c r="N364" s="19"/>
    </row>
    <row r="365" spans="14:14" x14ac:dyDescent="0.25">
      <c r="N365" s="19"/>
    </row>
    <row r="366" spans="14:14" x14ac:dyDescent="0.25">
      <c r="N366" s="19"/>
    </row>
    <row r="367" spans="14:14" x14ac:dyDescent="0.25">
      <c r="N367" s="19"/>
    </row>
    <row r="368" spans="14:14" x14ac:dyDescent="0.25">
      <c r="N368" s="19"/>
    </row>
    <row r="369" spans="14:14" x14ac:dyDescent="0.25">
      <c r="N369" s="19"/>
    </row>
    <row r="370" spans="14:14" x14ac:dyDescent="0.25">
      <c r="N370" s="19"/>
    </row>
    <row r="371" spans="14:14" x14ac:dyDescent="0.25">
      <c r="N371" s="19"/>
    </row>
    <row r="372" spans="14:14" x14ac:dyDescent="0.25">
      <c r="N372" s="19"/>
    </row>
    <row r="373" spans="14:14" x14ac:dyDescent="0.25">
      <c r="N373" s="19"/>
    </row>
    <row r="374" spans="14:14" x14ac:dyDescent="0.25">
      <c r="N374" s="19"/>
    </row>
    <row r="375" spans="14:14" x14ac:dyDescent="0.25">
      <c r="N375" s="19"/>
    </row>
    <row r="376" spans="14:14" x14ac:dyDescent="0.25">
      <c r="N376" s="19"/>
    </row>
    <row r="377" spans="14:14" x14ac:dyDescent="0.25">
      <c r="N377" s="19"/>
    </row>
    <row r="378" spans="14:14" x14ac:dyDescent="0.25">
      <c r="N378" s="19"/>
    </row>
    <row r="379" spans="14:14" x14ac:dyDescent="0.25">
      <c r="N379" s="19"/>
    </row>
    <row r="380" spans="14:14" x14ac:dyDescent="0.25">
      <c r="N380" s="19"/>
    </row>
    <row r="381" spans="14:14" x14ac:dyDescent="0.25">
      <c r="N381" s="19"/>
    </row>
    <row r="382" spans="14:14" x14ac:dyDescent="0.25">
      <c r="N382" s="19"/>
    </row>
    <row r="383" spans="14:14" x14ac:dyDescent="0.25">
      <c r="N383" s="19"/>
    </row>
    <row r="384" spans="14:14" x14ac:dyDescent="0.25">
      <c r="N384" s="19"/>
    </row>
    <row r="385" spans="14:14" x14ac:dyDescent="0.25">
      <c r="N385" s="19"/>
    </row>
    <row r="386" spans="14:14" x14ac:dyDescent="0.25">
      <c r="N386" s="19"/>
    </row>
    <row r="387" spans="14:14" x14ac:dyDescent="0.25">
      <c r="N387" s="19"/>
    </row>
    <row r="388" spans="14:14" x14ac:dyDescent="0.25">
      <c r="N388" s="19"/>
    </row>
    <row r="389" spans="14:14" x14ac:dyDescent="0.25">
      <c r="N389" s="19"/>
    </row>
    <row r="390" spans="14:14" x14ac:dyDescent="0.25">
      <c r="N390" s="19"/>
    </row>
    <row r="391" spans="14:14" x14ac:dyDescent="0.25">
      <c r="N391" s="19"/>
    </row>
    <row r="392" spans="14:14" x14ac:dyDescent="0.25">
      <c r="N392" s="19"/>
    </row>
    <row r="393" spans="14:14" x14ac:dyDescent="0.25">
      <c r="N393" s="19"/>
    </row>
    <row r="394" spans="14:14" x14ac:dyDescent="0.25">
      <c r="N394" s="19"/>
    </row>
    <row r="395" spans="14:14" x14ac:dyDescent="0.25">
      <c r="N395" s="19"/>
    </row>
    <row r="396" spans="14:14" x14ac:dyDescent="0.25">
      <c r="N396" s="19"/>
    </row>
    <row r="397" spans="14:14" x14ac:dyDescent="0.25">
      <c r="N397" s="19"/>
    </row>
    <row r="398" spans="14:14" x14ac:dyDescent="0.25">
      <c r="N398" s="19"/>
    </row>
    <row r="399" spans="14:14" x14ac:dyDescent="0.25">
      <c r="N399" s="19"/>
    </row>
    <row r="400" spans="14:14" x14ac:dyDescent="0.25">
      <c r="N400" s="19"/>
    </row>
    <row r="401" spans="14:14" x14ac:dyDescent="0.25">
      <c r="N401" s="19"/>
    </row>
    <row r="402" spans="14:14" x14ac:dyDescent="0.25">
      <c r="N402" s="19"/>
    </row>
    <row r="403" spans="14:14" x14ac:dyDescent="0.25">
      <c r="N403" s="19"/>
    </row>
    <row r="404" spans="14:14" x14ac:dyDescent="0.25">
      <c r="N404" s="19"/>
    </row>
    <row r="405" spans="14:14" x14ac:dyDescent="0.25">
      <c r="N405" s="19"/>
    </row>
    <row r="406" spans="14:14" x14ac:dyDescent="0.25">
      <c r="N406" s="19"/>
    </row>
    <row r="407" spans="14:14" x14ac:dyDescent="0.25">
      <c r="N407" s="19"/>
    </row>
    <row r="408" spans="14:14" x14ac:dyDescent="0.25">
      <c r="N408" s="19"/>
    </row>
    <row r="409" spans="14:14" x14ac:dyDescent="0.25">
      <c r="N409" s="19"/>
    </row>
    <row r="410" spans="14:14" x14ac:dyDescent="0.25">
      <c r="N410" s="19"/>
    </row>
    <row r="411" spans="14:14" x14ac:dyDescent="0.25">
      <c r="N411" s="19"/>
    </row>
    <row r="412" spans="14:14" x14ac:dyDescent="0.25">
      <c r="N412" s="19"/>
    </row>
    <row r="413" spans="14:14" x14ac:dyDescent="0.25">
      <c r="N413" s="19"/>
    </row>
    <row r="414" spans="14:14" x14ac:dyDescent="0.25">
      <c r="N414" s="19"/>
    </row>
    <row r="415" spans="14:14" x14ac:dyDescent="0.25">
      <c r="N415" s="19"/>
    </row>
    <row r="416" spans="14:14" x14ac:dyDescent="0.25">
      <c r="N416" s="19"/>
    </row>
    <row r="417" spans="14:14" x14ac:dyDescent="0.25">
      <c r="N417" s="19"/>
    </row>
    <row r="418" spans="14:14" x14ac:dyDescent="0.25">
      <c r="N418" s="19"/>
    </row>
    <row r="419" spans="14:14" x14ac:dyDescent="0.25">
      <c r="N419" s="19"/>
    </row>
    <row r="420" spans="14:14" x14ac:dyDescent="0.25">
      <c r="N420" s="19"/>
    </row>
    <row r="421" spans="14:14" x14ac:dyDescent="0.25">
      <c r="N421" s="19"/>
    </row>
    <row r="422" spans="14:14" x14ac:dyDescent="0.25">
      <c r="N422" s="19"/>
    </row>
    <row r="423" spans="14:14" x14ac:dyDescent="0.25">
      <c r="N423" s="19"/>
    </row>
    <row r="424" spans="14:14" x14ac:dyDescent="0.25">
      <c r="N424" s="19"/>
    </row>
    <row r="425" spans="14:14" x14ac:dyDescent="0.25">
      <c r="N425" s="19"/>
    </row>
    <row r="426" spans="14:14" x14ac:dyDescent="0.25">
      <c r="N426" s="19"/>
    </row>
    <row r="427" spans="14:14" x14ac:dyDescent="0.25">
      <c r="N427" s="19"/>
    </row>
    <row r="428" spans="14:14" x14ac:dyDescent="0.25">
      <c r="N428" s="19"/>
    </row>
    <row r="429" spans="14:14" x14ac:dyDescent="0.25">
      <c r="N429" s="19"/>
    </row>
    <row r="430" spans="14:14" x14ac:dyDescent="0.25">
      <c r="N430" s="19"/>
    </row>
    <row r="431" spans="14:14" x14ac:dyDescent="0.25">
      <c r="N431" s="19"/>
    </row>
    <row r="432" spans="14:14" x14ac:dyDescent="0.25">
      <c r="N432" s="19"/>
    </row>
    <row r="433" spans="14:14" x14ac:dyDescent="0.25">
      <c r="N433" s="19"/>
    </row>
    <row r="434" spans="14:14" x14ac:dyDescent="0.25">
      <c r="N434" s="19"/>
    </row>
    <row r="435" spans="14:14" x14ac:dyDescent="0.25">
      <c r="N435" s="19"/>
    </row>
    <row r="436" spans="14:14" x14ac:dyDescent="0.25">
      <c r="N436" s="19"/>
    </row>
    <row r="437" spans="14:14" x14ac:dyDescent="0.25">
      <c r="N437" s="19"/>
    </row>
    <row r="438" spans="14:14" x14ac:dyDescent="0.25">
      <c r="N438" s="19"/>
    </row>
    <row r="439" spans="14:14" x14ac:dyDescent="0.25">
      <c r="N439" s="19"/>
    </row>
    <row r="440" spans="14:14" x14ac:dyDescent="0.25">
      <c r="N440" s="19"/>
    </row>
    <row r="441" spans="14:14" x14ac:dyDescent="0.25">
      <c r="N441" s="19"/>
    </row>
    <row r="442" spans="14:14" x14ac:dyDescent="0.25">
      <c r="N442" s="19"/>
    </row>
    <row r="443" spans="14:14" x14ac:dyDescent="0.25">
      <c r="N443" s="19"/>
    </row>
    <row r="444" spans="14:14" x14ac:dyDescent="0.25">
      <c r="N444" s="19"/>
    </row>
    <row r="445" spans="14:14" x14ac:dyDescent="0.25">
      <c r="N445" s="19"/>
    </row>
    <row r="446" spans="14:14" x14ac:dyDescent="0.25">
      <c r="N446" s="19"/>
    </row>
    <row r="447" spans="14:14" x14ac:dyDescent="0.25">
      <c r="N447" s="19"/>
    </row>
    <row r="448" spans="14:14" x14ac:dyDescent="0.25">
      <c r="N448" s="19"/>
    </row>
    <row r="449" spans="14:14" x14ac:dyDescent="0.25">
      <c r="N449" s="19"/>
    </row>
    <row r="450" spans="14:14" x14ac:dyDescent="0.25">
      <c r="N450" s="19"/>
    </row>
    <row r="451" spans="14:14" x14ac:dyDescent="0.25">
      <c r="N451" s="19"/>
    </row>
    <row r="452" spans="14:14" x14ac:dyDescent="0.25">
      <c r="N452" s="19"/>
    </row>
    <row r="453" spans="14:14" x14ac:dyDescent="0.25">
      <c r="N453" s="19"/>
    </row>
    <row r="454" spans="14:14" x14ac:dyDescent="0.25">
      <c r="N454" s="19"/>
    </row>
    <row r="455" spans="14:14" x14ac:dyDescent="0.25">
      <c r="N455" s="19"/>
    </row>
    <row r="456" spans="14:14" x14ac:dyDescent="0.25">
      <c r="N456" s="19"/>
    </row>
  </sheetData>
  <mergeCells count="1">
    <mergeCell ref="F1:H1"/>
  </mergeCells>
  <pageMargins left="0.75" right="0.75" top="1" bottom="1" header="0.5" footer="0.5"/>
  <pageSetup orientation="portrait" horizontalDpi="4294967292" verticalDpi="4294967292"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CC"/>
    <pageSetUpPr fitToPage="1"/>
  </sheetPr>
  <dimension ref="A1:W490"/>
  <sheetViews>
    <sheetView workbookViewId="0">
      <pane ySplit="4" topLeftCell="A5" activePane="bottomLeft" state="frozen"/>
      <selection pane="bottomLeft" activeCell="E14" sqref="E14"/>
    </sheetView>
  </sheetViews>
  <sheetFormatPr defaultColWidth="11" defaultRowHeight="15.75" x14ac:dyDescent="0.25"/>
  <cols>
    <col min="1" max="1" width="31.125" customWidth="1"/>
    <col min="2" max="2" width="15.125" bestFit="1" customWidth="1"/>
    <col min="3" max="9" width="12.5" bestFit="1" customWidth="1"/>
    <col min="10" max="10" width="13.875" customWidth="1"/>
    <col min="11" max="11" width="13.875" style="278" customWidth="1"/>
    <col min="12" max="12" width="13.875" customWidth="1"/>
    <col min="13" max="13" width="13.875" hidden="1" customWidth="1"/>
    <col min="14" max="14" width="11" style="124"/>
    <col min="23" max="23" width="77.375" customWidth="1"/>
  </cols>
  <sheetData>
    <row r="1" spans="1:23" ht="18.75" x14ac:dyDescent="0.3">
      <c r="A1" s="36" t="s">
        <v>38</v>
      </c>
      <c r="F1" s="1024" t="s">
        <v>154</v>
      </c>
      <c r="G1" s="1024"/>
      <c r="H1" s="1024"/>
      <c r="J1" s="743"/>
      <c r="K1" s="295"/>
      <c r="L1" s="743"/>
      <c r="M1" s="743"/>
    </row>
    <row r="2" spans="1:23" x14ac:dyDescent="0.25">
      <c r="A2" s="2"/>
    </row>
    <row r="3" spans="1:23" x14ac:dyDescent="0.25">
      <c r="A3" s="2"/>
      <c r="B3" s="435" t="s">
        <v>58</v>
      </c>
      <c r="C3" s="360" t="s">
        <v>58</v>
      </c>
      <c r="D3" s="360" t="s">
        <v>58</v>
      </c>
      <c r="E3" s="360" t="s">
        <v>58</v>
      </c>
      <c r="F3" s="360" t="s">
        <v>58</v>
      </c>
      <c r="G3" s="360" t="s">
        <v>58</v>
      </c>
      <c r="H3" s="360" t="s">
        <v>58</v>
      </c>
      <c r="I3" s="360" t="s">
        <v>58</v>
      </c>
      <c r="J3" s="436" t="s">
        <v>58</v>
      </c>
      <c r="K3" s="360" t="s">
        <v>58</v>
      </c>
      <c r="L3" s="441" t="s">
        <v>58</v>
      </c>
      <c r="M3" s="360" t="s">
        <v>58</v>
      </c>
    </row>
    <row r="4" spans="1:23" x14ac:dyDescent="0.25">
      <c r="A4" s="2"/>
      <c r="B4" s="437" t="s">
        <v>55</v>
      </c>
      <c r="C4" s="205" t="s">
        <v>55</v>
      </c>
      <c r="D4" s="205" t="s">
        <v>55</v>
      </c>
      <c r="E4" s="205" t="s">
        <v>55</v>
      </c>
      <c r="F4" s="205" t="s">
        <v>55</v>
      </c>
      <c r="G4" s="205" t="s">
        <v>55</v>
      </c>
      <c r="H4" s="205" t="s">
        <v>55</v>
      </c>
      <c r="I4" s="205" t="s">
        <v>55</v>
      </c>
      <c r="J4" s="438" t="s">
        <v>55</v>
      </c>
      <c r="K4" s="205" t="s">
        <v>151</v>
      </c>
      <c r="L4" s="442" t="s">
        <v>56</v>
      </c>
      <c r="M4" s="205" t="s">
        <v>253</v>
      </c>
    </row>
    <row r="5" spans="1:23" ht="19.5" thickBot="1" x14ac:dyDescent="0.35">
      <c r="A5" s="351"/>
      <c r="B5" s="439">
        <v>2009</v>
      </c>
      <c r="C5" s="367">
        <v>2010</v>
      </c>
      <c r="D5" s="367">
        <v>2011</v>
      </c>
      <c r="E5" s="367">
        <v>2012</v>
      </c>
      <c r="F5" s="367">
        <v>2013</v>
      </c>
      <c r="G5" s="367">
        <v>2014</v>
      </c>
      <c r="H5" s="367">
        <v>2015</v>
      </c>
      <c r="I5" s="367">
        <v>2016</v>
      </c>
      <c r="J5" s="367">
        <v>2017</v>
      </c>
      <c r="K5" s="439">
        <v>2018</v>
      </c>
      <c r="L5" s="456">
        <v>2019</v>
      </c>
      <c r="M5" s="367">
        <v>2018</v>
      </c>
      <c r="O5" s="2"/>
    </row>
    <row r="6" spans="1:23" s="278" customFormat="1" ht="18.75" x14ac:dyDescent="0.3">
      <c r="A6" s="850" t="s">
        <v>333</v>
      </c>
      <c r="B6" s="371"/>
      <c r="C6" s="371"/>
      <c r="D6" s="371"/>
      <c r="E6" s="371"/>
      <c r="F6" s="371"/>
      <c r="G6" s="371"/>
      <c r="H6" s="371"/>
      <c r="I6" s="371"/>
      <c r="J6" s="371"/>
      <c r="K6" s="901"/>
      <c r="L6" s="464"/>
      <c r="M6" s="379"/>
      <c r="N6" s="126"/>
      <c r="O6" s="2"/>
    </row>
    <row r="7" spans="1:23" x14ac:dyDescent="0.25">
      <c r="A7" s="851" t="s">
        <v>92</v>
      </c>
      <c r="B7" s="315">
        <v>649434</v>
      </c>
      <c r="C7" s="315">
        <f>100457+127795+283864+834153+33860</f>
        <v>1380129</v>
      </c>
      <c r="D7" s="315">
        <f>158642+146387+311902+636546+58931</f>
        <v>1312408</v>
      </c>
      <c r="E7" s="315">
        <f>155609+88755+279333+625842+59227</f>
        <v>1208766</v>
      </c>
      <c r="F7" s="315">
        <f>99578+160427+273943+593367+89543</f>
        <v>1216858</v>
      </c>
      <c r="G7" s="315">
        <f>116169+385705+238486+675191+76720</f>
        <v>1492271</v>
      </c>
      <c r="H7" s="315">
        <f>129583+337503+164840+827421+55215</f>
        <v>1514562</v>
      </c>
      <c r="I7" s="315">
        <f>139995+362873+209431+113099</f>
        <v>825398</v>
      </c>
      <c r="J7" s="315">
        <f>10207+594418+460663</f>
        <v>1065288</v>
      </c>
      <c r="K7" s="380">
        <f>41000+433452+471611</f>
        <v>946063</v>
      </c>
      <c r="L7" s="372">
        <f>8329+508264+260875</f>
        <v>777468</v>
      </c>
      <c r="M7" s="381">
        <f>6000+406456+471611</f>
        <v>884067</v>
      </c>
      <c r="N7" s="121"/>
      <c r="O7" s="3"/>
    </row>
    <row r="8" spans="1:23" x14ac:dyDescent="0.25">
      <c r="A8" s="852" t="s">
        <v>88</v>
      </c>
      <c r="B8" s="315">
        <v>0</v>
      </c>
      <c r="C8" s="315">
        <v>0</v>
      </c>
      <c r="D8" s="315">
        <v>0</v>
      </c>
      <c r="E8" s="315">
        <v>0</v>
      </c>
      <c r="F8" s="315">
        <v>0</v>
      </c>
      <c r="G8" s="315">
        <v>0</v>
      </c>
      <c r="H8" s="315">
        <v>0</v>
      </c>
      <c r="I8" s="315">
        <v>0</v>
      </c>
      <c r="J8" s="315">
        <v>0</v>
      </c>
      <c r="K8" s="380">
        <v>0</v>
      </c>
      <c r="L8" s="372">
        <v>0</v>
      </c>
      <c r="M8" s="381">
        <v>0</v>
      </c>
      <c r="N8" s="121"/>
      <c r="O8" s="3"/>
    </row>
    <row r="9" spans="1:23" x14ac:dyDescent="0.25">
      <c r="A9" s="853" t="s">
        <v>93</v>
      </c>
      <c r="B9" s="315">
        <v>0</v>
      </c>
      <c r="C9" s="315">
        <v>0</v>
      </c>
      <c r="D9" s="315">
        <v>0</v>
      </c>
      <c r="E9" s="315">
        <v>0</v>
      </c>
      <c r="F9" s="315">
        <v>0</v>
      </c>
      <c r="G9" s="315">
        <v>0</v>
      </c>
      <c r="H9" s="315">
        <v>0</v>
      </c>
      <c r="I9" s="315">
        <v>0</v>
      </c>
      <c r="J9" s="315">
        <v>0</v>
      </c>
      <c r="K9" s="380">
        <v>0</v>
      </c>
      <c r="L9" s="372">
        <v>0</v>
      </c>
      <c r="M9" s="381">
        <v>0</v>
      </c>
      <c r="N9" s="121"/>
      <c r="O9" s="3"/>
    </row>
    <row r="10" spans="1:23" x14ac:dyDescent="0.25">
      <c r="A10" s="854" t="s">
        <v>78</v>
      </c>
      <c r="B10" s="315">
        <f>360579+54187</f>
        <v>414766</v>
      </c>
      <c r="C10" s="315">
        <f>395301+40202</f>
        <v>435503</v>
      </c>
      <c r="D10" s="315">
        <f>375001+50411</f>
        <v>425412</v>
      </c>
      <c r="E10" s="315">
        <f>370127+50411</f>
        <v>420538</v>
      </c>
      <c r="F10" s="315">
        <f>311664+36379</f>
        <v>348043</v>
      </c>
      <c r="G10" s="315">
        <f>37753+496041</f>
        <v>533794</v>
      </c>
      <c r="H10" s="315">
        <f>37604+673481</f>
        <v>711085</v>
      </c>
      <c r="I10" s="315">
        <f>37224+650085</f>
        <v>687309</v>
      </c>
      <c r="J10" s="315">
        <f>484+442942</f>
        <v>443426</v>
      </c>
      <c r="K10" s="380">
        <f>0+687879</f>
        <v>687879</v>
      </c>
      <c r="L10" s="372">
        <f>855+550197</f>
        <v>551052</v>
      </c>
      <c r="M10" s="381">
        <f>0+687879</f>
        <v>687879</v>
      </c>
      <c r="N10" s="121"/>
      <c r="O10" s="3"/>
    </row>
    <row r="11" spans="1:23" ht="16.5" thickBot="1" x14ac:dyDescent="0.3">
      <c r="A11" s="856"/>
      <c r="B11" s="369"/>
      <c r="C11" s="369"/>
      <c r="D11" s="369"/>
      <c r="E11" s="369"/>
      <c r="F11" s="369"/>
      <c r="G11" s="369"/>
      <c r="H11" s="369"/>
      <c r="I11" s="369"/>
      <c r="J11" s="369"/>
      <c r="K11" s="382"/>
      <c r="L11" s="373"/>
      <c r="M11" s="383">
        <v>0</v>
      </c>
      <c r="N11" s="121"/>
      <c r="O11" s="2"/>
      <c r="W11" t="s">
        <v>381</v>
      </c>
    </row>
    <row r="12" spans="1:23" ht="17.25" thickTop="1" thickBot="1" x14ac:dyDescent="0.3">
      <c r="A12" s="896" t="s">
        <v>100</v>
      </c>
      <c r="B12" s="476">
        <f t="shared" ref="B12:J12" si="0">SUM(B7:B10)</f>
        <v>1064200</v>
      </c>
      <c r="C12" s="476">
        <f t="shared" si="0"/>
        <v>1815632</v>
      </c>
      <c r="D12" s="476">
        <f t="shared" si="0"/>
        <v>1737820</v>
      </c>
      <c r="E12" s="476">
        <f t="shared" si="0"/>
        <v>1629304</v>
      </c>
      <c r="F12" s="476">
        <f t="shared" si="0"/>
        <v>1564901</v>
      </c>
      <c r="G12" s="476">
        <f t="shared" si="0"/>
        <v>2026065</v>
      </c>
      <c r="H12" s="476">
        <f t="shared" si="0"/>
        <v>2225647</v>
      </c>
      <c r="I12" s="476">
        <f t="shared" si="0"/>
        <v>1512707</v>
      </c>
      <c r="J12" s="476">
        <f t="shared" si="0"/>
        <v>1508714</v>
      </c>
      <c r="K12" s="475">
        <f>SUM(K7:K10)</f>
        <v>1633942</v>
      </c>
      <c r="L12" s="478">
        <f>SUM(L7:L10)</f>
        <v>1328520</v>
      </c>
      <c r="M12" s="433">
        <f>SUM(M7:M10)</f>
        <v>1571946</v>
      </c>
      <c r="N12" s="126"/>
      <c r="O12" s="2"/>
    </row>
    <row r="13" spans="1:23" x14ac:dyDescent="0.25">
      <c r="A13" s="858"/>
      <c r="B13" s="312"/>
      <c r="C13" s="312"/>
      <c r="D13" s="312"/>
      <c r="E13" s="312"/>
      <c r="F13" s="312"/>
      <c r="G13" s="312"/>
      <c r="H13" s="312"/>
      <c r="I13" s="313"/>
      <c r="J13" s="312"/>
      <c r="K13" s="407"/>
      <c r="L13" s="444"/>
      <c r="M13" s="312"/>
      <c r="N13" s="126"/>
      <c r="O13" s="2"/>
    </row>
    <row r="14" spans="1:23" ht="19.5" thickBot="1" x14ac:dyDescent="0.35">
      <c r="A14" s="859"/>
      <c r="B14" s="311"/>
      <c r="C14" s="311"/>
      <c r="D14" s="311"/>
      <c r="E14" s="311"/>
      <c r="F14" s="311"/>
      <c r="G14" s="311"/>
      <c r="H14" s="311"/>
      <c r="I14" s="311"/>
      <c r="J14" s="311"/>
      <c r="K14" s="505"/>
      <c r="L14" s="178"/>
      <c r="M14" s="311"/>
      <c r="N14" s="120"/>
      <c r="O14" s="1"/>
    </row>
    <row r="15" spans="1:23" ht="18.75" x14ac:dyDescent="0.3">
      <c r="A15" s="860" t="s">
        <v>332</v>
      </c>
      <c r="B15" s="522">
        <v>2009</v>
      </c>
      <c r="C15" s="522">
        <v>2010</v>
      </c>
      <c r="D15" s="522">
        <v>2011</v>
      </c>
      <c r="E15" s="522">
        <v>2012</v>
      </c>
      <c r="F15" s="522">
        <v>2013</v>
      </c>
      <c r="G15" s="522">
        <v>2014</v>
      </c>
      <c r="H15" s="522">
        <v>2015</v>
      </c>
      <c r="I15" s="522">
        <v>2016</v>
      </c>
      <c r="J15" s="522">
        <v>2017</v>
      </c>
      <c r="K15" s="521">
        <v>2018</v>
      </c>
      <c r="L15" s="524">
        <v>2019</v>
      </c>
      <c r="M15" s="379">
        <v>2018</v>
      </c>
      <c r="N15" s="126"/>
      <c r="O15" s="1"/>
    </row>
    <row r="16" spans="1:23" x14ac:dyDescent="0.25">
      <c r="A16" s="851" t="s">
        <v>92</v>
      </c>
      <c r="B16" s="315">
        <v>15281636</v>
      </c>
      <c r="C16" s="315">
        <v>15707233</v>
      </c>
      <c r="D16" s="315">
        <v>16496905</v>
      </c>
      <c r="E16" s="315">
        <v>16174985</v>
      </c>
      <c r="F16" s="315">
        <v>17097730</v>
      </c>
      <c r="G16" s="315">
        <v>18444764</v>
      </c>
      <c r="H16" s="315">
        <v>19758843</v>
      </c>
      <c r="I16" s="315">
        <v>20829121</v>
      </c>
      <c r="J16" s="315">
        <v>24480951</v>
      </c>
      <c r="K16" s="380">
        <v>26765644</v>
      </c>
      <c r="L16" s="372">
        <v>24457482</v>
      </c>
      <c r="M16" s="381">
        <v>26198103</v>
      </c>
      <c r="N16" s="121"/>
      <c r="O16" s="1"/>
    </row>
    <row r="17" spans="1:23" x14ac:dyDescent="0.25">
      <c r="A17" s="852" t="s">
        <v>88</v>
      </c>
      <c r="B17" s="315">
        <v>0</v>
      </c>
      <c r="C17" s="315">
        <v>0</v>
      </c>
      <c r="D17" s="315">
        <v>0</v>
      </c>
      <c r="E17" s="315">
        <v>0</v>
      </c>
      <c r="F17" s="315">
        <v>0</v>
      </c>
      <c r="G17" s="315">
        <v>0</v>
      </c>
      <c r="H17" s="315">
        <v>0</v>
      </c>
      <c r="I17" s="315">
        <v>0</v>
      </c>
      <c r="J17" s="315">
        <v>0</v>
      </c>
      <c r="K17" s="380">
        <v>0</v>
      </c>
      <c r="L17" s="372">
        <v>0</v>
      </c>
      <c r="M17" s="381">
        <v>0</v>
      </c>
      <c r="N17" s="121"/>
      <c r="O17" s="1"/>
    </row>
    <row r="18" spans="1:23" x14ac:dyDescent="0.25">
      <c r="A18" s="853" t="s">
        <v>93</v>
      </c>
      <c r="B18" s="315">
        <v>0</v>
      </c>
      <c r="C18" s="315">
        <v>0</v>
      </c>
      <c r="D18" s="315">
        <v>0</v>
      </c>
      <c r="E18" s="315">
        <v>0</v>
      </c>
      <c r="F18" s="315">
        <v>0</v>
      </c>
      <c r="G18" s="315">
        <v>0</v>
      </c>
      <c r="H18" s="315">
        <v>0</v>
      </c>
      <c r="I18" s="315">
        <v>0</v>
      </c>
      <c r="J18" s="315">
        <v>0</v>
      </c>
      <c r="K18" s="380">
        <v>0</v>
      </c>
      <c r="L18" s="372">
        <v>0</v>
      </c>
      <c r="M18" s="381">
        <v>0</v>
      </c>
      <c r="N18" s="121"/>
      <c r="O18" s="1"/>
    </row>
    <row r="19" spans="1:23" x14ac:dyDescent="0.25">
      <c r="A19" s="854" t="s">
        <v>78</v>
      </c>
      <c r="B19" s="315">
        <f>50685+4620</f>
        <v>55305</v>
      </c>
      <c r="C19" s="315">
        <f>20365+41648</f>
        <v>62013</v>
      </c>
      <c r="D19" s="315">
        <f>100+50153</f>
        <v>50253</v>
      </c>
      <c r="E19" s="315">
        <f>36762+50153</f>
        <v>86915</v>
      </c>
      <c r="F19" s="315">
        <f>144733+36620</f>
        <v>181353</v>
      </c>
      <c r="G19" s="315">
        <f>133892+36937</f>
        <v>170829</v>
      </c>
      <c r="H19" s="315">
        <f>36937+120603</f>
        <v>157540</v>
      </c>
      <c r="I19" s="315">
        <f>36937+408210</f>
        <v>445147</v>
      </c>
      <c r="J19" s="315">
        <f>0+177320</f>
        <v>177320</v>
      </c>
      <c r="K19" s="380">
        <f>0+6804669</f>
        <v>6804669</v>
      </c>
      <c r="L19" s="372">
        <f>0+0</f>
        <v>0</v>
      </c>
      <c r="M19" s="381">
        <f>0+6010377</f>
        <v>6010377</v>
      </c>
      <c r="N19" s="121"/>
      <c r="O19" s="1"/>
    </row>
    <row r="20" spans="1:23" ht="16.5" thickBot="1" x14ac:dyDescent="0.3">
      <c r="A20" s="856"/>
      <c r="B20" s="369"/>
      <c r="C20" s="369"/>
      <c r="D20" s="369"/>
      <c r="E20" s="369"/>
      <c r="F20" s="369"/>
      <c r="G20" s="369"/>
      <c r="H20" s="369"/>
      <c r="I20" s="369"/>
      <c r="J20" s="369"/>
      <c r="K20" s="382"/>
      <c r="L20" s="373"/>
      <c r="M20" s="383"/>
      <c r="N20" s="121"/>
      <c r="O20" s="1"/>
    </row>
    <row r="21" spans="1:23" ht="17.25" thickTop="1" thickBot="1" x14ac:dyDescent="0.3">
      <c r="A21" s="896" t="s">
        <v>102</v>
      </c>
      <c r="B21" s="476">
        <f t="shared" ref="B21:L21" si="1">SUM(B16:B19)</f>
        <v>15336941</v>
      </c>
      <c r="C21" s="476">
        <f t="shared" si="1"/>
        <v>15769246</v>
      </c>
      <c r="D21" s="476">
        <f t="shared" si="1"/>
        <v>16547158</v>
      </c>
      <c r="E21" s="476">
        <f t="shared" si="1"/>
        <v>16261900</v>
      </c>
      <c r="F21" s="476">
        <f t="shared" si="1"/>
        <v>17279083</v>
      </c>
      <c r="G21" s="476">
        <f t="shared" si="1"/>
        <v>18615593</v>
      </c>
      <c r="H21" s="476">
        <f t="shared" si="1"/>
        <v>19916383</v>
      </c>
      <c r="I21" s="476">
        <f t="shared" si="1"/>
        <v>21274268</v>
      </c>
      <c r="J21" s="476">
        <f t="shared" si="1"/>
        <v>24658271</v>
      </c>
      <c r="K21" s="475">
        <f>SUM(K16:K19)</f>
        <v>33570313</v>
      </c>
      <c r="L21" s="478">
        <f t="shared" si="1"/>
        <v>24457482</v>
      </c>
      <c r="M21" s="433">
        <f>SUM(M16:M19)</f>
        <v>32208480</v>
      </c>
      <c r="N21" s="126"/>
      <c r="O21" s="1"/>
      <c r="W21" s="145"/>
    </row>
    <row r="22" spans="1:23" ht="18.75" x14ac:dyDescent="0.3">
      <c r="A22" s="861"/>
      <c r="B22" s="120"/>
      <c r="C22" s="120"/>
      <c r="D22" s="120"/>
      <c r="E22" s="120"/>
      <c r="F22" s="120"/>
      <c r="G22" s="120"/>
      <c r="H22" s="120"/>
      <c r="I22" s="120"/>
      <c r="J22" s="120"/>
      <c r="K22" s="401"/>
      <c r="L22" s="445"/>
      <c r="M22" s="120"/>
      <c r="N22" s="120"/>
      <c r="O22" s="1"/>
    </row>
    <row r="23" spans="1:23" x14ac:dyDescent="0.25">
      <c r="A23" s="875"/>
      <c r="K23" s="392"/>
      <c r="L23" s="163"/>
      <c r="N23" s="120"/>
      <c r="O23" s="1"/>
    </row>
    <row r="24" spans="1:23" x14ac:dyDescent="0.25">
      <c r="A24" s="875"/>
      <c r="B24" s="795">
        <v>2009</v>
      </c>
      <c r="C24" s="46">
        <v>2010</v>
      </c>
      <c r="D24" s="46">
        <v>2011</v>
      </c>
      <c r="E24" s="46">
        <v>2012</v>
      </c>
      <c r="F24" s="46">
        <v>2013</v>
      </c>
      <c r="G24" s="46">
        <v>2014</v>
      </c>
      <c r="H24" s="46">
        <v>2015</v>
      </c>
      <c r="I24" s="46">
        <v>2016</v>
      </c>
      <c r="J24" s="795">
        <v>2017</v>
      </c>
      <c r="K24" s="525">
        <v>2018</v>
      </c>
      <c r="L24" s="443">
        <v>2019</v>
      </c>
      <c r="M24" s="146">
        <v>2018</v>
      </c>
      <c r="N24" s="120"/>
      <c r="O24" s="1"/>
    </row>
    <row r="25" spans="1:23" x14ac:dyDescent="0.25">
      <c r="A25" s="851" t="s">
        <v>152</v>
      </c>
      <c r="B25" s="611">
        <f t="shared" ref="B25:M25" si="2">+B7/B26</f>
        <v>10.282036667616605</v>
      </c>
      <c r="C25" s="611">
        <f t="shared" si="2"/>
        <v>20.373313453987187</v>
      </c>
      <c r="D25" s="611">
        <f t="shared" si="2"/>
        <v>19.08651706636029</v>
      </c>
      <c r="E25" s="611">
        <f t="shared" si="2"/>
        <v>17.432197401248899</v>
      </c>
      <c r="F25" s="611">
        <f t="shared" si="2"/>
        <v>17.292283643598125</v>
      </c>
      <c r="G25" s="611">
        <f t="shared" si="2"/>
        <v>21.009911723710701</v>
      </c>
      <c r="H25" s="611">
        <f t="shared" si="2"/>
        <v>20.62873876327976</v>
      </c>
      <c r="I25" s="611">
        <f t="shared" si="2"/>
        <v>11.096296296296297</v>
      </c>
      <c r="J25" s="611">
        <f t="shared" si="2"/>
        <v>14.046518987341772</v>
      </c>
      <c r="K25" s="610">
        <f t="shared" si="2"/>
        <v>12.244868111102482</v>
      </c>
      <c r="L25" s="613">
        <f t="shared" si="2"/>
        <v>9.8438592048619906</v>
      </c>
      <c r="M25" s="8">
        <f t="shared" si="2"/>
        <v>11.442455540886852</v>
      </c>
      <c r="N25" s="120"/>
      <c r="O25" s="1"/>
    </row>
    <row r="26" spans="1:23" x14ac:dyDescent="0.25">
      <c r="A26" s="875" t="s">
        <v>340</v>
      </c>
      <c r="B26" s="125">
        <f>Stats!D4</f>
        <v>63162</v>
      </c>
      <c r="C26" s="125">
        <f>Stats!E4</f>
        <v>67742</v>
      </c>
      <c r="D26" s="125">
        <f>Stats!F4</f>
        <v>68761</v>
      </c>
      <c r="E26" s="125">
        <f>Stats!G4</f>
        <v>69341</v>
      </c>
      <c r="F26" s="125">
        <f>Stats!H4</f>
        <v>70370</v>
      </c>
      <c r="G26" s="125">
        <f>Stats!I4</f>
        <v>71027</v>
      </c>
      <c r="H26" s="125">
        <f>Stats!J4</f>
        <v>73420</v>
      </c>
      <c r="I26" s="125">
        <f>Stats!K4</f>
        <v>74385</v>
      </c>
      <c r="J26" s="125">
        <f>Stats!L4</f>
        <v>75840</v>
      </c>
      <c r="K26" s="515">
        <f>Stats!M4</f>
        <v>77262</v>
      </c>
      <c r="L26" s="486">
        <f>Stats!N4</f>
        <v>78980</v>
      </c>
      <c r="M26" s="12">
        <f>Stats!M4</f>
        <v>77262</v>
      </c>
      <c r="N26" s="120"/>
      <c r="O26" s="1"/>
    </row>
    <row r="27" spans="1:23" x14ac:dyDescent="0.25">
      <c r="A27" s="875"/>
      <c r="B27" s="50"/>
      <c r="C27" s="50"/>
      <c r="D27" s="50"/>
      <c r="E27" s="50"/>
      <c r="F27" s="50"/>
      <c r="G27" s="50"/>
      <c r="H27" s="50"/>
      <c r="I27" s="50"/>
      <c r="J27" s="50"/>
      <c r="K27" s="392"/>
      <c r="L27" s="163"/>
      <c r="N27" s="120"/>
      <c r="O27" s="1"/>
    </row>
    <row r="28" spans="1:23" x14ac:dyDescent="0.25">
      <c r="A28" s="851" t="s">
        <v>130</v>
      </c>
      <c r="B28" s="615">
        <f t="shared" ref="B28:M28" si="3">+B16/B29</f>
        <v>112364.9705882353</v>
      </c>
      <c r="C28" s="615">
        <f t="shared" si="3"/>
        <v>117218.15671641791</v>
      </c>
      <c r="D28" s="615">
        <f t="shared" si="3"/>
        <v>123111.23134328358</v>
      </c>
      <c r="E28" s="615">
        <f t="shared" si="3"/>
        <v>120934.46728971963</v>
      </c>
      <c r="F28" s="615">
        <f t="shared" si="3"/>
        <v>126884.82374768089</v>
      </c>
      <c r="G28" s="615">
        <f t="shared" si="3"/>
        <v>131748.3142857143</v>
      </c>
      <c r="H28" s="615">
        <f t="shared" si="3"/>
        <v>135334.54109589042</v>
      </c>
      <c r="I28" s="615">
        <f t="shared" si="3"/>
        <v>135254.03246753247</v>
      </c>
      <c r="J28" s="615">
        <f t="shared" si="3"/>
        <v>154453.94952681387</v>
      </c>
      <c r="K28" s="614">
        <f t="shared" si="3"/>
        <v>162709.0820668693</v>
      </c>
      <c r="L28" s="617">
        <f t="shared" si="3"/>
        <v>148677.70212765958</v>
      </c>
      <c r="M28" s="1">
        <f t="shared" si="3"/>
        <v>163228.05607476635</v>
      </c>
      <c r="N28" s="120"/>
      <c r="O28" s="1"/>
    </row>
    <row r="29" spans="1:23" x14ac:dyDescent="0.25">
      <c r="A29" s="875" t="s">
        <v>341</v>
      </c>
      <c r="B29" s="125">
        <f>+B40</f>
        <v>136</v>
      </c>
      <c r="C29" s="125">
        <f t="shared" ref="C29:L29" si="4">+C40</f>
        <v>134</v>
      </c>
      <c r="D29" s="125">
        <f t="shared" si="4"/>
        <v>134</v>
      </c>
      <c r="E29" s="125">
        <f t="shared" si="4"/>
        <v>133.75</v>
      </c>
      <c r="F29" s="125">
        <f t="shared" si="4"/>
        <v>134.75</v>
      </c>
      <c r="G29" s="125">
        <f t="shared" si="4"/>
        <v>140</v>
      </c>
      <c r="H29" s="125">
        <f t="shared" si="4"/>
        <v>146</v>
      </c>
      <c r="I29" s="125">
        <f t="shared" si="4"/>
        <v>154</v>
      </c>
      <c r="J29" s="125">
        <f t="shared" si="4"/>
        <v>158.5</v>
      </c>
      <c r="K29" s="515">
        <f t="shared" ref="K29" si="5">+K40</f>
        <v>164.5</v>
      </c>
      <c r="L29" s="486">
        <f t="shared" si="4"/>
        <v>164.5</v>
      </c>
      <c r="M29" s="33">
        <f>+M40</f>
        <v>160.5</v>
      </c>
      <c r="N29" s="120"/>
      <c r="O29" s="1"/>
    </row>
    <row r="30" spans="1:23" x14ac:dyDescent="0.25">
      <c r="A30" s="875"/>
      <c r="K30" s="392"/>
      <c r="L30" s="163"/>
      <c r="N30" s="120"/>
      <c r="O30" s="1"/>
    </row>
    <row r="31" spans="1:23" x14ac:dyDescent="0.25">
      <c r="A31" s="877"/>
      <c r="B31" s="124"/>
      <c r="C31" s="124"/>
      <c r="D31" s="124"/>
      <c r="E31" s="124"/>
      <c r="F31" s="124"/>
      <c r="G31" s="124"/>
      <c r="H31" s="124"/>
      <c r="I31" s="124"/>
      <c r="J31" s="124"/>
      <c r="K31" s="408"/>
      <c r="L31" s="449"/>
      <c r="M31" s="124"/>
      <c r="N31" s="120"/>
      <c r="O31" s="1"/>
    </row>
    <row r="32" spans="1:23" x14ac:dyDescent="0.25">
      <c r="A32" s="877"/>
      <c r="B32" s="124"/>
      <c r="C32" s="124"/>
      <c r="D32" s="124"/>
      <c r="E32" s="124"/>
      <c r="F32" s="124"/>
      <c r="G32" s="124"/>
      <c r="H32" s="124"/>
      <c r="I32" s="124"/>
      <c r="J32" s="124"/>
      <c r="K32" s="408"/>
      <c r="L32" s="449"/>
      <c r="M32" s="124"/>
      <c r="N32" s="120"/>
      <c r="O32" s="1"/>
    </row>
    <row r="33" spans="1:15" x14ac:dyDescent="0.25">
      <c r="A33" s="862"/>
      <c r="B33" s="93"/>
      <c r="C33" s="93"/>
      <c r="D33" s="93"/>
      <c r="E33" s="93"/>
      <c r="F33" s="93"/>
      <c r="G33" s="93"/>
      <c r="H33" s="93"/>
      <c r="I33" s="93"/>
      <c r="J33" s="93"/>
      <c r="K33" s="416"/>
      <c r="L33" s="109"/>
      <c r="M33" s="93"/>
      <c r="N33" s="120"/>
      <c r="O33" s="1"/>
    </row>
    <row r="34" spans="1:15" hidden="1" x14ac:dyDescent="0.25">
      <c r="A34" s="878"/>
      <c r="B34" s="15"/>
      <c r="C34" s="15"/>
      <c r="D34" s="15"/>
      <c r="E34" s="15"/>
      <c r="F34" s="15"/>
      <c r="G34" s="15"/>
      <c r="H34" s="15"/>
      <c r="I34" s="15"/>
      <c r="J34" s="15">
        <v>158.5</v>
      </c>
      <c r="K34" s="413">
        <v>164.5</v>
      </c>
      <c r="L34" s="451">
        <v>164.5</v>
      </c>
      <c r="M34" s="15">
        <v>164.5</v>
      </c>
      <c r="N34" s="120"/>
      <c r="O34" s="1"/>
    </row>
    <row r="35" spans="1:15" s="278" customFormat="1" x14ac:dyDescent="0.25">
      <c r="A35" s="878" t="s">
        <v>60</v>
      </c>
      <c r="B35" s="15"/>
      <c r="C35" s="15"/>
      <c r="D35" s="15"/>
      <c r="E35" s="15"/>
      <c r="F35" s="15"/>
      <c r="G35" s="15"/>
      <c r="H35" s="15"/>
      <c r="I35" s="15"/>
      <c r="J35" s="15"/>
      <c r="K35" s="413"/>
      <c r="L35" s="451"/>
      <c r="M35" s="15"/>
      <c r="N35" s="120"/>
      <c r="O35" s="1"/>
    </row>
    <row r="36" spans="1:15" x14ac:dyDescent="0.25">
      <c r="A36" s="897" t="s">
        <v>13</v>
      </c>
      <c r="B36" s="745">
        <v>6</v>
      </c>
      <c r="C36" s="745">
        <v>5</v>
      </c>
      <c r="D36" s="745">
        <v>5</v>
      </c>
      <c r="E36" s="745">
        <v>5</v>
      </c>
      <c r="F36" s="745">
        <v>5</v>
      </c>
      <c r="G36" s="745">
        <v>5</v>
      </c>
      <c r="H36" s="796">
        <v>7</v>
      </c>
      <c r="I36" s="797">
        <v>7</v>
      </c>
      <c r="J36" s="798">
        <v>8</v>
      </c>
      <c r="K36" s="902">
        <v>8</v>
      </c>
      <c r="L36" s="899">
        <v>8</v>
      </c>
      <c r="M36" s="15">
        <v>8</v>
      </c>
      <c r="N36" s="120"/>
      <c r="O36" s="1"/>
    </row>
    <row r="37" spans="1:15" x14ac:dyDescent="0.25">
      <c r="A37" s="897" t="s">
        <v>185</v>
      </c>
      <c r="B37" s="745">
        <v>33</v>
      </c>
      <c r="C37" s="745">
        <v>31</v>
      </c>
      <c r="D37" s="745">
        <v>31</v>
      </c>
      <c r="E37" s="745">
        <v>31</v>
      </c>
      <c r="F37" s="745">
        <v>31</v>
      </c>
      <c r="G37" s="745">
        <v>33</v>
      </c>
      <c r="H37" s="796">
        <v>34</v>
      </c>
      <c r="I37" s="797">
        <v>35</v>
      </c>
      <c r="J37" s="798">
        <v>36</v>
      </c>
      <c r="K37" s="902">
        <v>36</v>
      </c>
      <c r="L37" s="899">
        <v>36</v>
      </c>
      <c r="M37" s="15">
        <v>36</v>
      </c>
      <c r="N37" s="120"/>
      <c r="O37" s="1"/>
    </row>
    <row r="38" spans="1:15" x14ac:dyDescent="0.25">
      <c r="A38" s="897" t="s">
        <v>186</v>
      </c>
      <c r="B38" s="745">
        <v>72</v>
      </c>
      <c r="C38" s="745">
        <v>71</v>
      </c>
      <c r="D38" s="745">
        <v>69</v>
      </c>
      <c r="E38" s="745">
        <v>69</v>
      </c>
      <c r="F38" s="745">
        <v>71</v>
      </c>
      <c r="G38" s="745">
        <v>73</v>
      </c>
      <c r="H38" s="796">
        <v>75</v>
      </c>
      <c r="I38" s="797">
        <v>79</v>
      </c>
      <c r="J38" s="798">
        <v>79</v>
      </c>
      <c r="K38" s="902">
        <v>84</v>
      </c>
      <c r="L38" s="899">
        <v>84</v>
      </c>
      <c r="M38" s="15">
        <v>81</v>
      </c>
      <c r="N38" s="120"/>
      <c r="O38" s="1"/>
    </row>
    <row r="39" spans="1:15" ht="16.5" thickBot="1" x14ac:dyDescent="0.3">
      <c r="A39" s="897" t="s">
        <v>187</v>
      </c>
      <c r="B39" s="799">
        <v>25</v>
      </c>
      <c r="C39" s="799">
        <v>27</v>
      </c>
      <c r="D39" s="799">
        <v>29</v>
      </c>
      <c r="E39" s="799">
        <v>28.75</v>
      </c>
      <c r="F39" s="799">
        <v>27.75</v>
      </c>
      <c r="G39" s="799">
        <v>29</v>
      </c>
      <c r="H39" s="800">
        <v>30</v>
      </c>
      <c r="I39" s="801">
        <v>33</v>
      </c>
      <c r="J39" s="802">
        <v>35.5</v>
      </c>
      <c r="K39" s="903">
        <v>36.5</v>
      </c>
      <c r="L39" s="900">
        <v>36.5</v>
      </c>
      <c r="M39" s="276">
        <v>35.5</v>
      </c>
    </row>
    <row r="40" spans="1:15" x14ac:dyDescent="0.25">
      <c r="A40" s="880" t="s">
        <v>335</v>
      </c>
      <c r="B40" s="305">
        <f t="shared" ref="B40:H40" si="6">SUM(B36:B39)</f>
        <v>136</v>
      </c>
      <c r="C40" s="305">
        <f t="shared" si="6"/>
        <v>134</v>
      </c>
      <c r="D40" s="305">
        <f t="shared" si="6"/>
        <v>134</v>
      </c>
      <c r="E40" s="305">
        <f t="shared" si="6"/>
        <v>133.75</v>
      </c>
      <c r="F40" s="305">
        <f t="shared" si="6"/>
        <v>134.75</v>
      </c>
      <c r="G40" s="305">
        <f t="shared" si="6"/>
        <v>140</v>
      </c>
      <c r="H40" s="305">
        <f t="shared" si="6"/>
        <v>146</v>
      </c>
      <c r="I40" s="305">
        <f>SUM(I36:I39)</f>
        <v>154</v>
      </c>
      <c r="J40" s="305">
        <f>SUM(J36:J39)</f>
        <v>158.5</v>
      </c>
      <c r="K40" s="793">
        <f>SUM(K36:K39)</f>
        <v>164.5</v>
      </c>
      <c r="L40" s="840">
        <f>SUM(L36:L39)</f>
        <v>164.5</v>
      </c>
      <c r="M40" s="305">
        <f>SUM(M36:M39)</f>
        <v>160.5</v>
      </c>
      <c r="N40" s="946"/>
      <c r="O40" s="1"/>
    </row>
    <row r="41" spans="1:15" x14ac:dyDescent="0.25">
      <c r="A41" s="889"/>
      <c r="B41" s="93"/>
      <c r="C41" s="193"/>
      <c r="D41" s="193"/>
      <c r="E41" s="193"/>
      <c r="F41" s="193"/>
      <c r="G41" s="193"/>
      <c r="H41" s="193"/>
      <c r="I41" s="193"/>
      <c r="J41" s="193"/>
      <c r="K41" s="904"/>
      <c r="L41" s="465"/>
      <c r="M41" s="193"/>
      <c r="N41" s="120"/>
      <c r="O41" s="1"/>
    </row>
    <row r="42" spans="1:15" x14ac:dyDescent="0.25">
      <c r="A42" s="898"/>
      <c r="B42" s="93"/>
      <c r="C42" s="93"/>
      <c r="D42" s="93"/>
      <c r="E42" s="93"/>
      <c r="F42" s="93"/>
      <c r="G42" s="93"/>
      <c r="H42" s="93"/>
      <c r="I42" s="93"/>
      <c r="J42" s="93"/>
      <c r="K42" s="904"/>
      <c r="L42" s="465"/>
      <c r="M42" s="93"/>
      <c r="N42" s="120"/>
      <c r="O42" s="1"/>
    </row>
    <row r="43" spans="1:15" x14ac:dyDescent="0.25">
      <c r="A43" s="898"/>
      <c r="B43" s="93"/>
      <c r="C43" s="93"/>
      <c r="D43" s="93"/>
      <c r="E43" s="93"/>
      <c r="F43" s="93"/>
      <c r="G43" s="93"/>
      <c r="H43" s="93"/>
      <c r="I43" s="93"/>
      <c r="J43" s="93"/>
      <c r="K43" s="904"/>
      <c r="L43" s="465"/>
      <c r="M43" s="93"/>
      <c r="N43" s="120"/>
      <c r="O43" s="1"/>
    </row>
    <row r="44" spans="1:15" x14ac:dyDescent="0.25">
      <c r="A44" s="882"/>
      <c r="B44" s="215"/>
      <c r="C44" s="215"/>
      <c r="D44" s="215"/>
      <c r="E44" s="215"/>
      <c r="F44" s="215"/>
      <c r="G44" s="215"/>
      <c r="H44" s="215"/>
      <c r="I44" s="215"/>
      <c r="J44" s="215"/>
      <c r="K44" s="411"/>
      <c r="L44" s="450"/>
      <c r="M44" s="215"/>
      <c r="N44" s="120"/>
      <c r="O44" s="1"/>
    </row>
    <row r="45" spans="1:15" x14ac:dyDescent="0.25">
      <c r="A45" s="887"/>
      <c r="B45" s="93"/>
      <c r="C45" s="93"/>
      <c r="D45" s="93"/>
      <c r="E45" s="93"/>
      <c r="F45" s="93"/>
      <c r="G45" s="93"/>
      <c r="H45" s="93"/>
      <c r="I45" s="93"/>
      <c r="J45" s="93"/>
      <c r="K45" s="416"/>
      <c r="L45" s="109"/>
      <c r="M45" s="93"/>
      <c r="N45" s="120"/>
      <c r="O45" s="1"/>
    </row>
    <row r="46" spans="1:15" s="17" customFormat="1" x14ac:dyDescent="0.25">
      <c r="A46" s="887"/>
      <c r="B46" s="93"/>
      <c r="C46" s="93"/>
      <c r="D46" s="93"/>
      <c r="E46" s="93"/>
      <c r="F46" s="93"/>
      <c r="G46" s="93"/>
      <c r="H46" s="93"/>
      <c r="I46" s="93"/>
      <c r="J46" s="93"/>
      <c r="K46" s="416"/>
      <c r="L46" s="109"/>
      <c r="M46" s="93"/>
      <c r="N46" s="128"/>
      <c r="O46" s="32"/>
    </row>
    <row r="47" spans="1:15" x14ac:dyDescent="0.25">
      <c r="A47" s="882"/>
      <c r="B47" s="93"/>
      <c r="C47" s="93"/>
      <c r="D47" s="93"/>
      <c r="E47" s="93"/>
      <c r="F47" s="93"/>
      <c r="G47" s="93"/>
      <c r="H47" s="93"/>
      <c r="I47" s="93"/>
      <c r="J47" s="93"/>
      <c r="K47" s="416"/>
      <c r="L47" s="109"/>
      <c r="M47" s="93"/>
      <c r="N47" s="120"/>
      <c r="O47" s="1"/>
    </row>
    <row r="48" spans="1:15" x14ac:dyDescent="0.25">
      <c r="A48" s="882"/>
      <c r="B48" s="114"/>
      <c r="C48" s="114"/>
      <c r="D48" s="114"/>
      <c r="E48" s="114"/>
      <c r="F48" s="114"/>
      <c r="G48" s="114"/>
      <c r="H48" s="114"/>
      <c r="I48" s="114"/>
      <c r="J48" s="114"/>
      <c r="K48" s="418"/>
      <c r="L48" s="455"/>
      <c r="M48" s="114"/>
      <c r="N48" s="120"/>
      <c r="O48" s="1"/>
    </row>
    <row r="49" spans="1:15" x14ac:dyDescent="0.25">
      <c r="A49" s="882"/>
      <c r="B49" s="114"/>
      <c r="C49" s="114"/>
      <c r="D49" s="114"/>
      <c r="E49" s="114"/>
      <c r="F49" s="114"/>
      <c r="G49" s="114"/>
      <c r="H49" s="114"/>
      <c r="I49" s="114"/>
      <c r="J49" s="114"/>
      <c r="K49" s="418"/>
      <c r="L49" s="455"/>
      <c r="M49" s="114"/>
      <c r="N49" s="120"/>
      <c r="O49" s="1"/>
    </row>
    <row r="50" spans="1:15" x14ac:dyDescent="0.25">
      <c r="A50" s="883"/>
      <c r="B50" s="93"/>
      <c r="C50" s="93"/>
      <c r="D50" s="93"/>
      <c r="E50" s="93"/>
      <c r="F50" s="93"/>
      <c r="G50" s="93"/>
      <c r="H50" s="93"/>
      <c r="I50" s="93"/>
      <c r="J50" s="93"/>
      <c r="K50" s="416"/>
      <c r="L50" s="109"/>
      <c r="M50" s="93"/>
      <c r="N50" s="120"/>
      <c r="O50" s="1"/>
    </row>
    <row r="51" spans="1:15" x14ac:dyDescent="0.25">
      <c r="A51" s="883"/>
      <c r="B51" s="200"/>
      <c r="C51" s="200"/>
      <c r="D51" s="200"/>
      <c r="E51" s="200"/>
      <c r="F51" s="200"/>
      <c r="G51" s="200"/>
      <c r="H51" s="200"/>
      <c r="I51" s="200"/>
      <c r="J51" s="200"/>
      <c r="K51" s="576"/>
      <c r="L51" s="468"/>
      <c r="M51" s="200"/>
      <c r="N51" s="120"/>
      <c r="O51" s="1"/>
    </row>
    <row r="52" spans="1:15" x14ac:dyDescent="0.25">
      <c r="A52" s="889"/>
      <c r="B52" s="202"/>
      <c r="C52" s="202"/>
      <c r="D52" s="202"/>
      <c r="E52" s="202"/>
      <c r="F52" s="202"/>
      <c r="G52" s="202"/>
      <c r="H52" s="200"/>
      <c r="I52" s="234"/>
      <c r="J52" s="200"/>
      <c r="K52" s="576"/>
      <c r="L52" s="468"/>
      <c r="M52" s="200"/>
      <c r="N52" s="120"/>
      <c r="O52" s="1"/>
    </row>
    <row r="53" spans="1:15" x14ac:dyDescent="0.25">
      <c r="A53" s="889"/>
      <c r="B53" s="202"/>
      <c r="C53" s="202"/>
      <c r="D53" s="202"/>
      <c r="E53" s="202"/>
      <c r="F53" s="202"/>
      <c r="G53" s="202"/>
      <c r="H53" s="200"/>
      <c r="I53" s="234"/>
      <c r="J53" s="200"/>
      <c r="K53" s="576"/>
      <c r="L53" s="468"/>
      <c r="M53" s="200"/>
      <c r="N53" s="120"/>
      <c r="O53" s="1"/>
    </row>
    <row r="54" spans="1:15" x14ac:dyDescent="0.25">
      <c r="A54" s="889"/>
      <c r="B54" s="202"/>
      <c r="C54" s="202"/>
      <c r="D54" s="202"/>
      <c r="E54" s="202"/>
      <c r="F54" s="202"/>
      <c r="G54" s="202"/>
      <c r="H54" s="200"/>
      <c r="I54" s="234"/>
      <c r="J54" s="200"/>
      <c r="K54" s="576"/>
      <c r="L54" s="468"/>
      <c r="M54" s="200"/>
      <c r="N54" s="120"/>
      <c r="O54" s="1"/>
    </row>
    <row r="55" spans="1:15" x14ac:dyDescent="0.25">
      <c r="A55" s="889"/>
      <c r="B55" s="202"/>
      <c r="C55" s="202"/>
      <c r="D55" s="202"/>
      <c r="E55" s="202"/>
      <c r="F55" s="202"/>
      <c r="G55" s="202"/>
      <c r="H55" s="200"/>
      <c r="I55" s="234"/>
      <c r="J55" s="200"/>
      <c r="K55" s="576"/>
      <c r="L55" s="468"/>
      <c r="M55" s="200"/>
      <c r="N55" s="120"/>
      <c r="O55" s="1"/>
    </row>
    <row r="56" spans="1:15" x14ac:dyDescent="0.25">
      <c r="A56" s="882"/>
      <c r="B56" s="114"/>
      <c r="C56" s="114"/>
      <c r="D56" s="114"/>
      <c r="E56" s="114"/>
      <c r="F56" s="114"/>
      <c r="G56" s="114"/>
      <c r="H56" s="114"/>
      <c r="I56" s="114"/>
      <c r="J56" s="114"/>
      <c r="K56" s="418"/>
      <c r="L56" s="455"/>
      <c r="M56" s="114"/>
      <c r="N56" s="120"/>
      <c r="O56" s="1"/>
    </row>
    <row r="57" spans="1:15" x14ac:dyDescent="0.25">
      <c r="A57" s="889"/>
      <c r="B57" s="200"/>
      <c r="C57" s="140"/>
      <c r="D57" s="140"/>
      <c r="E57" s="140"/>
      <c r="F57" s="140"/>
      <c r="G57" s="140"/>
      <c r="H57" s="140"/>
      <c r="I57" s="140"/>
      <c r="J57" s="140"/>
      <c r="K57" s="586"/>
      <c r="L57" s="470"/>
      <c r="M57" s="140"/>
      <c r="N57" s="120"/>
      <c r="O57" s="1"/>
    </row>
    <row r="58" spans="1:15" x14ac:dyDescent="0.25">
      <c r="A58" s="889"/>
      <c r="B58" s="200"/>
      <c r="C58" s="140"/>
      <c r="D58" s="140"/>
      <c r="E58" s="140"/>
      <c r="F58" s="140"/>
      <c r="G58" s="140"/>
      <c r="H58" s="140"/>
      <c r="I58" s="140"/>
      <c r="J58" s="140"/>
      <c r="K58" s="586"/>
      <c r="L58" s="470"/>
      <c r="M58" s="140"/>
      <c r="N58" s="120"/>
      <c r="O58" s="1"/>
    </row>
    <row r="59" spans="1:15" x14ac:dyDescent="0.25">
      <c r="A59" s="887"/>
      <c r="B59" s="105"/>
      <c r="C59" s="105"/>
      <c r="D59" s="105"/>
      <c r="E59" s="105"/>
      <c r="F59" s="105"/>
      <c r="G59" s="105"/>
      <c r="H59" s="105"/>
      <c r="I59" s="105"/>
      <c r="J59" s="105"/>
      <c r="K59" s="380"/>
      <c r="L59" s="372"/>
      <c r="M59" s="105"/>
      <c r="N59" s="120"/>
      <c r="O59" s="1"/>
    </row>
    <row r="60" spans="1:15" x14ac:dyDescent="0.25">
      <c r="A60" s="887"/>
      <c r="B60" s="116"/>
      <c r="C60" s="116"/>
      <c r="D60" s="116"/>
      <c r="E60" s="116"/>
      <c r="F60" s="116"/>
      <c r="G60" s="116"/>
      <c r="H60" s="116"/>
      <c r="I60" s="116"/>
      <c r="J60" s="116"/>
      <c r="K60" s="407"/>
      <c r="L60" s="444"/>
      <c r="M60" s="116"/>
      <c r="N60" s="120"/>
      <c r="O60" s="1"/>
    </row>
    <row r="61" spans="1:15" x14ac:dyDescent="0.25">
      <c r="A61" s="888"/>
      <c r="B61" s="104"/>
      <c r="C61" s="104"/>
      <c r="D61" s="104"/>
      <c r="E61" s="104"/>
      <c r="F61" s="104"/>
      <c r="G61" s="104"/>
      <c r="H61" s="104"/>
      <c r="I61" s="104"/>
      <c r="J61" s="104"/>
      <c r="K61" s="589"/>
      <c r="L61" s="601"/>
      <c r="M61" s="104"/>
      <c r="N61" s="120"/>
      <c r="O61" s="1"/>
    </row>
    <row r="62" spans="1:15" x14ac:dyDescent="0.25">
      <c r="A62" s="889"/>
      <c r="B62" s="200"/>
      <c r="C62" s="140"/>
      <c r="D62" s="140"/>
      <c r="E62" s="140"/>
      <c r="F62" s="140"/>
      <c r="G62" s="140"/>
      <c r="H62" s="140"/>
      <c r="I62" s="140"/>
      <c r="J62" s="140"/>
      <c r="K62" s="586"/>
      <c r="L62" s="470"/>
      <c r="M62" s="140"/>
      <c r="N62" s="120"/>
      <c r="O62" s="1"/>
    </row>
    <row r="63" spans="1:15" x14ac:dyDescent="0.25">
      <c r="A63" s="889"/>
      <c r="B63" s="200"/>
      <c r="C63" s="140"/>
      <c r="D63" s="140"/>
      <c r="E63" s="140"/>
      <c r="F63" s="140"/>
      <c r="G63" s="140"/>
      <c r="H63" s="140"/>
      <c r="I63" s="140"/>
      <c r="J63" s="140"/>
      <c r="K63" s="586"/>
      <c r="L63" s="470"/>
      <c r="M63" s="140"/>
      <c r="N63" s="120"/>
      <c r="O63" s="1"/>
    </row>
    <row r="64" spans="1:15" x14ac:dyDescent="0.25">
      <c r="A64" s="889"/>
      <c r="B64" s="200"/>
      <c r="C64" s="140"/>
      <c r="D64" s="140"/>
      <c r="E64" s="140"/>
      <c r="F64" s="140"/>
      <c r="G64" s="140"/>
      <c r="H64" s="140"/>
      <c r="I64" s="140"/>
      <c r="J64" s="140"/>
      <c r="K64" s="586"/>
      <c r="L64" s="470"/>
      <c r="M64" s="140"/>
      <c r="N64" s="120"/>
      <c r="O64" s="1"/>
    </row>
    <row r="65" spans="1:15" x14ac:dyDescent="0.25">
      <c r="A65" s="114"/>
      <c r="B65" s="93"/>
      <c r="C65" s="93"/>
      <c r="D65" s="93"/>
      <c r="E65" s="93"/>
      <c r="F65" s="93"/>
      <c r="G65" s="93"/>
      <c r="H65" s="93"/>
      <c r="I65" s="93"/>
      <c r="J65" s="93"/>
      <c r="K65" s="93"/>
      <c r="L65" s="93"/>
      <c r="M65" s="93"/>
      <c r="N65" s="26"/>
      <c r="O65" s="1"/>
    </row>
    <row r="66" spans="1:15" ht="18.75" x14ac:dyDescent="0.3">
      <c r="A66" s="206"/>
      <c r="B66" s="215"/>
      <c r="C66" s="215"/>
      <c r="D66" s="215"/>
      <c r="E66" s="215"/>
      <c r="F66" s="215"/>
      <c r="G66" s="215"/>
      <c r="H66" s="215"/>
      <c r="I66" s="215"/>
      <c r="J66" s="215"/>
      <c r="K66" s="215"/>
      <c r="L66" s="215"/>
      <c r="M66" s="215"/>
      <c r="N66" s="26"/>
      <c r="O66" s="1"/>
    </row>
    <row r="67" spans="1:15" x14ac:dyDescent="0.25">
      <c r="A67" s="116"/>
      <c r="B67" s="207"/>
      <c r="C67" s="207"/>
      <c r="D67" s="207"/>
      <c r="E67" s="207"/>
      <c r="F67" s="207"/>
      <c r="G67" s="207"/>
      <c r="H67" s="207"/>
      <c r="I67" s="207"/>
      <c r="J67" s="207"/>
      <c r="K67" s="207"/>
      <c r="L67" s="207"/>
      <c r="M67" s="207"/>
      <c r="N67" s="26"/>
      <c r="O67" s="1"/>
    </row>
    <row r="68" spans="1:15" x14ac:dyDescent="0.25">
      <c r="A68" s="114"/>
      <c r="B68" s="93"/>
      <c r="C68" s="93"/>
      <c r="D68" s="93"/>
      <c r="E68" s="93"/>
      <c r="F68" s="93"/>
      <c r="G68" s="93"/>
      <c r="H68" s="93"/>
      <c r="I68" s="93"/>
      <c r="J68" s="93"/>
      <c r="K68" s="93"/>
      <c r="L68" s="93"/>
      <c r="M68" s="93"/>
      <c r="N68" s="26"/>
      <c r="O68" s="1"/>
    </row>
    <row r="69" spans="1:15" x14ac:dyDescent="0.25">
      <c r="A69" s="114"/>
      <c r="B69" s="93"/>
      <c r="C69" s="93"/>
      <c r="D69" s="93"/>
      <c r="E69" s="93"/>
      <c r="F69" s="93"/>
      <c r="G69" s="93"/>
      <c r="H69" s="93"/>
      <c r="I69" s="93"/>
      <c r="J69" s="93"/>
      <c r="K69" s="93"/>
      <c r="L69" s="93"/>
      <c r="M69" s="93"/>
      <c r="N69" s="26"/>
      <c r="O69" s="1"/>
    </row>
    <row r="70" spans="1:15" x14ac:dyDescent="0.25">
      <c r="A70" s="114"/>
      <c r="B70" s="93"/>
      <c r="C70" s="93"/>
      <c r="D70" s="93"/>
      <c r="E70" s="93"/>
      <c r="F70" s="93"/>
      <c r="G70" s="93"/>
      <c r="H70" s="93"/>
      <c r="I70" s="93"/>
      <c r="J70" s="93"/>
      <c r="K70" s="93"/>
      <c r="L70" s="93"/>
      <c r="M70" s="93"/>
      <c r="N70" s="26"/>
      <c r="O70" s="1"/>
    </row>
    <row r="71" spans="1:15" x14ac:dyDescent="0.25">
      <c r="A71" s="114"/>
      <c r="B71" s="93"/>
      <c r="C71" s="93"/>
      <c r="D71" s="93"/>
      <c r="E71" s="93"/>
      <c r="F71" s="93"/>
      <c r="G71" s="93"/>
      <c r="H71" s="93"/>
      <c r="I71" s="93"/>
      <c r="J71" s="93"/>
      <c r="K71" s="93"/>
      <c r="L71" s="93"/>
      <c r="M71" s="93"/>
      <c r="N71" s="26"/>
      <c r="O71" s="1"/>
    </row>
    <row r="72" spans="1:15" x14ac:dyDescent="0.25">
      <c r="A72" s="114"/>
      <c r="B72" s="93"/>
      <c r="C72" s="93"/>
      <c r="D72" s="93"/>
      <c r="E72" s="93"/>
      <c r="F72" s="93"/>
      <c r="G72" s="93"/>
      <c r="H72" s="93"/>
      <c r="I72" s="93"/>
      <c r="J72" s="93"/>
      <c r="K72" s="93"/>
      <c r="L72" s="93"/>
      <c r="M72" s="93"/>
      <c r="N72" s="26"/>
      <c r="O72" s="1"/>
    </row>
    <row r="73" spans="1:15" x14ac:dyDescent="0.25">
      <c r="A73" s="114"/>
      <c r="B73" s="93"/>
      <c r="C73" s="93"/>
      <c r="D73" s="93"/>
      <c r="E73" s="93"/>
      <c r="F73" s="93"/>
      <c r="G73" s="93"/>
      <c r="H73" s="93"/>
      <c r="I73" s="93"/>
      <c r="J73" s="93"/>
      <c r="K73" s="93"/>
      <c r="L73" s="93"/>
      <c r="M73" s="93"/>
      <c r="N73" s="26"/>
      <c r="O73" s="1"/>
    </row>
    <row r="74" spans="1:15" x14ac:dyDescent="0.25">
      <c r="A74" s="114"/>
      <c r="B74" s="93"/>
      <c r="C74" s="93"/>
      <c r="D74" s="93"/>
      <c r="E74" s="93"/>
      <c r="F74" s="93"/>
      <c r="G74" s="93"/>
      <c r="H74" s="93"/>
      <c r="I74" s="93"/>
      <c r="J74" s="93"/>
      <c r="K74" s="93"/>
      <c r="L74" s="93"/>
      <c r="M74" s="93"/>
      <c r="N74" s="26"/>
      <c r="O74" s="1"/>
    </row>
    <row r="75" spans="1:15" x14ac:dyDescent="0.25">
      <c r="A75" s="114"/>
      <c r="B75" s="93"/>
      <c r="C75" s="93"/>
      <c r="D75" s="93"/>
      <c r="E75" s="93"/>
      <c r="F75" s="93"/>
      <c r="G75" s="93"/>
      <c r="H75" s="93"/>
      <c r="I75" s="93"/>
      <c r="J75" s="93"/>
      <c r="K75" s="93"/>
      <c r="L75" s="93"/>
      <c r="M75" s="93"/>
      <c r="N75" s="26"/>
      <c r="O75" s="1"/>
    </row>
    <row r="76" spans="1:15" x14ac:dyDescent="0.25">
      <c r="A76" s="114"/>
      <c r="B76" s="215"/>
      <c r="C76" s="215"/>
      <c r="D76" s="215"/>
      <c r="E76" s="215"/>
      <c r="F76" s="215"/>
      <c r="G76" s="215"/>
      <c r="H76" s="215"/>
      <c r="I76" s="215"/>
      <c r="J76" s="215"/>
      <c r="K76" s="215"/>
      <c r="L76" s="215"/>
      <c r="M76" s="215"/>
      <c r="N76" s="26"/>
      <c r="O76" s="1"/>
    </row>
    <row r="77" spans="1:15" x14ac:dyDescent="0.25">
      <c r="A77" s="114"/>
      <c r="B77" s="112"/>
      <c r="C77" s="112"/>
      <c r="D77" s="112"/>
      <c r="E77" s="112"/>
      <c r="F77" s="112"/>
      <c r="G77" s="112"/>
      <c r="H77" s="112"/>
      <c r="I77" s="112"/>
      <c r="J77" s="112"/>
      <c r="K77" s="112"/>
      <c r="L77" s="112"/>
      <c r="M77" s="112"/>
      <c r="N77" s="26"/>
      <c r="O77" s="1"/>
    </row>
    <row r="78" spans="1:15" x14ac:dyDescent="0.25">
      <c r="A78" s="114"/>
      <c r="B78" s="112"/>
      <c r="C78" s="112"/>
      <c r="D78" s="112"/>
      <c r="E78" s="112"/>
      <c r="F78" s="112"/>
      <c r="G78" s="112"/>
      <c r="H78" s="112"/>
      <c r="I78" s="112"/>
      <c r="J78" s="112"/>
      <c r="K78" s="112"/>
      <c r="L78" s="112"/>
      <c r="M78" s="112"/>
      <c r="N78" s="26"/>
      <c r="O78" s="1"/>
    </row>
    <row r="79" spans="1:15" x14ac:dyDescent="0.25">
      <c r="A79" s="114"/>
      <c r="B79" s="93"/>
      <c r="C79" s="93"/>
      <c r="D79" s="93"/>
      <c r="E79" s="93"/>
      <c r="F79" s="93"/>
      <c r="G79" s="93"/>
      <c r="H79" s="93"/>
      <c r="I79" s="93"/>
      <c r="J79" s="93"/>
      <c r="K79" s="93"/>
      <c r="L79" s="93"/>
      <c r="M79" s="93"/>
      <c r="N79" s="26"/>
      <c r="O79" s="1"/>
    </row>
    <row r="80" spans="1:15" x14ac:dyDescent="0.25">
      <c r="A80" s="114"/>
      <c r="B80" s="93"/>
      <c r="C80" s="93"/>
      <c r="D80" s="93"/>
      <c r="E80" s="93"/>
      <c r="F80" s="93"/>
      <c r="G80" s="93"/>
      <c r="H80" s="93"/>
      <c r="I80" s="93"/>
      <c r="J80" s="93"/>
      <c r="K80" s="93"/>
      <c r="L80" s="93"/>
      <c r="M80" s="93"/>
      <c r="N80" s="26"/>
      <c r="O80" s="1"/>
    </row>
    <row r="81" spans="1:15" x14ac:dyDescent="0.25">
      <c r="A81" s="114"/>
      <c r="B81" s="93"/>
      <c r="C81" s="93"/>
      <c r="D81" s="93"/>
      <c r="E81" s="93"/>
      <c r="F81" s="93"/>
      <c r="G81" s="93"/>
      <c r="H81" s="93"/>
      <c r="I81" s="93"/>
      <c r="J81" s="93"/>
      <c r="K81" s="93"/>
      <c r="L81" s="93"/>
      <c r="M81" s="93"/>
      <c r="N81" s="26"/>
      <c r="O81" s="1"/>
    </row>
    <row r="82" spans="1:15" x14ac:dyDescent="0.25">
      <c r="A82" s="114"/>
      <c r="B82" s="114"/>
      <c r="C82" s="114"/>
      <c r="D82" s="114"/>
      <c r="E82" s="114"/>
      <c r="F82" s="114"/>
      <c r="G82" s="114"/>
      <c r="H82" s="114"/>
      <c r="I82" s="114"/>
      <c r="J82" s="114"/>
      <c r="K82" s="114"/>
      <c r="L82" s="114"/>
      <c r="M82" s="114"/>
      <c r="N82" s="26"/>
      <c r="O82" s="1"/>
    </row>
    <row r="83" spans="1:15" x14ac:dyDescent="0.25">
      <c r="A83" s="114"/>
      <c r="B83" s="114"/>
      <c r="C83" s="114"/>
      <c r="D83" s="114"/>
      <c r="E83" s="114"/>
      <c r="F83" s="114"/>
      <c r="G83" s="114"/>
      <c r="H83" s="114"/>
      <c r="I83" s="114"/>
      <c r="J83" s="114"/>
      <c r="K83" s="114"/>
      <c r="L83" s="114"/>
      <c r="M83" s="114"/>
      <c r="N83" s="26"/>
      <c r="O83" s="1"/>
    </row>
    <row r="84" spans="1:15" x14ac:dyDescent="0.25">
      <c r="A84" s="114"/>
      <c r="B84" s="114"/>
      <c r="C84" s="114"/>
      <c r="D84" s="114"/>
      <c r="E84" s="114"/>
      <c r="F84" s="114"/>
      <c r="G84" s="114"/>
      <c r="H84" s="114"/>
      <c r="I84" s="114"/>
      <c r="J84" s="114"/>
      <c r="K84" s="114"/>
      <c r="L84" s="114"/>
      <c r="M84" s="114"/>
      <c r="N84" s="26"/>
      <c r="O84" s="1"/>
    </row>
    <row r="85" spans="1:15" x14ac:dyDescent="0.25">
      <c r="A85" s="114"/>
      <c r="B85" s="114"/>
      <c r="C85" s="114"/>
      <c r="D85" s="114"/>
      <c r="E85" s="114"/>
      <c r="F85" s="114"/>
      <c r="G85" s="114"/>
      <c r="H85" s="114"/>
      <c r="I85" s="114"/>
      <c r="J85" s="114"/>
      <c r="K85" s="114"/>
      <c r="L85" s="114"/>
      <c r="M85" s="114"/>
      <c r="N85" s="26"/>
      <c r="O85" s="1"/>
    </row>
    <row r="86" spans="1:15" x14ac:dyDescent="0.25">
      <c r="A86" s="114"/>
      <c r="B86" s="114"/>
      <c r="C86" s="114"/>
      <c r="D86" s="114"/>
      <c r="E86" s="114"/>
      <c r="F86" s="114"/>
      <c r="G86" s="114"/>
      <c r="H86" s="114"/>
      <c r="I86" s="114"/>
      <c r="J86" s="114"/>
      <c r="K86" s="114"/>
      <c r="L86" s="114"/>
      <c r="M86" s="114"/>
      <c r="N86" s="26"/>
      <c r="O86" s="1"/>
    </row>
    <row r="87" spans="1:15" x14ac:dyDescent="0.25">
      <c r="A87" s="114"/>
      <c r="B87" s="114"/>
      <c r="C87" s="114"/>
      <c r="D87" s="114"/>
      <c r="E87" s="114"/>
      <c r="F87" s="114"/>
      <c r="G87" s="114"/>
      <c r="H87" s="114"/>
      <c r="I87" s="114"/>
      <c r="J87" s="114"/>
      <c r="K87" s="114"/>
      <c r="L87" s="114"/>
      <c r="M87" s="114"/>
      <c r="N87" s="26"/>
      <c r="O87" s="1"/>
    </row>
    <row r="88" spans="1:15" x14ac:dyDescent="0.25">
      <c r="A88" s="114"/>
      <c r="B88" s="114"/>
      <c r="C88" s="114"/>
      <c r="D88" s="114"/>
      <c r="E88" s="114"/>
      <c r="F88" s="114"/>
      <c r="G88" s="114"/>
      <c r="H88" s="114"/>
      <c r="I88" s="114"/>
      <c r="J88" s="114"/>
      <c r="K88" s="114"/>
      <c r="L88" s="114"/>
      <c r="M88" s="114"/>
      <c r="N88" s="26"/>
      <c r="O88" s="1"/>
    </row>
    <row r="89" spans="1:15" x14ac:dyDescent="0.25">
      <c r="A89" s="114"/>
      <c r="B89" s="114"/>
      <c r="C89" s="114"/>
      <c r="D89" s="114"/>
      <c r="E89" s="114"/>
      <c r="F89" s="114"/>
      <c r="G89" s="114"/>
      <c r="H89" s="114"/>
      <c r="I89" s="114"/>
      <c r="J89" s="114"/>
      <c r="K89" s="114"/>
      <c r="L89" s="114"/>
      <c r="M89" s="114"/>
      <c r="N89" s="26"/>
      <c r="O89" s="1"/>
    </row>
    <row r="90" spans="1:15" x14ac:dyDescent="0.25">
      <c r="A90" s="114"/>
      <c r="B90" s="93"/>
      <c r="C90" s="93"/>
      <c r="D90" s="93"/>
      <c r="E90" s="93"/>
      <c r="F90" s="93"/>
      <c r="G90" s="93"/>
      <c r="H90" s="93"/>
      <c r="I90" s="93"/>
      <c r="J90" s="93"/>
      <c r="K90" s="93"/>
      <c r="L90" s="93"/>
      <c r="M90" s="93"/>
      <c r="N90" s="26"/>
      <c r="O90" s="1"/>
    </row>
    <row r="91" spans="1:15" x14ac:dyDescent="0.25">
      <c r="A91" s="114"/>
      <c r="B91" s="93"/>
      <c r="C91" s="93"/>
      <c r="D91" s="93"/>
      <c r="E91" s="93"/>
      <c r="F91" s="93"/>
      <c r="G91" s="93"/>
      <c r="H91" s="93"/>
      <c r="I91" s="93"/>
      <c r="J91" s="93"/>
      <c r="K91" s="93"/>
      <c r="L91" s="93"/>
      <c r="M91" s="93"/>
      <c r="N91" s="26"/>
      <c r="O91" s="1"/>
    </row>
    <row r="92" spans="1:15" x14ac:dyDescent="0.25">
      <c r="A92" s="114"/>
      <c r="B92" s="93"/>
      <c r="C92" s="93"/>
      <c r="D92" s="93"/>
      <c r="E92" s="93"/>
      <c r="F92" s="93"/>
      <c r="G92" s="93"/>
      <c r="H92" s="93"/>
      <c r="I92" s="93"/>
      <c r="J92" s="93"/>
      <c r="K92" s="93"/>
      <c r="L92" s="93"/>
      <c r="M92" s="93"/>
      <c r="N92" s="26"/>
      <c r="O92" s="1"/>
    </row>
    <row r="93" spans="1:15" x14ac:dyDescent="0.25">
      <c r="A93" s="114"/>
      <c r="B93" s="93"/>
      <c r="C93" s="93"/>
      <c r="D93" s="93"/>
      <c r="E93" s="93"/>
      <c r="F93" s="93"/>
      <c r="G93" s="93"/>
      <c r="H93" s="93"/>
      <c r="I93" s="93"/>
      <c r="J93" s="93"/>
      <c r="K93" s="93"/>
      <c r="L93" s="93"/>
      <c r="M93" s="93"/>
      <c r="N93" s="26"/>
      <c r="O93" s="1"/>
    </row>
    <row r="94" spans="1:15" x14ac:dyDescent="0.25">
      <c r="A94" s="114"/>
      <c r="B94" s="93"/>
      <c r="C94" s="93"/>
      <c r="D94" s="93"/>
      <c r="E94" s="93"/>
      <c r="F94" s="93"/>
      <c r="G94" s="93"/>
      <c r="H94" s="93"/>
      <c r="I94" s="93"/>
      <c r="J94" s="93"/>
      <c r="K94" s="93"/>
      <c r="L94" s="93"/>
      <c r="M94" s="93"/>
      <c r="N94" s="26"/>
      <c r="O94" s="1"/>
    </row>
    <row r="95" spans="1:15" x14ac:dyDescent="0.25">
      <c r="A95" s="114"/>
      <c r="B95" s="93"/>
      <c r="C95" s="93"/>
      <c r="D95" s="93"/>
      <c r="E95" s="93"/>
      <c r="F95" s="93"/>
      <c r="G95" s="93"/>
      <c r="H95" s="93"/>
      <c r="I95" s="93"/>
      <c r="J95" s="93"/>
      <c r="K95" s="93"/>
      <c r="L95" s="93"/>
      <c r="M95" s="93"/>
      <c r="N95" s="26"/>
      <c r="O95" s="1"/>
    </row>
    <row r="96" spans="1:15" x14ac:dyDescent="0.25">
      <c r="A96" s="114"/>
      <c r="B96" s="93"/>
      <c r="C96" s="93"/>
      <c r="D96" s="93"/>
      <c r="E96" s="93"/>
      <c r="F96" s="93"/>
      <c r="G96" s="93"/>
      <c r="H96" s="93"/>
      <c r="I96" s="93"/>
      <c r="J96" s="93"/>
      <c r="K96" s="93"/>
      <c r="L96" s="93"/>
      <c r="M96" s="93"/>
      <c r="N96" s="26"/>
      <c r="O96" s="1"/>
    </row>
    <row r="97" spans="1:15" x14ac:dyDescent="0.25">
      <c r="A97" s="114"/>
      <c r="B97" s="93"/>
      <c r="C97" s="93"/>
      <c r="D97" s="93"/>
      <c r="E97" s="93"/>
      <c r="F97" s="93"/>
      <c r="G97" s="93"/>
      <c r="H97" s="93"/>
      <c r="I97" s="93"/>
      <c r="J97" s="93"/>
      <c r="K97" s="93"/>
      <c r="L97" s="93"/>
      <c r="M97" s="93"/>
      <c r="N97" s="26"/>
      <c r="O97" s="1"/>
    </row>
    <row r="98" spans="1:15" x14ac:dyDescent="0.25">
      <c r="A98" s="114"/>
      <c r="B98" s="93"/>
      <c r="C98" s="93"/>
      <c r="D98" s="93"/>
      <c r="E98" s="93"/>
      <c r="F98" s="93"/>
      <c r="G98" s="93"/>
      <c r="H98" s="93"/>
      <c r="I98" s="93"/>
      <c r="J98" s="93"/>
      <c r="K98" s="93"/>
      <c r="L98" s="93"/>
      <c r="M98" s="93"/>
      <c r="N98" s="26"/>
      <c r="O98" s="1"/>
    </row>
    <row r="99" spans="1:15" x14ac:dyDescent="0.25">
      <c r="A99" s="114"/>
      <c r="B99" s="93"/>
      <c r="C99" s="93"/>
      <c r="D99" s="93"/>
      <c r="E99" s="93"/>
      <c r="F99" s="93"/>
      <c r="G99" s="93"/>
      <c r="H99" s="93"/>
      <c r="I99" s="93"/>
      <c r="J99" s="93"/>
      <c r="K99" s="93"/>
      <c r="L99" s="93"/>
      <c r="M99" s="93"/>
      <c r="N99" s="26"/>
      <c r="O99" s="1"/>
    </row>
    <row r="100" spans="1:15" x14ac:dyDescent="0.25">
      <c r="A100" s="114"/>
      <c r="B100" s="93"/>
      <c r="C100" s="93"/>
      <c r="D100" s="93"/>
      <c r="E100" s="93"/>
      <c r="F100" s="93"/>
      <c r="G100" s="93"/>
      <c r="H100" s="93"/>
      <c r="I100" s="93"/>
      <c r="J100" s="93"/>
      <c r="K100" s="93"/>
      <c r="L100" s="93"/>
      <c r="M100" s="93"/>
      <c r="N100" s="26"/>
      <c r="O100" s="1"/>
    </row>
    <row r="101" spans="1:15" x14ac:dyDescent="0.25">
      <c r="A101" s="114"/>
      <c r="B101" s="93"/>
      <c r="C101" s="93"/>
      <c r="D101" s="93"/>
      <c r="E101" s="93"/>
      <c r="F101" s="93"/>
      <c r="G101" s="93"/>
      <c r="H101" s="93"/>
      <c r="I101" s="93"/>
      <c r="J101" s="93"/>
      <c r="K101" s="93"/>
      <c r="L101" s="93"/>
      <c r="M101" s="93"/>
      <c r="N101" s="26"/>
      <c r="O101" s="1"/>
    </row>
    <row r="102" spans="1:15" x14ac:dyDescent="0.25">
      <c r="A102" s="114"/>
      <c r="B102" s="93"/>
      <c r="C102" s="93"/>
      <c r="D102" s="93"/>
      <c r="E102" s="93"/>
      <c r="F102" s="93"/>
      <c r="G102" s="93"/>
      <c r="H102" s="93"/>
      <c r="I102" s="93"/>
      <c r="J102" s="93"/>
      <c r="K102" s="93"/>
      <c r="L102" s="93"/>
      <c r="M102" s="93"/>
      <c r="N102" s="26"/>
      <c r="O102" s="1"/>
    </row>
    <row r="103" spans="1:15" x14ac:dyDescent="0.25">
      <c r="A103" s="114"/>
      <c r="B103" s="93"/>
      <c r="C103" s="93"/>
      <c r="D103" s="93"/>
      <c r="E103" s="93"/>
      <c r="F103" s="93"/>
      <c r="G103" s="93"/>
      <c r="H103" s="93"/>
      <c r="I103" s="93"/>
      <c r="J103" s="93"/>
      <c r="K103" s="93"/>
      <c r="L103" s="93"/>
      <c r="M103" s="93"/>
      <c r="N103" s="26"/>
      <c r="O103" s="1"/>
    </row>
    <row r="104" spans="1:15" x14ac:dyDescent="0.25">
      <c r="A104" s="114"/>
      <c r="B104" s="93"/>
      <c r="C104" s="93"/>
      <c r="D104" s="93"/>
      <c r="E104" s="93"/>
      <c r="F104" s="93"/>
      <c r="G104" s="93"/>
      <c r="H104" s="93"/>
      <c r="I104" s="93"/>
      <c r="J104" s="93"/>
      <c r="K104" s="93"/>
      <c r="L104" s="93"/>
      <c r="M104" s="93"/>
      <c r="N104" s="26"/>
      <c r="O104" s="1"/>
    </row>
    <row r="105" spans="1:15" x14ac:dyDescent="0.25">
      <c r="A105" s="114"/>
      <c r="B105" s="93"/>
      <c r="C105" s="93"/>
      <c r="D105" s="93"/>
      <c r="E105" s="93"/>
      <c r="F105" s="93"/>
      <c r="G105" s="93"/>
      <c r="H105" s="93"/>
      <c r="I105" s="93"/>
      <c r="J105" s="93"/>
      <c r="K105" s="93"/>
      <c r="L105" s="93"/>
      <c r="M105" s="93"/>
      <c r="N105" s="26"/>
      <c r="O105" s="1"/>
    </row>
    <row r="106" spans="1:15" x14ac:dyDescent="0.25">
      <c r="A106" s="114"/>
      <c r="B106" s="93"/>
      <c r="C106" s="93"/>
      <c r="D106" s="93"/>
      <c r="E106" s="93"/>
      <c r="F106" s="93"/>
      <c r="G106" s="93"/>
      <c r="H106" s="93"/>
      <c r="I106" s="93"/>
      <c r="J106" s="93"/>
      <c r="K106" s="93"/>
      <c r="L106" s="93"/>
      <c r="M106" s="93"/>
      <c r="N106" s="26"/>
      <c r="O106" s="1"/>
    </row>
    <row r="107" spans="1:15" x14ac:dyDescent="0.25">
      <c r="A107" s="114"/>
      <c r="B107" s="93"/>
      <c r="C107" s="93"/>
      <c r="D107" s="93"/>
      <c r="E107" s="93"/>
      <c r="F107" s="93"/>
      <c r="G107" s="93"/>
      <c r="H107" s="93"/>
      <c r="I107" s="93"/>
      <c r="J107" s="93"/>
      <c r="K107" s="93"/>
      <c r="L107" s="93"/>
      <c r="M107" s="93"/>
      <c r="N107" s="26"/>
      <c r="O107" s="1"/>
    </row>
    <row r="108" spans="1:15" x14ac:dyDescent="0.25">
      <c r="A108" s="114"/>
      <c r="B108" s="93"/>
      <c r="C108" s="93"/>
      <c r="D108" s="93"/>
      <c r="E108" s="93"/>
      <c r="F108" s="93"/>
      <c r="G108" s="93"/>
      <c r="H108" s="93"/>
      <c r="I108" s="93"/>
      <c r="J108" s="93"/>
      <c r="K108" s="93"/>
      <c r="L108" s="93"/>
      <c r="M108" s="93"/>
      <c r="N108" s="26"/>
      <c r="O108" s="1"/>
    </row>
    <row r="109" spans="1:15" x14ac:dyDescent="0.25">
      <c r="A109" s="114"/>
      <c r="B109" s="93"/>
      <c r="C109" s="93"/>
      <c r="D109" s="93"/>
      <c r="E109" s="93"/>
      <c r="F109" s="93"/>
      <c r="G109" s="93"/>
      <c r="H109" s="93"/>
      <c r="I109" s="93"/>
      <c r="J109" s="93"/>
      <c r="K109" s="93"/>
      <c r="L109" s="93"/>
      <c r="M109" s="93"/>
      <c r="N109" s="26"/>
      <c r="O109" s="1"/>
    </row>
    <row r="110" spans="1:15" x14ac:dyDescent="0.25">
      <c r="A110" s="114"/>
      <c r="B110" s="93"/>
      <c r="C110" s="93"/>
      <c r="D110" s="93"/>
      <c r="E110" s="93"/>
      <c r="F110" s="93"/>
      <c r="G110" s="93"/>
      <c r="H110" s="93"/>
      <c r="I110" s="93"/>
      <c r="J110" s="93"/>
      <c r="K110" s="93"/>
      <c r="L110" s="93"/>
      <c r="M110" s="93"/>
      <c r="N110" s="26"/>
      <c r="O110" s="1"/>
    </row>
    <row r="111" spans="1:15" x14ac:dyDescent="0.25">
      <c r="A111" s="114"/>
      <c r="B111" s="93"/>
      <c r="C111" s="93"/>
      <c r="D111" s="93"/>
      <c r="E111" s="93"/>
      <c r="F111" s="93"/>
      <c r="G111" s="93"/>
      <c r="H111" s="93"/>
      <c r="I111" s="93"/>
      <c r="J111" s="93"/>
      <c r="K111" s="93"/>
      <c r="L111" s="93"/>
      <c r="M111" s="93"/>
      <c r="N111" s="26"/>
      <c r="O111" s="1"/>
    </row>
    <row r="112" spans="1:15" x14ac:dyDescent="0.25">
      <c r="A112" s="114"/>
      <c r="B112" s="93"/>
      <c r="C112" s="93"/>
      <c r="D112" s="93"/>
      <c r="E112" s="93"/>
      <c r="F112" s="93"/>
      <c r="G112" s="93"/>
      <c r="H112" s="93"/>
      <c r="I112" s="93"/>
      <c r="J112" s="93"/>
      <c r="K112" s="93"/>
      <c r="L112" s="93"/>
      <c r="M112" s="93"/>
      <c r="N112" s="26"/>
      <c r="O112" s="1"/>
    </row>
    <row r="113" spans="1:15" x14ac:dyDescent="0.25">
      <c r="A113" s="114"/>
      <c r="B113" s="93"/>
      <c r="C113" s="93"/>
      <c r="D113" s="93"/>
      <c r="E113" s="93"/>
      <c r="F113" s="93"/>
      <c r="G113" s="93"/>
      <c r="H113" s="93"/>
      <c r="I113" s="93"/>
      <c r="J113" s="93"/>
      <c r="K113" s="93"/>
      <c r="L113" s="93"/>
      <c r="M113" s="93"/>
      <c r="N113" s="26"/>
      <c r="O113" s="1"/>
    </row>
    <row r="114" spans="1:15" x14ac:dyDescent="0.25">
      <c r="A114" s="114"/>
      <c r="B114" s="93"/>
      <c r="C114" s="93"/>
      <c r="D114" s="93"/>
      <c r="E114" s="93"/>
      <c r="F114" s="93"/>
      <c r="G114" s="93"/>
      <c r="H114" s="93"/>
      <c r="I114" s="93"/>
      <c r="J114" s="93"/>
      <c r="K114" s="93"/>
      <c r="L114" s="93"/>
      <c r="M114" s="93"/>
      <c r="N114" s="26"/>
      <c r="O114" s="1"/>
    </row>
    <row r="115" spans="1:15" x14ac:dyDescent="0.25">
      <c r="A115" s="114"/>
      <c r="B115" s="93"/>
      <c r="C115" s="93"/>
      <c r="D115" s="93"/>
      <c r="E115" s="93"/>
      <c r="F115" s="93"/>
      <c r="G115" s="93"/>
      <c r="H115" s="93"/>
      <c r="I115" s="93"/>
      <c r="J115" s="93"/>
      <c r="K115" s="93"/>
      <c r="L115" s="93"/>
      <c r="M115" s="93"/>
      <c r="N115" s="26"/>
      <c r="O115" s="1"/>
    </row>
    <row r="116" spans="1:15" x14ac:dyDescent="0.25">
      <c r="A116" s="114"/>
      <c r="B116" s="93"/>
      <c r="C116" s="93"/>
      <c r="D116" s="93"/>
      <c r="E116" s="93"/>
      <c r="F116" s="93"/>
      <c r="G116" s="93"/>
      <c r="H116" s="93"/>
      <c r="I116" s="93"/>
      <c r="J116" s="93"/>
      <c r="K116" s="93"/>
      <c r="L116" s="93"/>
      <c r="M116" s="93"/>
      <c r="N116" s="26"/>
      <c r="O116" s="1"/>
    </row>
    <row r="117" spans="1:15" x14ac:dyDescent="0.25">
      <c r="A117" s="114"/>
      <c r="B117" s="93"/>
      <c r="C117" s="93"/>
      <c r="D117" s="93"/>
      <c r="E117" s="93"/>
      <c r="F117" s="93"/>
      <c r="G117" s="93"/>
      <c r="H117" s="93"/>
      <c r="I117" s="93"/>
      <c r="J117" s="93"/>
      <c r="K117" s="93"/>
      <c r="L117" s="93"/>
      <c r="M117" s="93"/>
      <c r="N117" s="26"/>
      <c r="O117" s="1"/>
    </row>
    <row r="118" spans="1:15" x14ac:dyDescent="0.25">
      <c r="A118" s="114"/>
      <c r="B118" s="93"/>
      <c r="C118" s="93"/>
      <c r="D118" s="93"/>
      <c r="E118" s="93"/>
      <c r="F118" s="93"/>
      <c r="G118" s="93"/>
      <c r="H118" s="93"/>
      <c r="I118" s="93"/>
      <c r="J118" s="93"/>
      <c r="K118" s="93"/>
      <c r="L118" s="93"/>
      <c r="M118" s="93"/>
      <c r="N118" s="26"/>
      <c r="O118" s="1"/>
    </row>
    <row r="119" spans="1:15" x14ac:dyDescent="0.25">
      <c r="A119" s="114"/>
      <c r="B119" s="93"/>
      <c r="C119" s="93"/>
      <c r="D119" s="93"/>
      <c r="E119" s="93"/>
      <c r="F119" s="93"/>
      <c r="G119" s="93"/>
      <c r="H119" s="93"/>
      <c r="I119" s="93"/>
      <c r="J119" s="93"/>
      <c r="K119" s="93"/>
      <c r="L119" s="93"/>
      <c r="M119" s="93"/>
      <c r="N119" s="26"/>
      <c r="O119" s="1"/>
    </row>
    <row r="120" spans="1:15" x14ac:dyDescent="0.25">
      <c r="A120" s="114"/>
      <c r="B120" s="93"/>
      <c r="C120" s="93"/>
      <c r="D120" s="93"/>
      <c r="E120" s="93"/>
      <c r="F120" s="93"/>
      <c r="G120" s="93"/>
      <c r="H120" s="93"/>
      <c r="I120" s="93"/>
      <c r="J120" s="93"/>
      <c r="K120" s="93"/>
      <c r="L120" s="93"/>
      <c r="M120" s="93"/>
      <c r="N120" s="26"/>
      <c r="O120" s="1"/>
    </row>
    <row r="121" spans="1:15" x14ac:dyDescent="0.25">
      <c r="A121" s="114"/>
      <c r="B121" s="93"/>
      <c r="C121" s="93"/>
      <c r="D121" s="93"/>
      <c r="E121" s="93"/>
      <c r="F121" s="93"/>
      <c r="G121" s="93"/>
      <c r="H121" s="93"/>
      <c r="I121" s="93"/>
      <c r="J121" s="93"/>
      <c r="K121" s="93"/>
      <c r="L121" s="93"/>
      <c r="M121" s="93"/>
      <c r="N121" s="26"/>
      <c r="O121" s="1"/>
    </row>
    <row r="122" spans="1:15" x14ac:dyDescent="0.25">
      <c r="A122" s="114"/>
      <c r="B122" s="93"/>
      <c r="C122" s="93"/>
      <c r="D122" s="93"/>
      <c r="E122" s="93"/>
      <c r="F122" s="93"/>
      <c r="G122" s="93"/>
      <c r="H122" s="93"/>
      <c r="I122" s="93"/>
      <c r="J122" s="93"/>
      <c r="K122" s="93"/>
      <c r="L122" s="93"/>
      <c r="M122" s="93"/>
      <c r="N122" s="26"/>
      <c r="O122" s="1"/>
    </row>
    <row r="123" spans="1:15" x14ac:dyDescent="0.25">
      <c r="A123" s="114"/>
      <c r="B123" s="93"/>
      <c r="C123" s="93"/>
      <c r="D123" s="93"/>
      <c r="E123" s="93"/>
      <c r="F123" s="93"/>
      <c r="G123" s="93"/>
      <c r="H123" s="93"/>
      <c r="I123" s="93"/>
      <c r="J123" s="93"/>
      <c r="K123" s="93"/>
      <c r="L123" s="93"/>
      <c r="M123" s="93"/>
      <c r="N123" s="26"/>
      <c r="O123" s="1"/>
    </row>
    <row r="124" spans="1:15" x14ac:dyDescent="0.25">
      <c r="A124" s="114"/>
      <c r="B124" s="93"/>
      <c r="C124" s="93"/>
      <c r="D124" s="93"/>
      <c r="E124" s="93"/>
      <c r="F124" s="93"/>
      <c r="G124" s="93"/>
      <c r="H124" s="93"/>
      <c r="I124" s="93"/>
      <c r="J124" s="93"/>
      <c r="K124" s="93"/>
      <c r="L124" s="93"/>
      <c r="M124" s="93"/>
      <c r="N124" s="26"/>
      <c r="O124" s="1"/>
    </row>
    <row r="125" spans="1:15" x14ac:dyDescent="0.25">
      <c r="A125" s="114"/>
      <c r="B125" s="93"/>
      <c r="C125" s="93"/>
      <c r="D125" s="93"/>
      <c r="E125" s="93"/>
      <c r="F125" s="93"/>
      <c r="G125" s="93"/>
      <c r="H125" s="93"/>
      <c r="I125" s="93"/>
      <c r="J125" s="93"/>
      <c r="K125" s="93"/>
      <c r="L125" s="93"/>
      <c r="M125" s="93"/>
      <c r="N125" s="26"/>
      <c r="O125" s="1"/>
    </row>
    <row r="126" spans="1:15" x14ac:dyDescent="0.25">
      <c r="A126" s="114"/>
      <c r="B126" s="93"/>
      <c r="C126" s="93"/>
      <c r="D126" s="93"/>
      <c r="E126" s="93"/>
      <c r="F126" s="93"/>
      <c r="G126" s="93"/>
      <c r="H126" s="93"/>
      <c r="I126" s="93"/>
      <c r="J126" s="93"/>
      <c r="K126" s="93"/>
      <c r="L126" s="93"/>
      <c r="M126" s="93"/>
      <c r="N126" s="26"/>
      <c r="O126" s="1"/>
    </row>
    <row r="127" spans="1:15" x14ac:dyDescent="0.25">
      <c r="A127" s="114"/>
      <c r="B127" s="93"/>
      <c r="C127" s="93"/>
      <c r="D127" s="93"/>
      <c r="E127" s="93"/>
      <c r="F127" s="93"/>
      <c r="G127" s="93"/>
      <c r="H127" s="93"/>
      <c r="I127" s="93"/>
      <c r="J127" s="93"/>
      <c r="K127" s="93"/>
      <c r="L127" s="93"/>
      <c r="M127" s="93"/>
      <c r="N127" s="26"/>
      <c r="O127" s="1"/>
    </row>
    <row r="128" spans="1:15" x14ac:dyDescent="0.25">
      <c r="A128" s="114"/>
      <c r="B128" s="93"/>
      <c r="C128" s="93"/>
      <c r="D128" s="93"/>
      <c r="E128" s="93"/>
      <c r="F128" s="93"/>
      <c r="G128" s="93"/>
      <c r="H128" s="93"/>
      <c r="I128" s="93"/>
      <c r="J128" s="93"/>
      <c r="K128" s="93"/>
      <c r="L128" s="93"/>
      <c r="M128" s="93"/>
      <c r="N128" s="26"/>
      <c r="O128" s="1"/>
    </row>
    <row r="129" spans="2:15" x14ac:dyDescent="0.25">
      <c r="B129" s="1"/>
      <c r="C129" s="1"/>
      <c r="D129" s="1"/>
      <c r="E129" s="1"/>
      <c r="F129" s="1"/>
      <c r="G129" s="1"/>
      <c r="H129" s="1"/>
      <c r="I129" s="1"/>
      <c r="J129" s="1"/>
      <c r="K129" s="1"/>
      <c r="L129" s="1"/>
      <c r="M129" s="1"/>
      <c r="N129" s="26"/>
      <c r="O129" s="1"/>
    </row>
    <row r="130" spans="2:15" x14ac:dyDescent="0.25">
      <c r="B130" s="1"/>
      <c r="C130" s="1"/>
      <c r="D130" s="1"/>
      <c r="E130" s="1"/>
      <c r="F130" s="1"/>
      <c r="G130" s="1"/>
      <c r="H130" s="1"/>
      <c r="I130" s="1"/>
      <c r="J130" s="1"/>
      <c r="K130" s="1"/>
      <c r="L130" s="1"/>
      <c r="M130" s="1"/>
      <c r="N130" s="26"/>
      <c r="O130" s="1"/>
    </row>
    <row r="131" spans="2:15" x14ac:dyDescent="0.25">
      <c r="B131" s="1"/>
      <c r="C131" s="1"/>
      <c r="D131" s="1"/>
      <c r="E131" s="1"/>
      <c r="F131" s="1"/>
      <c r="G131" s="1"/>
      <c r="H131" s="1"/>
      <c r="I131" s="1"/>
      <c r="J131" s="1"/>
      <c r="K131" s="1"/>
      <c r="L131" s="1"/>
      <c r="M131" s="1"/>
      <c r="N131" s="26"/>
      <c r="O131" s="1"/>
    </row>
    <row r="132" spans="2:15" x14ac:dyDescent="0.25">
      <c r="B132" s="1"/>
      <c r="C132" s="1"/>
      <c r="D132" s="1"/>
      <c r="E132" s="1"/>
      <c r="F132" s="1"/>
      <c r="G132" s="1"/>
      <c r="H132" s="1"/>
      <c r="I132" s="1"/>
      <c r="J132" s="1"/>
      <c r="K132" s="1"/>
      <c r="L132" s="1"/>
      <c r="M132" s="1"/>
      <c r="N132" s="26"/>
      <c r="O132" s="1"/>
    </row>
    <row r="133" spans="2:15" x14ac:dyDescent="0.25">
      <c r="B133" s="1"/>
      <c r="C133" s="1"/>
      <c r="D133" s="1"/>
      <c r="E133" s="1"/>
      <c r="F133" s="1"/>
      <c r="G133" s="1"/>
      <c r="H133" s="1"/>
      <c r="I133" s="1"/>
      <c r="J133" s="1"/>
      <c r="K133" s="1"/>
      <c r="L133" s="1"/>
      <c r="M133" s="1"/>
      <c r="N133" s="26"/>
      <c r="O133" s="1"/>
    </row>
    <row r="134" spans="2:15" x14ac:dyDescent="0.25">
      <c r="B134" s="1"/>
      <c r="C134" s="1"/>
      <c r="D134" s="1"/>
      <c r="E134" s="1"/>
      <c r="F134" s="1"/>
      <c r="G134" s="1"/>
      <c r="H134" s="1"/>
      <c r="I134" s="1"/>
      <c r="J134" s="1"/>
      <c r="K134" s="1"/>
      <c r="L134" s="1"/>
      <c r="M134" s="1"/>
      <c r="N134" s="26"/>
      <c r="O134" s="1"/>
    </row>
    <row r="135" spans="2:15" x14ac:dyDescent="0.25">
      <c r="B135" s="1"/>
      <c r="C135" s="1"/>
      <c r="D135" s="1"/>
      <c r="E135" s="1"/>
      <c r="F135" s="1"/>
      <c r="G135" s="1"/>
      <c r="H135" s="1"/>
      <c r="I135" s="1"/>
      <c r="J135" s="1"/>
      <c r="K135" s="1"/>
      <c r="L135" s="1"/>
      <c r="M135" s="1"/>
      <c r="N135" s="26"/>
      <c r="O135" s="1"/>
    </row>
    <row r="136" spans="2:15" x14ac:dyDescent="0.25">
      <c r="B136" s="1"/>
      <c r="C136" s="1"/>
      <c r="D136" s="1"/>
      <c r="E136" s="1"/>
      <c r="F136" s="1"/>
      <c r="G136" s="1"/>
      <c r="H136" s="1"/>
      <c r="I136" s="1"/>
      <c r="J136" s="1"/>
      <c r="K136" s="1"/>
      <c r="L136" s="1"/>
      <c r="M136" s="1"/>
      <c r="N136" s="26"/>
      <c r="O136" s="1"/>
    </row>
    <row r="137" spans="2:15" x14ac:dyDescent="0.25">
      <c r="B137" s="1"/>
      <c r="C137" s="1"/>
      <c r="D137" s="1"/>
      <c r="E137" s="1"/>
      <c r="F137" s="1"/>
      <c r="G137" s="1"/>
      <c r="H137" s="1"/>
      <c r="I137" s="1"/>
      <c r="J137" s="1"/>
      <c r="K137" s="1"/>
      <c r="L137" s="1"/>
      <c r="M137" s="1"/>
      <c r="N137" s="26"/>
      <c r="O137" s="1"/>
    </row>
    <row r="138" spans="2:15" x14ac:dyDescent="0.25">
      <c r="B138" s="1"/>
      <c r="C138" s="1"/>
      <c r="D138" s="1"/>
      <c r="E138" s="1"/>
      <c r="F138" s="1"/>
      <c r="G138" s="1"/>
      <c r="H138" s="1"/>
      <c r="I138" s="1"/>
      <c r="J138" s="1"/>
      <c r="K138" s="1"/>
      <c r="L138" s="1"/>
      <c r="M138" s="1"/>
      <c r="N138" s="26"/>
      <c r="O138" s="1"/>
    </row>
    <row r="139" spans="2:15" x14ac:dyDescent="0.25">
      <c r="B139" s="1"/>
      <c r="C139" s="1"/>
      <c r="D139" s="1"/>
      <c r="E139" s="1"/>
      <c r="F139" s="1"/>
      <c r="G139" s="1"/>
      <c r="H139" s="1"/>
      <c r="I139" s="1"/>
      <c r="J139" s="1"/>
      <c r="K139" s="1"/>
      <c r="L139" s="1"/>
      <c r="M139" s="1"/>
      <c r="N139" s="26"/>
      <c r="O139" s="1"/>
    </row>
    <row r="140" spans="2:15" x14ac:dyDescent="0.25">
      <c r="B140" s="1"/>
      <c r="C140" s="1"/>
      <c r="D140" s="1"/>
      <c r="E140" s="1"/>
      <c r="F140" s="1"/>
      <c r="G140" s="1"/>
      <c r="H140" s="1"/>
      <c r="I140" s="1"/>
      <c r="J140" s="1"/>
      <c r="K140" s="1"/>
      <c r="L140" s="1"/>
      <c r="M140" s="1"/>
      <c r="N140" s="26"/>
      <c r="O140" s="1"/>
    </row>
    <row r="141" spans="2:15" x14ac:dyDescent="0.25">
      <c r="B141" s="1"/>
      <c r="C141" s="1"/>
      <c r="D141" s="1"/>
      <c r="E141" s="1"/>
      <c r="F141" s="1"/>
      <c r="G141" s="1"/>
      <c r="H141" s="1"/>
      <c r="I141" s="1"/>
      <c r="J141" s="1"/>
      <c r="K141" s="1"/>
      <c r="L141" s="1"/>
      <c r="M141" s="1"/>
      <c r="N141" s="26"/>
      <c r="O141" s="1"/>
    </row>
    <row r="142" spans="2:15" x14ac:dyDescent="0.25">
      <c r="B142" s="1"/>
      <c r="C142" s="1"/>
      <c r="D142" s="1"/>
      <c r="E142" s="1"/>
      <c r="F142" s="1"/>
      <c r="G142" s="1"/>
      <c r="H142" s="1"/>
      <c r="I142" s="1"/>
      <c r="J142" s="1"/>
      <c r="K142" s="1"/>
      <c r="L142" s="1"/>
      <c r="M142" s="1"/>
      <c r="N142" s="26"/>
      <c r="O142" s="1"/>
    </row>
    <row r="143" spans="2:15" x14ac:dyDescent="0.25">
      <c r="B143" s="1"/>
      <c r="C143" s="1"/>
      <c r="D143" s="1"/>
      <c r="E143" s="1"/>
      <c r="F143" s="1"/>
      <c r="G143" s="1"/>
      <c r="H143" s="1"/>
      <c r="I143" s="1"/>
      <c r="J143" s="1"/>
      <c r="K143" s="1"/>
      <c r="L143" s="1"/>
      <c r="M143" s="1"/>
      <c r="N143" s="26"/>
      <c r="O143" s="1"/>
    </row>
    <row r="144" spans="2:15" x14ac:dyDescent="0.25">
      <c r="B144" s="1"/>
      <c r="C144" s="1"/>
      <c r="D144" s="1"/>
      <c r="E144" s="1"/>
      <c r="F144" s="1"/>
      <c r="G144" s="1"/>
      <c r="H144" s="1"/>
      <c r="I144" s="1"/>
      <c r="J144" s="1"/>
      <c r="K144" s="1"/>
      <c r="L144" s="1"/>
      <c r="M144" s="1"/>
      <c r="N144" s="26"/>
      <c r="O144" s="1"/>
    </row>
    <row r="145" spans="2:15" x14ac:dyDescent="0.25">
      <c r="B145" s="1"/>
      <c r="C145" s="1"/>
      <c r="D145" s="1"/>
      <c r="E145" s="1"/>
      <c r="F145" s="1"/>
      <c r="G145" s="1"/>
      <c r="H145" s="1"/>
      <c r="I145" s="1"/>
      <c r="J145" s="1"/>
      <c r="K145" s="1"/>
      <c r="L145" s="1"/>
      <c r="M145" s="1"/>
      <c r="N145" s="26"/>
      <c r="O145" s="1"/>
    </row>
    <row r="146" spans="2:15" x14ac:dyDescent="0.25">
      <c r="B146" s="1"/>
      <c r="C146" s="1"/>
      <c r="D146" s="1"/>
      <c r="E146" s="1"/>
      <c r="F146" s="1"/>
      <c r="G146" s="1"/>
      <c r="H146" s="1"/>
      <c r="I146" s="1"/>
      <c r="J146" s="1"/>
      <c r="K146" s="1"/>
      <c r="L146" s="1"/>
      <c r="M146" s="1"/>
      <c r="N146" s="26"/>
      <c r="O146" s="1"/>
    </row>
    <row r="147" spans="2:15" x14ac:dyDescent="0.25">
      <c r="B147" s="1"/>
      <c r="C147" s="1"/>
      <c r="D147" s="1"/>
      <c r="E147" s="1"/>
      <c r="F147" s="1"/>
      <c r="G147" s="1"/>
      <c r="H147" s="1"/>
      <c r="I147" s="1"/>
      <c r="J147" s="1"/>
      <c r="K147" s="1"/>
      <c r="L147" s="1"/>
      <c r="M147" s="1"/>
      <c r="N147" s="26"/>
      <c r="O147" s="1"/>
    </row>
    <row r="148" spans="2:15" x14ac:dyDescent="0.25">
      <c r="B148" s="1"/>
      <c r="C148" s="1"/>
      <c r="D148" s="1"/>
      <c r="E148" s="1"/>
      <c r="F148" s="1"/>
      <c r="G148" s="1"/>
      <c r="H148" s="1"/>
      <c r="I148" s="1"/>
      <c r="J148" s="1"/>
      <c r="K148" s="1"/>
      <c r="L148" s="1"/>
      <c r="M148" s="1"/>
      <c r="N148" s="26"/>
      <c r="O148" s="1"/>
    </row>
    <row r="149" spans="2:15" x14ac:dyDescent="0.25">
      <c r="B149" s="1"/>
      <c r="C149" s="1"/>
      <c r="D149" s="1"/>
      <c r="E149" s="1"/>
      <c r="F149" s="1"/>
      <c r="G149" s="1"/>
      <c r="H149" s="1"/>
      <c r="I149" s="1"/>
      <c r="J149" s="1"/>
      <c r="K149" s="1"/>
      <c r="L149" s="1"/>
      <c r="M149" s="1"/>
      <c r="N149" s="26"/>
      <c r="O149" s="1"/>
    </row>
    <row r="150" spans="2:15" x14ac:dyDescent="0.25">
      <c r="B150" s="1"/>
      <c r="C150" s="1"/>
      <c r="D150" s="1"/>
      <c r="E150" s="1"/>
      <c r="F150" s="1"/>
      <c r="G150" s="1"/>
      <c r="H150" s="1"/>
      <c r="I150" s="1"/>
      <c r="J150" s="1"/>
      <c r="K150" s="1"/>
      <c r="L150" s="1"/>
      <c r="M150" s="1"/>
      <c r="N150" s="26"/>
      <c r="O150" s="1"/>
    </row>
    <row r="151" spans="2:15" x14ac:dyDescent="0.25">
      <c r="B151" s="1"/>
      <c r="C151" s="1"/>
      <c r="D151" s="1"/>
      <c r="E151" s="1"/>
      <c r="F151" s="1"/>
      <c r="G151" s="1"/>
      <c r="H151" s="1"/>
      <c r="I151" s="1"/>
      <c r="J151" s="1"/>
      <c r="K151" s="1"/>
      <c r="L151" s="1"/>
      <c r="M151" s="1"/>
      <c r="N151" s="26"/>
      <c r="O151" s="1"/>
    </row>
    <row r="152" spans="2:15" x14ac:dyDescent="0.25">
      <c r="B152" s="1"/>
      <c r="C152" s="1"/>
      <c r="D152" s="1"/>
      <c r="E152" s="1"/>
      <c r="F152" s="1"/>
      <c r="G152" s="1"/>
      <c r="H152" s="1"/>
      <c r="I152" s="1"/>
      <c r="J152" s="1"/>
      <c r="K152" s="1"/>
      <c r="L152" s="1"/>
      <c r="M152" s="1"/>
      <c r="N152" s="26"/>
      <c r="O152" s="1"/>
    </row>
    <row r="153" spans="2:15" x14ac:dyDescent="0.25">
      <c r="B153" s="1"/>
      <c r="C153" s="1"/>
      <c r="D153" s="1"/>
      <c r="E153" s="1"/>
      <c r="F153" s="1"/>
      <c r="G153" s="1"/>
      <c r="H153" s="1"/>
      <c r="I153" s="1"/>
      <c r="J153" s="1"/>
      <c r="K153" s="1"/>
      <c r="L153" s="1"/>
      <c r="M153" s="1"/>
      <c r="N153" s="26"/>
      <c r="O153" s="1"/>
    </row>
    <row r="154" spans="2:15" x14ac:dyDescent="0.25">
      <c r="B154" s="1"/>
      <c r="C154" s="1"/>
      <c r="D154" s="1"/>
      <c r="E154" s="1"/>
      <c r="F154" s="1"/>
      <c r="G154" s="1"/>
      <c r="H154" s="1"/>
      <c r="I154" s="1"/>
      <c r="J154" s="1"/>
      <c r="K154" s="1"/>
      <c r="L154" s="1"/>
      <c r="M154" s="1"/>
      <c r="N154" s="26"/>
      <c r="O154" s="1"/>
    </row>
    <row r="155" spans="2:15" x14ac:dyDescent="0.25">
      <c r="B155" s="1"/>
      <c r="C155" s="1"/>
      <c r="D155" s="1"/>
      <c r="E155" s="1"/>
      <c r="F155" s="1"/>
      <c r="G155" s="1"/>
      <c r="H155" s="1"/>
      <c r="I155" s="1"/>
      <c r="J155" s="1"/>
      <c r="K155" s="1"/>
      <c r="L155" s="1"/>
      <c r="M155" s="1"/>
      <c r="N155" s="26"/>
      <c r="O155" s="1"/>
    </row>
    <row r="156" spans="2:15" x14ac:dyDescent="0.25">
      <c r="B156" s="1"/>
      <c r="C156" s="1"/>
      <c r="D156" s="1"/>
      <c r="E156" s="1"/>
      <c r="F156" s="1"/>
      <c r="G156" s="1"/>
      <c r="H156" s="1"/>
      <c r="I156" s="1"/>
      <c r="J156" s="1"/>
      <c r="K156" s="1"/>
      <c r="L156" s="1"/>
      <c r="M156" s="1"/>
      <c r="N156" s="26"/>
      <c r="O156" s="1"/>
    </row>
    <row r="157" spans="2:15" x14ac:dyDescent="0.25">
      <c r="B157" s="1"/>
      <c r="C157" s="1"/>
      <c r="D157" s="1"/>
      <c r="E157" s="1"/>
      <c r="F157" s="1"/>
      <c r="G157" s="1"/>
      <c r="H157" s="1"/>
      <c r="I157" s="1"/>
      <c r="J157" s="1"/>
      <c r="K157" s="1"/>
      <c r="L157" s="1"/>
      <c r="M157" s="1"/>
      <c r="N157" s="26"/>
      <c r="O157" s="1"/>
    </row>
    <row r="158" spans="2:15" x14ac:dyDescent="0.25">
      <c r="B158" s="1"/>
      <c r="C158" s="1"/>
      <c r="D158" s="1"/>
      <c r="E158" s="1"/>
      <c r="F158" s="1"/>
      <c r="G158" s="1"/>
      <c r="H158" s="1"/>
      <c r="I158" s="1"/>
      <c r="J158" s="1"/>
      <c r="K158" s="1"/>
      <c r="L158" s="1"/>
      <c r="M158" s="1"/>
      <c r="N158" s="26"/>
      <c r="O158" s="1"/>
    </row>
    <row r="159" spans="2:15" x14ac:dyDescent="0.25">
      <c r="B159" s="1"/>
      <c r="C159" s="1"/>
      <c r="D159" s="1"/>
      <c r="E159" s="1"/>
      <c r="F159" s="1"/>
      <c r="G159" s="1"/>
      <c r="H159" s="1"/>
      <c r="I159" s="1"/>
      <c r="J159" s="1"/>
      <c r="K159" s="1"/>
      <c r="L159" s="1"/>
      <c r="M159" s="1"/>
      <c r="N159" s="26"/>
      <c r="O159" s="1"/>
    </row>
    <row r="160" spans="2:15" x14ac:dyDescent="0.25">
      <c r="B160" s="1"/>
      <c r="C160" s="1"/>
      <c r="D160" s="1"/>
      <c r="E160" s="1"/>
      <c r="F160" s="1"/>
      <c r="G160" s="1"/>
      <c r="H160" s="1"/>
      <c r="I160" s="1"/>
      <c r="J160" s="1"/>
      <c r="K160" s="1"/>
      <c r="L160" s="1"/>
      <c r="M160" s="1"/>
      <c r="N160" s="26"/>
      <c r="O160" s="1"/>
    </row>
    <row r="161" spans="2:15" x14ac:dyDescent="0.25">
      <c r="B161" s="1"/>
      <c r="C161" s="1"/>
      <c r="D161" s="1"/>
      <c r="E161" s="1"/>
      <c r="F161" s="1"/>
      <c r="G161" s="1"/>
      <c r="H161" s="1"/>
      <c r="I161" s="1"/>
      <c r="J161" s="1"/>
      <c r="K161" s="1"/>
      <c r="L161" s="1"/>
      <c r="M161" s="1"/>
      <c r="N161" s="26"/>
      <c r="O161" s="1"/>
    </row>
    <row r="162" spans="2:15" x14ac:dyDescent="0.25">
      <c r="B162" s="1"/>
      <c r="C162" s="1"/>
      <c r="D162" s="1"/>
      <c r="E162" s="1"/>
      <c r="F162" s="1"/>
      <c r="G162" s="1"/>
      <c r="H162" s="1"/>
      <c r="I162" s="1"/>
      <c r="J162" s="1"/>
      <c r="K162" s="1"/>
      <c r="L162" s="1"/>
      <c r="M162" s="1"/>
      <c r="N162" s="26"/>
      <c r="O162" s="1"/>
    </row>
    <row r="163" spans="2:15" x14ac:dyDescent="0.25">
      <c r="B163" s="1"/>
      <c r="C163" s="1"/>
      <c r="D163" s="1"/>
      <c r="E163" s="1"/>
      <c r="F163" s="1"/>
      <c r="G163" s="1"/>
      <c r="H163" s="1"/>
      <c r="I163" s="1"/>
      <c r="J163" s="1"/>
      <c r="K163" s="1"/>
      <c r="L163" s="1"/>
      <c r="M163" s="1"/>
      <c r="N163" s="26"/>
      <c r="O163" s="1"/>
    </row>
    <row r="164" spans="2:15" x14ac:dyDescent="0.25">
      <c r="B164" s="1"/>
      <c r="C164" s="1"/>
      <c r="D164" s="1"/>
      <c r="E164" s="1"/>
      <c r="F164" s="1"/>
      <c r="G164" s="1"/>
      <c r="H164" s="1"/>
      <c r="I164" s="1"/>
      <c r="J164" s="1"/>
      <c r="K164" s="1"/>
      <c r="L164" s="1"/>
      <c r="M164" s="1"/>
      <c r="N164" s="26"/>
      <c r="O164" s="1"/>
    </row>
    <row r="165" spans="2:15" x14ac:dyDescent="0.25">
      <c r="B165" s="1"/>
      <c r="C165" s="1"/>
      <c r="D165" s="1"/>
      <c r="E165" s="1"/>
      <c r="F165" s="1"/>
      <c r="G165" s="1"/>
      <c r="H165" s="1"/>
      <c r="I165" s="1"/>
      <c r="J165" s="1"/>
      <c r="K165" s="1"/>
      <c r="L165" s="1"/>
      <c r="M165" s="1"/>
      <c r="N165" s="26"/>
      <c r="O165" s="1"/>
    </row>
    <row r="166" spans="2:15" x14ac:dyDescent="0.25">
      <c r="B166" s="1"/>
      <c r="C166" s="1"/>
      <c r="D166" s="1"/>
      <c r="E166" s="1"/>
      <c r="F166" s="1"/>
      <c r="G166" s="1"/>
      <c r="H166" s="1"/>
      <c r="I166" s="1"/>
      <c r="J166" s="1"/>
      <c r="K166" s="1"/>
      <c r="L166" s="1"/>
      <c r="M166" s="1"/>
      <c r="N166" s="26"/>
      <c r="O166" s="1"/>
    </row>
    <row r="167" spans="2:15" x14ac:dyDescent="0.25">
      <c r="B167" s="1"/>
      <c r="C167" s="1"/>
      <c r="D167" s="1"/>
      <c r="E167" s="1"/>
      <c r="F167" s="1"/>
      <c r="G167" s="1"/>
      <c r="H167" s="1"/>
      <c r="I167" s="1"/>
      <c r="J167" s="1"/>
      <c r="K167" s="1"/>
      <c r="L167" s="1"/>
      <c r="M167" s="1"/>
      <c r="N167" s="26"/>
      <c r="O167" s="1"/>
    </row>
    <row r="168" spans="2:15" x14ac:dyDescent="0.25">
      <c r="N168" s="19"/>
    </row>
    <row r="169" spans="2:15" x14ac:dyDescent="0.25">
      <c r="N169" s="19"/>
    </row>
    <row r="170" spans="2:15" x14ac:dyDescent="0.25">
      <c r="N170" s="19"/>
    </row>
    <row r="171" spans="2:15" x14ac:dyDescent="0.25">
      <c r="N171" s="19"/>
    </row>
    <row r="172" spans="2:15" x14ac:dyDescent="0.25">
      <c r="N172" s="19"/>
    </row>
    <row r="173" spans="2:15" x14ac:dyDescent="0.25">
      <c r="N173" s="19"/>
    </row>
    <row r="174" spans="2:15" x14ac:dyDescent="0.25">
      <c r="N174" s="19"/>
    </row>
    <row r="175" spans="2:15" x14ac:dyDescent="0.25">
      <c r="N175" s="19"/>
    </row>
    <row r="176" spans="2:15" x14ac:dyDescent="0.25">
      <c r="N176" s="19"/>
    </row>
    <row r="177" spans="14:14" x14ac:dyDescent="0.25">
      <c r="N177" s="19"/>
    </row>
    <row r="178" spans="14:14" x14ac:dyDescent="0.25">
      <c r="N178" s="19"/>
    </row>
    <row r="179" spans="14:14" x14ac:dyDescent="0.25">
      <c r="N179" s="19"/>
    </row>
    <row r="180" spans="14:14" x14ac:dyDescent="0.25">
      <c r="N180" s="19"/>
    </row>
    <row r="181" spans="14:14" x14ac:dyDescent="0.25">
      <c r="N181" s="19"/>
    </row>
    <row r="182" spans="14:14" x14ac:dyDescent="0.25">
      <c r="N182" s="19"/>
    </row>
    <row r="183" spans="14:14" x14ac:dyDescent="0.25">
      <c r="N183" s="19"/>
    </row>
    <row r="184" spans="14:14" x14ac:dyDescent="0.25">
      <c r="N184" s="19"/>
    </row>
    <row r="185" spans="14:14" x14ac:dyDescent="0.25">
      <c r="N185" s="19"/>
    </row>
    <row r="186" spans="14:14" x14ac:dyDescent="0.25">
      <c r="N186" s="19"/>
    </row>
    <row r="187" spans="14:14" x14ac:dyDescent="0.25">
      <c r="N187" s="19"/>
    </row>
    <row r="188" spans="14:14" x14ac:dyDescent="0.25">
      <c r="N188" s="19"/>
    </row>
    <row r="189" spans="14:14" x14ac:dyDescent="0.25">
      <c r="N189" s="19"/>
    </row>
    <row r="190" spans="14:14" x14ac:dyDescent="0.25">
      <c r="N190" s="19"/>
    </row>
    <row r="191" spans="14:14" x14ac:dyDescent="0.25">
      <c r="N191" s="19"/>
    </row>
    <row r="192" spans="14:14" x14ac:dyDescent="0.25">
      <c r="N192" s="19"/>
    </row>
    <row r="193" spans="14:14" x14ac:dyDescent="0.25">
      <c r="N193" s="19"/>
    </row>
    <row r="194" spans="14:14" x14ac:dyDescent="0.25">
      <c r="N194" s="19"/>
    </row>
    <row r="195" spans="14:14" x14ac:dyDescent="0.25">
      <c r="N195" s="19"/>
    </row>
    <row r="196" spans="14:14" x14ac:dyDescent="0.25">
      <c r="N196" s="19"/>
    </row>
    <row r="197" spans="14:14" x14ac:dyDescent="0.25">
      <c r="N197" s="19"/>
    </row>
    <row r="198" spans="14:14" x14ac:dyDescent="0.25">
      <c r="N198" s="19"/>
    </row>
    <row r="199" spans="14:14" x14ac:dyDescent="0.25">
      <c r="N199" s="19"/>
    </row>
    <row r="200" spans="14:14" x14ac:dyDescent="0.25">
      <c r="N200" s="19"/>
    </row>
    <row r="201" spans="14:14" x14ac:dyDescent="0.25">
      <c r="N201" s="19"/>
    </row>
    <row r="202" spans="14:14" x14ac:dyDescent="0.25">
      <c r="N202" s="19"/>
    </row>
    <row r="203" spans="14:14" x14ac:dyDescent="0.25">
      <c r="N203" s="19"/>
    </row>
    <row r="204" spans="14:14" x14ac:dyDescent="0.25">
      <c r="N204" s="19"/>
    </row>
    <row r="205" spans="14:14" x14ac:dyDescent="0.25">
      <c r="N205" s="19"/>
    </row>
    <row r="206" spans="14:14" x14ac:dyDescent="0.25">
      <c r="N206" s="19"/>
    </row>
    <row r="207" spans="14:14" x14ac:dyDescent="0.25">
      <c r="N207" s="19"/>
    </row>
    <row r="208" spans="14:14" x14ac:dyDescent="0.25">
      <c r="N208" s="19"/>
    </row>
    <row r="209" spans="14:14" x14ac:dyDescent="0.25">
      <c r="N209" s="19"/>
    </row>
    <row r="210" spans="14:14" x14ac:dyDescent="0.25">
      <c r="N210" s="19"/>
    </row>
    <row r="211" spans="14:14" x14ac:dyDescent="0.25">
      <c r="N211" s="19"/>
    </row>
    <row r="212" spans="14:14" x14ac:dyDescent="0.25">
      <c r="N212" s="19"/>
    </row>
    <row r="213" spans="14:14" x14ac:dyDescent="0.25">
      <c r="N213" s="19"/>
    </row>
    <row r="214" spans="14:14" x14ac:dyDescent="0.25">
      <c r="N214" s="19"/>
    </row>
    <row r="215" spans="14:14" x14ac:dyDescent="0.25">
      <c r="N215" s="19"/>
    </row>
    <row r="216" spans="14:14" x14ac:dyDescent="0.25">
      <c r="N216" s="19"/>
    </row>
    <row r="217" spans="14:14" x14ac:dyDescent="0.25">
      <c r="N217" s="19"/>
    </row>
    <row r="218" spans="14:14" x14ac:dyDescent="0.25">
      <c r="N218" s="19"/>
    </row>
    <row r="219" spans="14:14" x14ac:dyDescent="0.25">
      <c r="N219" s="19"/>
    </row>
    <row r="220" spans="14:14" x14ac:dyDescent="0.25">
      <c r="N220" s="19"/>
    </row>
    <row r="221" spans="14:14" x14ac:dyDescent="0.25">
      <c r="N221" s="19"/>
    </row>
    <row r="222" spans="14:14" x14ac:dyDescent="0.25">
      <c r="N222" s="19"/>
    </row>
    <row r="223" spans="14:14" x14ac:dyDescent="0.25">
      <c r="N223" s="19"/>
    </row>
    <row r="224" spans="14:14" x14ac:dyDescent="0.25">
      <c r="N224" s="19"/>
    </row>
    <row r="225" spans="14:14" x14ac:dyDescent="0.25">
      <c r="N225" s="19"/>
    </row>
    <row r="226" spans="14:14" x14ac:dyDescent="0.25">
      <c r="N226" s="19"/>
    </row>
    <row r="227" spans="14:14" x14ac:dyDescent="0.25">
      <c r="N227" s="19"/>
    </row>
    <row r="228" spans="14:14" x14ac:dyDescent="0.25">
      <c r="N228" s="19"/>
    </row>
    <row r="229" spans="14:14" x14ac:dyDescent="0.25">
      <c r="N229" s="19"/>
    </row>
    <row r="230" spans="14:14" x14ac:dyDescent="0.25">
      <c r="N230" s="19"/>
    </row>
    <row r="231" spans="14:14" x14ac:dyDescent="0.25">
      <c r="N231" s="19"/>
    </row>
    <row r="232" spans="14:14" x14ac:dyDescent="0.25">
      <c r="N232" s="19"/>
    </row>
    <row r="233" spans="14:14" x14ac:dyDescent="0.25">
      <c r="N233" s="19"/>
    </row>
    <row r="234" spans="14:14" x14ac:dyDescent="0.25">
      <c r="N234" s="19"/>
    </row>
    <row r="235" spans="14:14" x14ac:dyDescent="0.25">
      <c r="N235" s="19"/>
    </row>
    <row r="236" spans="14:14" x14ac:dyDescent="0.25">
      <c r="N236" s="19"/>
    </row>
    <row r="237" spans="14:14" x14ac:dyDescent="0.25">
      <c r="N237" s="19"/>
    </row>
    <row r="238" spans="14:14" x14ac:dyDescent="0.25">
      <c r="N238" s="19"/>
    </row>
    <row r="239" spans="14:14" x14ac:dyDescent="0.25">
      <c r="N239" s="19"/>
    </row>
    <row r="240" spans="14:14" x14ac:dyDescent="0.25">
      <c r="N240" s="19"/>
    </row>
    <row r="241" spans="14:14" x14ac:dyDescent="0.25">
      <c r="N241" s="19"/>
    </row>
    <row r="242" spans="14:14" x14ac:dyDescent="0.25">
      <c r="N242" s="19"/>
    </row>
    <row r="243" spans="14:14" x14ac:dyDescent="0.25">
      <c r="N243" s="19"/>
    </row>
    <row r="244" spans="14:14" x14ac:dyDescent="0.25">
      <c r="N244" s="19"/>
    </row>
    <row r="245" spans="14:14" x14ac:dyDescent="0.25">
      <c r="N245" s="19"/>
    </row>
    <row r="246" spans="14:14" x14ac:dyDescent="0.25">
      <c r="N246" s="19"/>
    </row>
    <row r="247" spans="14:14" x14ac:dyDescent="0.25">
      <c r="N247" s="19"/>
    </row>
    <row r="248" spans="14:14" x14ac:dyDescent="0.25">
      <c r="N248" s="19"/>
    </row>
    <row r="249" spans="14:14" x14ac:dyDescent="0.25">
      <c r="N249" s="19"/>
    </row>
    <row r="250" spans="14:14" x14ac:dyDescent="0.25">
      <c r="N250" s="19"/>
    </row>
    <row r="251" spans="14:14" x14ac:dyDescent="0.25">
      <c r="N251" s="19"/>
    </row>
    <row r="252" spans="14:14" x14ac:dyDescent="0.25">
      <c r="N252" s="19"/>
    </row>
    <row r="253" spans="14:14" x14ac:dyDescent="0.25">
      <c r="N253" s="19"/>
    </row>
    <row r="254" spans="14:14" x14ac:dyDescent="0.25">
      <c r="N254" s="19"/>
    </row>
    <row r="255" spans="14:14" x14ac:dyDescent="0.25">
      <c r="N255" s="19"/>
    </row>
    <row r="256" spans="14:14" x14ac:dyDescent="0.25">
      <c r="N256" s="19"/>
    </row>
    <row r="257" spans="14:14" x14ac:dyDescent="0.25">
      <c r="N257" s="19"/>
    </row>
    <row r="258" spans="14:14" x14ac:dyDescent="0.25">
      <c r="N258" s="19"/>
    </row>
    <row r="259" spans="14:14" x14ac:dyDescent="0.25">
      <c r="N259" s="19"/>
    </row>
    <row r="260" spans="14:14" x14ac:dyDescent="0.25">
      <c r="N260" s="19"/>
    </row>
    <row r="261" spans="14:14" x14ac:dyDescent="0.25">
      <c r="N261" s="19"/>
    </row>
    <row r="262" spans="14:14" x14ac:dyDescent="0.25">
      <c r="N262" s="19"/>
    </row>
    <row r="263" spans="14:14" x14ac:dyDescent="0.25">
      <c r="N263" s="19"/>
    </row>
    <row r="264" spans="14:14" x14ac:dyDescent="0.25">
      <c r="N264" s="19"/>
    </row>
    <row r="265" spans="14:14" x14ac:dyDescent="0.25">
      <c r="N265" s="19"/>
    </row>
    <row r="266" spans="14:14" x14ac:dyDescent="0.25">
      <c r="N266" s="19"/>
    </row>
    <row r="267" spans="14:14" x14ac:dyDescent="0.25">
      <c r="N267" s="19"/>
    </row>
    <row r="268" spans="14:14" x14ac:dyDescent="0.25">
      <c r="N268" s="19"/>
    </row>
    <row r="269" spans="14:14" x14ac:dyDescent="0.25">
      <c r="N269" s="19"/>
    </row>
    <row r="270" spans="14:14" x14ac:dyDescent="0.25">
      <c r="N270" s="19"/>
    </row>
    <row r="271" spans="14:14" x14ac:dyDescent="0.25">
      <c r="N271" s="19"/>
    </row>
    <row r="272" spans="14:14" x14ac:dyDescent="0.25">
      <c r="N272" s="19"/>
    </row>
    <row r="273" spans="14:14" x14ac:dyDescent="0.25">
      <c r="N273" s="19"/>
    </row>
    <row r="274" spans="14:14" x14ac:dyDescent="0.25">
      <c r="N274" s="19"/>
    </row>
    <row r="275" spans="14:14" x14ac:dyDescent="0.25">
      <c r="N275" s="19"/>
    </row>
    <row r="276" spans="14:14" x14ac:dyDescent="0.25">
      <c r="N276" s="19"/>
    </row>
    <row r="277" spans="14:14" x14ac:dyDescent="0.25">
      <c r="N277" s="19"/>
    </row>
    <row r="278" spans="14:14" x14ac:dyDescent="0.25">
      <c r="N278" s="19"/>
    </row>
    <row r="279" spans="14:14" x14ac:dyDescent="0.25">
      <c r="N279" s="19"/>
    </row>
    <row r="280" spans="14:14" x14ac:dyDescent="0.25">
      <c r="N280" s="19"/>
    </row>
    <row r="281" spans="14:14" x14ac:dyDescent="0.25">
      <c r="N281" s="19"/>
    </row>
    <row r="282" spans="14:14" x14ac:dyDescent="0.25">
      <c r="N282" s="19"/>
    </row>
    <row r="283" spans="14:14" x14ac:dyDescent="0.25">
      <c r="N283" s="19"/>
    </row>
    <row r="284" spans="14:14" x14ac:dyDescent="0.25">
      <c r="N284" s="19"/>
    </row>
    <row r="285" spans="14:14" x14ac:dyDescent="0.25">
      <c r="N285" s="19"/>
    </row>
    <row r="286" spans="14:14" x14ac:dyDescent="0.25">
      <c r="N286" s="19"/>
    </row>
    <row r="287" spans="14:14" x14ac:dyDescent="0.25">
      <c r="N287" s="19"/>
    </row>
    <row r="288" spans="14:14" x14ac:dyDescent="0.25">
      <c r="N288" s="19"/>
    </row>
    <row r="289" spans="14:14" x14ac:dyDescent="0.25">
      <c r="N289" s="19"/>
    </row>
    <row r="290" spans="14:14" x14ac:dyDescent="0.25">
      <c r="N290" s="19"/>
    </row>
    <row r="291" spans="14:14" x14ac:dyDescent="0.25">
      <c r="N291" s="19"/>
    </row>
    <row r="292" spans="14:14" x14ac:dyDescent="0.25">
      <c r="N292" s="19"/>
    </row>
    <row r="293" spans="14:14" x14ac:dyDescent="0.25">
      <c r="N293" s="19"/>
    </row>
    <row r="294" spans="14:14" x14ac:dyDescent="0.25">
      <c r="N294" s="19"/>
    </row>
    <row r="295" spans="14:14" x14ac:dyDescent="0.25">
      <c r="N295" s="19"/>
    </row>
    <row r="296" spans="14:14" x14ac:dyDescent="0.25">
      <c r="N296" s="19"/>
    </row>
    <row r="297" spans="14:14" x14ac:dyDescent="0.25">
      <c r="N297" s="19"/>
    </row>
    <row r="298" spans="14:14" x14ac:dyDescent="0.25">
      <c r="N298" s="19"/>
    </row>
    <row r="299" spans="14:14" x14ac:dyDescent="0.25">
      <c r="N299" s="19"/>
    </row>
    <row r="300" spans="14:14" x14ac:dyDescent="0.25">
      <c r="N300" s="19"/>
    </row>
    <row r="301" spans="14:14" x14ac:dyDescent="0.25">
      <c r="N301" s="19"/>
    </row>
    <row r="302" spans="14:14" x14ac:dyDescent="0.25">
      <c r="N302" s="19"/>
    </row>
    <row r="303" spans="14:14" x14ac:dyDescent="0.25">
      <c r="N303" s="19"/>
    </row>
    <row r="304" spans="14:14" x14ac:dyDescent="0.25">
      <c r="N304" s="19"/>
    </row>
    <row r="305" spans="14:14" x14ac:dyDescent="0.25">
      <c r="N305" s="19"/>
    </row>
    <row r="306" spans="14:14" x14ac:dyDescent="0.25">
      <c r="N306" s="19"/>
    </row>
    <row r="307" spans="14:14" x14ac:dyDescent="0.25">
      <c r="N307" s="19"/>
    </row>
    <row r="308" spans="14:14" x14ac:dyDescent="0.25">
      <c r="N308" s="19"/>
    </row>
    <row r="309" spans="14:14" x14ac:dyDescent="0.25">
      <c r="N309" s="19"/>
    </row>
    <row r="310" spans="14:14" x14ac:dyDescent="0.25">
      <c r="N310" s="19"/>
    </row>
    <row r="311" spans="14:14" x14ac:dyDescent="0.25">
      <c r="N311" s="19"/>
    </row>
    <row r="312" spans="14:14" x14ac:dyDescent="0.25">
      <c r="N312" s="19"/>
    </row>
    <row r="313" spans="14:14" x14ac:dyDescent="0.25">
      <c r="N313" s="19"/>
    </row>
    <row r="314" spans="14:14" x14ac:dyDescent="0.25">
      <c r="N314" s="19"/>
    </row>
    <row r="315" spans="14:14" x14ac:dyDescent="0.25">
      <c r="N315" s="19"/>
    </row>
    <row r="316" spans="14:14" x14ac:dyDescent="0.25">
      <c r="N316" s="19"/>
    </row>
    <row r="317" spans="14:14" x14ac:dyDescent="0.25">
      <c r="N317" s="19"/>
    </row>
    <row r="318" spans="14:14" x14ac:dyDescent="0.25">
      <c r="N318" s="19"/>
    </row>
    <row r="319" spans="14:14" x14ac:dyDescent="0.25">
      <c r="N319" s="19"/>
    </row>
    <row r="320" spans="14:14" x14ac:dyDescent="0.25">
      <c r="N320" s="19"/>
    </row>
    <row r="321" spans="2:14" x14ac:dyDescent="0.25">
      <c r="N321" s="19"/>
    </row>
    <row r="322" spans="2:14" x14ac:dyDescent="0.25">
      <c r="N322" s="19"/>
    </row>
    <row r="323" spans="2:14" x14ac:dyDescent="0.25">
      <c r="B323" s="1"/>
      <c r="C323" s="1"/>
      <c r="D323" s="1"/>
      <c r="E323" s="1"/>
      <c r="F323" s="1"/>
      <c r="G323" s="1"/>
      <c r="H323" s="1"/>
      <c r="I323" s="1"/>
      <c r="J323" s="1"/>
      <c r="K323" s="1"/>
      <c r="L323" s="1"/>
      <c r="M323" s="1"/>
      <c r="N323" s="19"/>
    </row>
    <row r="324" spans="2:14" x14ac:dyDescent="0.25">
      <c r="B324" s="1"/>
      <c r="C324" s="1"/>
      <c r="D324" s="1"/>
      <c r="E324" s="1"/>
      <c r="F324" s="1"/>
      <c r="G324" s="1"/>
      <c r="H324" s="1"/>
      <c r="I324" s="1"/>
      <c r="J324" s="1"/>
      <c r="K324" s="1"/>
      <c r="L324" s="1"/>
      <c r="M324" s="1"/>
      <c r="N324" s="19"/>
    </row>
    <row r="325" spans="2:14" x14ac:dyDescent="0.25">
      <c r="B325" s="1"/>
      <c r="C325" s="1"/>
      <c r="D325" s="1"/>
      <c r="E325" s="1"/>
      <c r="F325" s="1"/>
      <c r="G325" s="1"/>
      <c r="H325" s="1"/>
      <c r="I325" s="1"/>
      <c r="J325" s="1"/>
      <c r="K325" s="1"/>
      <c r="L325" s="1"/>
      <c r="M325" s="1"/>
      <c r="N325" s="19"/>
    </row>
    <row r="326" spans="2:14" x14ac:dyDescent="0.25">
      <c r="B326" s="1"/>
      <c r="C326" s="1"/>
      <c r="D326" s="1"/>
      <c r="E326" s="1"/>
      <c r="F326" s="1"/>
      <c r="G326" s="1"/>
      <c r="H326" s="1"/>
      <c r="I326" s="1"/>
      <c r="J326" s="1"/>
      <c r="K326" s="1"/>
      <c r="L326" s="1"/>
      <c r="M326" s="1"/>
      <c r="N326" s="19"/>
    </row>
    <row r="327" spans="2:14" x14ac:dyDescent="0.25">
      <c r="B327" s="1"/>
      <c r="C327" s="1"/>
      <c r="D327" s="1"/>
      <c r="E327" s="1"/>
      <c r="F327" s="1"/>
      <c r="G327" s="1"/>
      <c r="H327" s="1"/>
      <c r="I327" s="1"/>
      <c r="J327" s="1"/>
      <c r="K327" s="1"/>
      <c r="L327" s="1"/>
      <c r="M327" s="1"/>
      <c r="N327" s="19"/>
    </row>
    <row r="328" spans="2:14" x14ac:dyDescent="0.25">
      <c r="B328" s="1"/>
      <c r="C328" s="1"/>
      <c r="D328" s="1"/>
      <c r="E328" s="1"/>
      <c r="F328" s="1"/>
      <c r="G328" s="1"/>
      <c r="H328" s="1"/>
      <c r="I328" s="1"/>
      <c r="J328" s="1"/>
      <c r="K328" s="1"/>
      <c r="L328" s="1"/>
      <c r="M328" s="1"/>
      <c r="N328" s="19"/>
    </row>
    <row r="329" spans="2:14" x14ac:dyDescent="0.25">
      <c r="B329" s="1"/>
      <c r="C329" s="1"/>
      <c r="D329" s="1"/>
      <c r="E329" s="1"/>
      <c r="F329" s="1"/>
      <c r="G329" s="1"/>
      <c r="H329" s="1"/>
      <c r="I329" s="1"/>
      <c r="J329" s="1"/>
      <c r="K329" s="1"/>
      <c r="L329" s="1"/>
      <c r="M329" s="1"/>
      <c r="N329" s="19"/>
    </row>
    <row r="330" spans="2:14" x14ac:dyDescent="0.25">
      <c r="B330" s="1"/>
      <c r="C330" s="1"/>
      <c r="D330" s="1"/>
      <c r="E330" s="1"/>
      <c r="F330" s="1"/>
      <c r="G330" s="1"/>
      <c r="H330" s="1"/>
      <c r="I330" s="1"/>
      <c r="J330" s="1"/>
      <c r="K330" s="1"/>
      <c r="L330" s="1"/>
      <c r="M330" s="1"/>
      <c r="N330" s="19"/>
    </row>
    <row r="331" spans="2:14" x14ac:dyDescent="0.25">
      <c r="N331" s="19"/>
    </row>
    <row r="332" spans="2:14" x14ac:dyDescent="0.25">
      <c r="N332" s="19"/>
    </row>
    <row r="333" spans="2:14" x14ac:dyDescent="0.25">
      <c r="N333" s="19"/>
    </row>
    <row r="334" spans="2:14" x14ac:dyDescent="0.25">
      <c r="N334" s="19"/>
    </row>
    <row r="335" spans="2:14" x14ac:dyDescent="0.25">
      <c r="N335" s="19"/>
    </row>
    <row r="336" spans="2:14" x14ac:dyDescent="0.25">
      <c r="N336" s="19"/>
    </row>
    <row r="337" spans="14:14" x14ac:dyDescent="0.25">
      <c r="N337" s="19"/>
    </row>
    <row r="338" spans="14:14" x14ac:dyDescent="0.25">
      <c r="N338" s="19"/>
    </row>
    <row r="339" spans="14:14" x14ac:dyDescent="0.25">
      <c r="N339" s="19"/>
    </row>
    <row r="340" spans="14:14" x14ac:dyDescent="0.25">
      <c r="N340" s="19"/>
    </row>
    <row r="341" spans="14:14" x14ac:dyDescent="0.25">
      <c r="N341" s="19"/>
    </row>
    <row r="342" spans="14:14" x14ac:dyDescent="0.25">
      <c r="N342" s="19"/>
    </row>
    <row r="343" spans="14:14" x14ac:dyDescent="0.25">
      <c r="N343" s="19"/>
    </row>
    <row r="344" spans="14:14" x14ac:dyDescent="0.25">
      <c r="N344" s="19"/>
    </row>
    <row r="345" spans="14:14" x14ac:dyDescent="0.25">
      <c r="N345" s="19"/>
    </row>
    <row r="346" spans="14:14" x14ac:dyDescent="0.25">
      <c r="N346" s="19"/>
    </row>
    <row r="347" spans="14:14" x14ac:dyDescent="0.25">
      <c r="N347" s="19"/>
    </row>
    <row r="348" spans="14:14" x14ac:dyDescent="0.25">
      <c r="N348" s="19"/>
    </row>
    <row r="349" spans="14:14" x14ac:dyDescent="0.25">
      <c r="N349" s="19"/>
    </row>
    <row r="350" spans="14:14" x14ac:dyDescent="0.25">
      <c r="N350" s="19"/>
    </row>
    <row r="351" spans="14:14" x14ac:dyDescent="0.25">
      <c r="N351" s="19"/>
    </row>
    <row r="352" spans="14:14" x14ac:dyDescent="0.25">
      <c r="N352" s="19"/>
    </row>
    <row r="353" spans="14:14" x14ac:dyDescent="0.25">
      <c r="N353" s="19"/>
    </row>
    <row r="354" spans="14:14" x14ac:dyDescent="0.25">
      <c r="N354" s="19"/>
    </row>
    <row r="355" spans="14:14" x14ac:dyDescent="0.25">
      <c r="N355" s="19"/>
    </row>
    <row r="356" spans="14:14" x14ac:dyDescent="0.25">
      <c r="N356" s="19"/>
    </row>
    <row r="357" spans="14:14" x14ac:dyDescent="0.25">
      <c r="N357" s="19"/>
    </row>
    <row r="358" spans="14:14" x14ac:dyDescent="0.25">
      <c r="N358" s="19"/>
    </row>
    <row r="359" spans="14:14" x14ac:dyDescent="0.25">
      <c r="N359" s="19"/>
    </row>
    <row r="360" spans="14:14" x14ac:dyDescent="0.25">
      <c r="N360" s="19"/>
    </row>
    <row r="361" spans="14:14" x14ac:dyDescent="0.25">
      <c r="N361" s="19"/>
    </row>
    <row r="362" spans="14:14" x14ac:dyDescent="0.25">
      <c r="N362" s="19"/>
    </row>
    <row r="363" spans="14:14" x14ac:dyDescent="0.25">
      <c r="N363" s="19"/>
    </row>
    <row r="364" spans="14:14" x14ac:dyDescent="0.25">
      <c r="N364" s="19"/>
    </row>
    <row r="365" spans="14:14" x14ac:dyDescent="0.25">
      <c r="N365" s="19"/>
    </row>
    <row r="366" spans="14:14" x14ac:dyDescent="0.25">
      <c r="N366" s="19"/>
    </row>
    <row r="367" spans="14:14" x14ac:dyDescent="0.25">
      <c r="N367" s="19"/>
    </row>
    <row r="368" spans="14:14" x14ac:dyDescent="0.25">
      <c r="N368" s="19"/>
    </row>
    <row r="369" spans="14:14" x14ac:dyDescent="0.25">
      <c r="N369" s="19"/>
    </row>
    <row r="370" spans="14:14" x14ac:dyDescent="0.25">
      <c r="N370" s="19"/>
    </row>
    <row r="371" spans="14:14" x14ac:dyDescent="0.25">
      <c r="N371" s="19"/>
    </row>
    <row r="372" spans="14:14" x14ac:dyDescent="0.25">
      <c r="N372" s="19"/>
    </row>
    <row r="373" spans="14:14" x14ac:dyDescent="0.25">
      <c r="N373" s="19"/>
    </row>
    <row r="374" spans="14:14" x14ac:dyDescent="0.25">
      <c r="N374" s="19"/>
    </row>
    <row r="375" spans="14:14" x14ac:dyDescent="0.25">
      <c r="N375" s="19"/>
    </row>
    <row r="376" spans="14:14" x14ac:dyDescent="0.25">
      <c r="N376" s="19"/>
    </row>
    <row r="377" spans="14:14" x14ac:dyDescent="0.25">
      <c r="N377" s="19"/>
    </row>
    <row r="378" spans="14:14" x14ac:dyDescent="0.25">
      <c r="N378" s="19"/>
    </row>
    <row r="379" spans="14:14" x14ac:dyDescent="0.25">
      <c r="N379" s="19"/>
    </row>
    <row r="380" spans="14:14" x14ac:dyDescent="0.25">
      <c r="N380" s="19"/>
    </row>
    <row r="381" spans="14:14" x14ac:dyDescent="0.25">
      <c r="N381" s="19"/>
    </row>
    <row r="382" spans="14:14" x14ac:dyDescent="0.25">
      <c r="N382" s="19"/>
    </row>
    <row r="383" spans="14:14" x14ac:dyDescent="0.25">
      <c r="N383" s="19"/>
    </row>
    <row r="384" spans="14:14" x14ac:dyDescent="0.25">
      <c r="N384" s="19"/>
    </row>
    <row r="385" spans="14:14" x14ac:dyDescent="0.25">
      <c r="N385" s="19"/>
    </row>
    <row r="386" spans="14:14" x14ac:dyDescent="0.25">
      <c r="N386" s="19"/>
    </row>
    <row r="387" spans="14:14" x14ac:dyDescent="0.25">
      <c r="N387" s="19"/>
    </row>
    <row r="388" spans="14:14" x14ac:dyDescent="0.25">
      <c r="N388" s="19"/>
    </row>
    <row r="389" spans="14:14" x14ac:dyDescent="0.25">
      <c r="N389" s="19"/>
    </row>
    <row r="390" spans="14:14" x14ac:dyDescent="0.25">
      <c r="N390" s="19"/>
    </row>
    <row r="391" spans="14:14" x14ac:dyDescent="0.25">
      <c r="N391" s="19"/>
    </row>
    <row r="392" spans="14:14" x14ac:dyDescent="0.25">
      <c r="N392" s="19"/>
    </row>
    <row r="393" spans="14:14" x14ac:dyDescent="0.25">
      <c r="N393" s="19"/>
    </row>
    <row r="394" spans="14:14" x14ac:dyDescent="0.25">
      <c r="N394" s="19"/>
    </row>
    <row r="395" spans="14:14" x14ac:dyDescent="0.25">
      <c r="N395" s="19"/>
    </row>
    <row r="396" spans="14:14" x14ac:dyDescent="0.25">
      <c r="N396" s="19"/>
    </row>
    <row r="397" spans="14:14" x14ac:dyDescent="0.25">
      <c r="N397" s="19"/>
    </row>
    <row r="398" spans="14:14" x14ac:dyDescent="0.25">
      <c r="N398" s="19"/>
    </row>
    <row r="399" spans="14:14" x14ac:dyDescent="0.25">
      <c r="N399" s="19"/>
    </row>
    <row r="400" spans="14:14" x14ac:dyDescent="0.25">
      <c r="N400" s="19"/>
    </row>
    <row r="401" spans="14:14" x14ac:dyDescent="0.25">
      <c r="N401" s="19"/>
    </row>
    <row r="402" spans="14:14" x14ac:dyDescent="0.25">
      <c r="N402" s="19"/>
    </row>
    <row r="403" spans="14:14" x14ac:dyDescent="0.25">
      <c r="N403" s="19"/>
    </row>
    <row r="404" spans="14:14" x14ac:dyDescent="0.25">
      <c r="N404" s="19"/>
    </row>
    <row r="405" spans="14:14" x14ac:dyDescent="0.25">
      <c r="N405" s="19"/>
    </row>
    <row r="406" spans="14:14" x14ac:dyDescent="0.25">
      <c r="N406" s="19"/>
    </row>
    <row r="407" spans="14:14" x14ac:dyDescent="0.25">
      <c r="N407" s="19"/>
    </row>
    <row r="408" spans="14:14" x14ac:dyDescent="0.25">
      <c r="N408" s="19"/>
    </row>
    <row r="409" spans="14:14" x14ac:dyDescent="0.25">
      <c r="N409" s="19"/>
    </row>
    <row r="410" spans="14:14" x14ac:dyDescent="0.25">
      <c r="N410" s="19"/>
    </row>
    <row r="411" spans="14:14" x14ac:dyDescent="0.25">
      <c r="N411" s="19"/>
    </row>
    <row r="412" spans="14:14" x14ac:dyDescent="0.25">
      <c r="N412" s="19"/>
    </row>
    <row r="413" spans="14:14" x14ac:dyDescent="0.25">
      <c r="N413" s="19"/>
    </row>
    <row r="414" spans="14:14" x14ac:dyDescent="0.25">
      <c r="N414" s="19"/>
    </row>
    <row r="415" spans="14:14" x14ac:dyDescent="0.25">
      <c r="N415" s="19"/>
    </row>
    <row r="416" spans="14:14" x14ac:dyDescent="0.25">
      <c r="N416" s="19"/>
    </row>
    <row r="417" spans="14:14" x14ac:dyDescent="0.25">
      <c r="N417" s="19"/>
    </row>
    <row r="418" spans="14:14" x14ac:dyDescent="0.25">
      <c r="N418" s="19"/>
    </row>
    <row r="419" spans="14:14" x14ac:dyDescent="0.25">
      <c r="N419" s="19"/>
    </row>
    <row r="420" spans="14:14" x14ac:dyDescent="0.25">
      <c r="N420" s="19"/>
    </row>
    <row r="421" spans="14:14" x14ac:dyDescent="0.25">
      <c r="N421" s="19"/>
    </row>
    <row r="422" spans="14:14" x14ac:dyDescent="0.25">
      <c r="N422" s="19"/>
    </row>
    <row r="423" spans="14:14" x14ac:dyDescent="0.25">
      <c r="N423" s="19"/>
    </row>
    <row r="424" spans="14:14" x14ac:dyDescent="0.25">
      <c r="N424" s="19"/>
    </row>
    <row r="425" spans="14:14" x14ac:dyDescent="0.25">
      <c r="N425" s="19"/>
    </row>
    <row r="426" spans="14:14" x14ac:dyDescent="0.25">
      <c r="N426" s="19"/>
    </row>
    <row r="427" spans="14:14" x14ac:dyDescent="0.25">
      <c r="N427" s="19"/>
    </row>
    <row r="428" spans="14:14" x14ac:dyDescent="0.25">
      <c r="N428" s="19"/>
    </row>
    <row r="429" spans="14:14" x14ac:dyDescent="0.25">
      <c r="N429" s="19"/>
    </row>
    <row r="430" spans="14:14" x14ac:dyDescent="0.25">
      <c r="N430" s="19"/>
    </row>
    <row r="431" spans="14:14" x14ac:dyDescent="0.25">
      <c r="N431" s="19"/>
    </row>
    <row r="432" spans="14:14" x14ac:dyDescent="0.25">
      <c r="N432" s="19"/>
    </row>
    <row r="433" spans="14:14" x14ac:dyDescent="0.25">
      <c r="N433" s="19"/>
    </row>
    <row r="434" spans="14:14" x14ac:dyDescent="0.25">
      <c r="N434" s="19"/>
    </row>
    <row r="435" spans="14:14" x14ac:dyDescent="0.25">
      <c r="N435" s="19"/>
    </row>
    <row r="436" spans="14:14" x14ac:dyDescent="0.25">
      <c r="N436" s="19"/>
    </row>
    <row r="437" spans="14:14" x14ac:dyDescent="0.25">
      <c r="N437" s="19"/>
    </row>
    <row r="438" spans="14:14" x14ac:dyDescent="0.25">
      <c r="N438" s="19"/>
    </row>
    <row r="439" spans="14:14" x14ac:dyDescent="0.25">
      <c r="N439" s="19"/>
    </row>
    <row r="440" spans="14:14" x14ac:dyDescent="0.25">
      <c r="N440" s="19"/>
    </row>
    <row r="441" spans="14:14" x14ac:dyDescent="0.25">
      <c r="N441" s="19"/>
    </row>
    <row r="442" spans="14:14" x14ac:dyDescent="0.25">
      <c r="N442" s="19"/>
    </row>
    <row r="443" spans="14:14" x14ac:dyDescent="0.25">
      <c r="N443" s="19"/>
    </row>
    <row r="444" spans="14:14" x14ac:dyDescent="0.25">
      <c r="N444" s="19"/>
    </row>
    <row r="445" spans="14:14" x14ac:dyDescent="0.25">
      <c r="N445" s="19"/>
    </row>
    <row r="446" spans="14:14" x14ac:dyDescent="0.25">
      <c r="N446" s="19"/>
    </row>
    <row r="447" spans="14:14" x14ac:dyDescent="0.25">
      <c r="N447" s="19"/>
    </row>
    <row r="448" spans="14:14" x14ac:dyDescent="0.25">
      <c r="N448" s="19"/>
    </row>
    <row r="449" spans="14:14" x14ac:dyDescent="0.25">
      <c r="N449" s="19"/>
    </row>
    <row r="450" spans="14:14" x14ac:dyDescent="0.25">
      <c r="N450" s="19"/>
    </row>
    <row r="451" spans="14:14" x14ac:dyDescent="0.25">
      <c r="N451" s="19"/>
    </row>
    <row r="452" spans="14:14" x14ac:dyDescent="0.25">
      <c r="N452" s="19"/>
    </row>
    <row r="453" spans="14:14" x14ac:dyDescent="0.25">
      <c r="N453" s="19"/>
    </row>
    <row r="454" spans="14:14" x14ac:dyDescent="0.25">
      <c r="N454" s="19"/>
    </row>
    <row r="455" spans="14:14" x14ac:dyDescent="0.25">
      <c r="N455" s="19"/>
    </row>
    <row r="456" spans="14:14" x14ac:dyDescent="0.25">
      <c r="N456" s="19"/>
    </row>
    <row r="457" spans="14:14" x14ac:dyDescent="0.25">
      <c r="N457" s="19"/>
    </row>
    <row r="458" spans="14:14" x14ac:dyDescent="0.25">
      <c r="N458" s="19"/>
    </row>
    <row r="459" spans="14:14" x14ac:dyDescent="0.25">
      <c r="N459" s="19"/>
    </row>
    <row r="460" spans="14:14" x14ac:dyDescent="0.25">
      <c r="N460" s="19"/>
    </row>
    <row r="461" spans="14:14" x14ac:dyDescent="0.25">
      <c r="N461" s="19"/>
    </row>
    <row r="462" spans="14:14" x14ac:dyDescent="0.25">
      <c r="N462" s="19"/>
    </row>
    <row r="463" spans="14:14" x14ac:dyDescent="0.25">
      <c r="N463" s="19"/>
    </row>
    <row r="464" spans="14:14" x14ac:dyDescent="0.25">
      <c r="N464" s="19"/>
    </row>
    <row r="465" spans="14:14" x14ac:dyDescent="0.25">
      <c r="N465" s="19"/>
    </row>
    <row r="466" spans="14:14" x14ac:dyDescent="0.25">
      <c r="N466" s="19"/>
    </row>
    <row r="467" spans="14:14" x14ac:dyDescent="0.25">
      <c r="N467" s="19"/>
    </row>
    <row r="468" spans="14:14" x14ac:dyDescent="0.25">
      <c r="N468" s="19"/>
    </row>
    <row r="469" spans="14:14" x14ac:dyDescent="0.25">
      <c r="N469" s="19"/>
    </row>
    <row r="470" spans="14:14" x14ac:dyDescent="0.25">
      <c r="N470" s="19"/>
    </row>
    <row r="471" spans="14:14" x14ac:dyDescent="0.25">
      <c r="N471" s="19"/>
    </row>
    <row r="472" spans="14:14" x14ac:dyDescent="0.25">
      <c r="N472" s="19"/>
    </row>
    <row r="473" spans="14:14" x14ac:dyDescent="0.25">
      <c r="N473" s="19"/>
    </row>
    <row r="474" spans="14:14" x14ac:dyDescent="0.25">
      <c r="N474" s="19"/>
    </row>
    <row r="475" spans="14:14" x14ac:dyDescent="0.25">
      <c r="N475" s="19"/>
    </row>
    <row r="476" spans="14:14" x14ac:dyDescent="0.25">
      <c r="N476" s="19"/>
    </row>
    <row r="477" spans="14:14" x14ac:dyDescent="0.25">
      <c r="N477" s="19"/>
    </row>
    <row r="478" spans="14:14" x14ac:dyDescent="0.25">
      <c r="N478" s="19"/>
    </row>
    <row r="479" spans="14:14" x14ac:dyDescent="0.25">
      <c r="N479" s="19"/>
    </row>
    <row r="480" spans="14:14" x14ac:dyDescent="0.25">
      <c r="N480" s="19"/>
    </row>
    <row r="481" spans="14:14" x14ac:dyDescent="0.25">
      <c r="N481" s="19"/>
    </row>
    <row r="482" spans="14:14" x14ac:dyDescent="0.25">
      <c r="N482" s="19"/>
    </row>
    <row r="483" spans="14:14" x14ac:dyDescent="0.25">
      <c r="N483" s="19"/>
    </row>
    <row r="484" spans="14:14" x14ac:dyDescent="0.25">
      <c r="N484" s="19"/>
    </row>
    <row r="485" spans="14:14" x14ac:dyDescent="0.25">
      <c r="N485" s="19"/>
    </row>
    <row r="486" spans="14:14" x14ac:dyDescent="0.25">
      <c r="N486" s="19"/>
    </row>
    <row r="487" spans="14:14" x14ac:dyDescent="0.25">
      <c r="N487" s="19"/>
    </row>
    <row r="488" spans="14:14" x14ac:dyDescent="0.25">
      <c r="N488" s="19"/>
    </row>
    <row r="489" spans="14:14" x14ac:dyDescent="0.25">
      <c r="N489" s="19"/>
    </row>
    <row r="490" spans="14:14" x14ac:dyDescent="0.25">
      <c r="N490" s="19"/>
    </row>
  </sheetData>
  <mergeCells count="1">
    <mergeCell ref="F1:H1"/>
  </mergeCells>
  <phoneticPr fontId="14" type="noConversion"/>
  <pageMargins left="0.5" right="0.5" top="1" bottom="0.5" header="0.5" footer="0.25"/>
  <pageSetup scale="70" fitToHeight="0" orientation="landscape" horizontalDpi="4294967292" verticalDpi="4294967292" r:id="rId1"/>
  <headerFooter>
    <oddHeader>&amp;C&amp;"Arial,Bold"&amp;14&amp;K000000Police _x000D_Financial Dashboard&amp;R&amp;"Calibri,Regular"&amp;K000000Printed:    &amp;D</oddHeader>
    <oddFooter>&amp;C&amp;"Calibri,Regular"&amp;K000000Page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C768"/>
  <sheetViews>
    <sheetView tabSelected="1" zoomScaleNormal="100" workbookViewId="0">
      <pane ySplit="7" topLeftCell="A8" activePane="bottomLeft" state="frozen"/>
      <selection pane="bottomLeft" activeCell="B182" sqref="B182"/>
    </sheetView>
  </sheetViews>
  <sheetFormatPr defaultColWidth="11" defaultRowHeight="15.75" x14ac:dyDescent="0.25"/>
  <cols>
    <col min="1" max="1" width="44.125" customWidth="1"/>
    <col min="2" max="2" width="15.875" customWidth="1"/>
    <col min="3" max="3" width="17.25" bestFit="1" customWidth="1"/>
    <col min="4" max="4" width="16.75" bestFit="1" customWidth="1"/>
    <col min="5" max="5" width="16" style="19" bestFit="1" customWidth="1"/>
    <col min="6" max="6" width="16.625" bestFit="1" customWidth="1"/>
    <col min="7" max="7" width="16.75" bestFit="1" customWidth="1"/>
    <col min="8" max="8" width="16.625" bestFit="1" customWidth="1"/>
    <col min="9" max="9" width="16.125" customWidth="1"/>
    <col min="10" max="10" width="16.625" style="19" bestFit="1" customWidth="1"/>
    <col min="11" max="11" width="20.125" style="278" bestFit="1" customWidth="1"/>
    <col min="12" max="12" width="16.625" bestFit="1" customWidth="1"/>
    <col min="13" max="13" width="14.75" style="278" hidden="1" customWidth="1"/>
    <col min="14" max="14" width="9.125" style="101" bestFit="1" customWidth="1"/>
    <col min="15" max="16" width="13.875" style="101" hidden="1" customWidth="1"/>
    <col min="17" max="17" width="15.75" style="101" hidden="1" customWidth="1"/>
    <col min="18" max="18" width="1.5" style="124" customWidth="1"/>
    <col min="19" max="19" width="11" style="142" customWidth="1"/>
    <col min="29" max="29" width="11" style="19"/>
    <col min="30" max="30" width="27.125" customWidth="1"/>
  </cols>
  <sheetData>
    <row r="1" spans="1:24" ht="18" customHeight="1" x14ac:dyDescent="0.25">
      <c r="A1" s="732"/>
      <c r="B1" s="733">
        <v>2009</v>
      </c>
      <c r="C1" s="716">
        <v>2010</v>
      </c>
      <c r="D1" s="716">
        <v>2011</v>
      </c>
      <c r="E1" s="716">
        <v>2012</v>
      </c>
      <c r="F1" s="717">
        <v>2013</v>
      </c>
      <c r="G1" s="716">
        <v>2014</v>
      </c>
      <c r="H1" s="716">
        <v>2015</v>
      </c>
      <c r="I1" s="716">
        <v>2016</v>
      </c>
      <c r="J1" s="717">
        <v>2017</v>
      </c>
      <c r="K1" s="716">
        <v>2018</v>
      </c>
      <c r="L1" s="718">
        <v>2019</v>
      </c>
      <c r="M1" s="719">
        <v>2018</v>
      </c>
      <c r="N1" s="720"/>
      <c r="O1" s="721"/>
      <c r="P1" s="722"/>
      <c r="Q1" s="723"/>
      <c r="R1" s="724"/>
      <c r="S1" s="725"/>
    </row>
    <row r="2" spans="1:24" x14ac:dyDescent="0.25">
      <c r="A2" s="747" t="s">
        <v>156</v>
      </c>
      <c r="B2" s="771">
        <f>Stats!D4</f>
        <v>63162</v>
      </c>
      <c r="C2" s="403">
        <f>Stats!E4</f>
        <v>67742</v>
      </c>
      <c r="D2" s="403">
        <f>Stats!F4</f>
        <v>68761</v>
      </c>
      <c r="E2" s="403">
        <f>Stats!G4</f>
        <v>69341</v>
      </c>
      <c r="F2" s="403">
        <f>Stats!H4</f>
        <v>70370</v>
      </c>
      <c r="G2" s="403">
        <f>Stats!I4</f>
        <v>71027</v>
      </c>
      <c r="H2" s="403">
        <f>Stats!J4</f>
        <v>73420</v>
      </c>
      <c r="I2" s="403">
        <f>Stats!K4</f>
        <v>74385</v>
      </c>
      <c r="J2" s="686">
        <f>Stats!L4</f>
        <v>75840</v>
      </c>
      <c r="K2" s="403">
        <f>Stats!M4</f>
        <v>77262</v>
      </c>
      <c r="L2" s="713">
        <f>Stats!N4</f>
        <v>78980</v>
      </c>
      <c r="M2" s="679">
        <f>Stats!M4</f>
        <v>77262</v>
      </c>
      <c r="N2" s="159"/>
      <c r="O2" s="158"/>
      <c r="P2" s="158"/>
      <c r="Q2" s="160"/>
    </row>
    <row r="3" spans="1:24" x14ac:dyDescent="0.25">
      <c r="A3" s="748" t="s">
        <v>349</v>
      </c>
      <c r="B3" s="772" t="s">
        <v>348</v>
      </c>
      <c r="C3" s="684">
        <f>(C2/B2)-1</f>
        <v>7.2511953389696293E-2</v>
      </c>
      <c r="D3" s="684">
        <f t="shared" ref="D3:J3" si="0">(D2/C2)-1</f>
        <v>1.5042366626317527E-2</v>
      </c>
      <c r="E3" s="684">
        <f t="shared" si="0"/>
        <v>8.4350140341182822E-3</v>
      </c>
      <c r="F3" s="684">
        <f t="shared" si="0"/>
        <v>1.4839705224902966E-2</v>
      </c>
      <c r="G3" s="684">
        <f t="shared" si="0"/>
        <v>9.3363649282365291E-3</v>
      </c>
      <c r="H3" s="684">
        <f t="shared" si="0"/>
        <v>3.3691413124586456E-2</v>
      </c>
      <c r="I3" s="684">
        <f t="shared" si="0"/>
        <v>1.3143557613729318E-2</v>
      </c>
      <c r="J3" s="687">
        <f t="shared" si="0"/>
        <v>1.956039524097597E-2</v>
      </c>
      <c r="K3" s="684">
        <f>(K2/L2)-1</f>
        <v>-2.1752342365155775E-2</v>
      </c>
      <c r="L3" s="714">
        <f>(L2/M2)-1</f>
        <v>2.2236028060365953E-2</v>
      </c>
      <c r="M3" s="680">
        <f>(M2/J2)-1</f>
        <v>1.8750000000000044E-2</v>
      </c>
      <c r="N3" s="159"/>
      <c r="O3" s="161"/>
      <c r="P3" s="50"/>
      <c r="Q3" s="163"/>
    </row>
    <row r="4" spans="1:24" x14ac:dyDescent="0.25">
      <c r="A4" s="749" t="s">
        <v>350</v>
      </c>
      <c r="B4" s="773" t="s">
        <v>348</v>
      </c>
      <c r="C4" s="685">
        <f>(C2/$B2)-1</f>
        <v>7.2511953389696293E-2</v>
      </c>
      <c r="D4" s="685">
        <f t="shared" ref="D4:J4" si="1">(D2/$B2)-1</f>
        <v>8.8645071403692155E-2</v>
      </c>
      <c r="E4" s="685">
        <f t="shared" si="1"/>
        <v>9.7827807859155902E-2</v>
      </c>
      <c r="F4" s="685">
        <f t="shared" si="1"/>
        <v>0.11411924891548719</v>
      </c>
      <c r="G4" s="685">
        <f t="shared" si="1"/>
        <v>0.12452107279693481</v>
      </c>
      <c r="H4" s="685">
        <f t="shared" si="1"/>
        <v>0.16240777682783958</v>
      </c>
      <c r="I4" s="685">
        <f t="shared" si="1"/>
        <v>0.1776859504132231</v>
      </c>
      <c r="J4" s="688">
        <f t="shared" si="1"/>
        <v>0.20072195307305019</v>
      </c>
      <c r="K4" s="685">
        <f>(K2/$B2)-1</f>
        <v>0.22323548969316986</v>
      </c>
      <c r="L4" s="715">
        <f>(L2/$B2)-1</f>
        <v>0.25043538836642276</v>
      </c>
      <c r="M4" s="681">
        <f>(M2/$B2)-1</f>
        <v>0.22323548969316986</v>
      </c>
      <c r="N4" s="159"/>
      <c r="O4" s="161"/>
      <c r="P4" s="161"/>
      <c r="Q4" s="164"/>
    </row>
    <row r="5" spans="1:24" x14ac:dyDescent="0.25">
      <c r="A5" s="154"/>
      <c r="B5" s="774"/>
      <c r="C5" s="161"/>
      <c r="D5" s="161"/>
      <c r="E5" s="161"/>
      <c r="F5" s="161"/>
      <c r="G5" s="161"/>
      <c r="H5" s="161"/>
      <c r="I5" s="161"/>
      <c r="J5" s="660"/>
      <c r="K5" s="162"/>
      <c r="L5" s="649"/>
      <c r="M5" s="649"/>
      <c r="N5" s="159"/>
      <c r="O5" s="161"/>
      <c r="P5" s="161"/>
      <c r="Q5" s="164"/>
    </row>
    <row r="6" spans="1:24" ht="17.25" x14ac:dyDescent="0.3">
      <c r="A6" s="154"/>
      <c r="B6" s="775" t="s">
        <v>58</v>
      </c>
      <c r="C6" s="361" t="s">
        <v>58</v>
      </c>
      <c r="D6" s="361" t="s">
        <v>58</v>
      </c>
      <c r="E6" s="361" t="s">
        <v>58</v>
      </c>
      <c r="F6" s="361" t="s">
        <v>58</v>
      </c>
      <c r="G6" s="361" t="s">
        <v>58</v>
      </c>
      <c r="H6" s="361" t="s">
        <v>58</v>
      </c>
      <c r="I6" s="361" t="s">
        <v>58</v>
      </c>
      <c r="J6" s="661" t="s">
        <v>58</v>
      </c>
      <c r="K6" s="361" t="s">
        <v>58</v>
      </c>
      <c r="L6" s="650" t="s">
        <v>58</v>
      </c>
      <c r="M6" s="650" t="s">
        <v>58</v>
      </c>
      <c r="N6" s="165"/>
      <c r="O6" s="205" t="s">
        <v>127</v>
      </c>
      <c r="P6" s="205" t="s">
        <v>127</v>
      </c>
      <c r="Q6" s="442" t="s">
        <v>127</v>
      </c>
    </row>
    <row r="7" spans="1:24" ht="17.25" x14ac:dyDescent="0.3">
      <c r="A7" s="154"/>
      <c r="B7" s="776" t="s">
        <v>55</v>
      </c>
      <c r="C7" s="362" t="s">
        <v>55</v>
      </c>
      <c r="D7" s="362" t="s">
        <v>55</v>
      </c>
      <c r="E7" s="362" t="s">
        <v>55</v>
      </c>
      <c r="F7" s="362" t="s">
        <v>55</v>
      </c>
      <c r="G7" s="362" t="s">
        <v>55</v>
      </c>
      <c r="H7" s="362" t="s">
        <v>55</v>
      </c>
      <c r="I7" s="362" t="s">
        <v>55</v>
      </c>
      <c r="J7" s="662" t="s">
        <v>55</v>
      </c>
      <c r="K7" s="362" t="s">
        <v>151</v>
      </c>
      <c r="L7" s="651" t="s">
        <v>56</v>
      </c>
      <c r="M7" s="651" t="s">
        <v>253</v>
      </c>
      <c r="N7" s="159"/>
      <c r="O7" s="205" t="s">
        <v>144</v>
      </c>
      <c r="P7" s="205" t="s">
        <v>144</v>
      </c>
      <c r="Q7" s="442" t="s">
        <v>144</v>
      </c>
    </row>
    <row r="8" spans="1:24" ht="27" thickBot="1" x14ac:dyDescent="0.45">
      <c r="A8" s="750"/>
      <c r="B8" s="777">
        <v>2009</v>
      </c>
      <c r="C8" s="363">
        <v>2010</v>
      </c>
      <c r="D8" s="363">
        <v>2011</v>
      </c>
      <c r="E8" s="363">
        <v>2012</v>
      </c>
      <c r="F8" s="364">
        <v>2013</v>
      </c>
      <c r="G8" s="365">
        <v>2014</v>
      </c>
      <c r="H8" s="365">
        <v>2015</v>
      </c>
      <c r="I8" s="363">
        <v>2016</v>
      </c>
      <c r="J8" s="663">
        <v>2017</v>
      </c>
      <c r="K8" s="707">
        <v>2018</v>
      </c>
      <c r="L8" s="683">
        <v>2019</v>
      </c>
      <c r="M8" s="652">
        <v>2018</v>
      </c>
      <c r="N8" s="157"/>
      <c r="O8" s="358">
        <v>2017</v>
      </c>
      <c r="P8" s="359">
        <v>2018</v>
      </c>
      <c r="Q8" s="673" t="s">
        <v>159</v>
      </c>
    </row>
    <row r="9" spans="1:24" ht="18.75" x14ac:dyDescent="0.3">
      <c r="A9" s="370" t="s">
        <v>351</v>
      </c>
      <c r="B9" s="378"/>
      <c r="C9" s="371"/>
      <c r="D9" s="371"/>
      <c r="E9" s="371"/>
      <c r="F9" s="371"/>
      <c r="G9" s="371"/>
      <c r="H9" s="371"/>
      <c r="I9" s="371"/>
      <c r="J9" s="379"/>
      <c r="K9" s="133"/>
      <c r="L9" s="134"/>
      <c r="M9" s="682"/>
      <c r="N9" s="157"/>
      <c r="O9" s="141"/>
      <c r="P9" s="133"/>
      <c r="Q9" s="167"/>
    </row>
    <row r="10" spans="1:24" x14ac:dyDescent="0.25">
      <c r="A10" s="106" t="s">
        <v>92</v>
      </c>
      <c r="B10" s="380">
        <f>+Legis!B7+'Exec-Legal'!B7+'City Clerk'!B7+'Cult. Svc.'!B7+'Dev. Svc.'!B7+'Econ Dev'!B7+Finance!B7+'Human Res'!B7+IT!B7+Library!B7+'Parks &amp; Rec'!B7+Police!B7+'Public Works'!B7+'Water &amp; Power'!B7+LFRA!B7+'Non Dept '!B7</f>
        <v>61783745</v>
      </c>
      <c r="C10" s="315">
        <f>+Legis!C7+'Exec-Legal'!C7+'City Clerk'!C7+'Cult. Svc.'!C7+'Dev. Svc.'!C7+'Econ Dev'!C7+Finance!C7+'Human Res'!C7+IT!C7+Library!C7+'Parks &amp; Rec'!C7+Police!C7+'Public Works'!C7+'Water &amp; Power'!C7+LFRA!C7+'Non Dept '!C7</f>
        <v>64732305</v>
      </c>
      <c r="D10" s="315">
        <f>+Legis!D7+'Exec-Legal'!D7+'City Clerk'!D7+'Cult. Svc.'!D7+'Dev. Svc.'!D7+'Econ Dev'!D7+Finance!D7+'Human Res'!D7+IT!D7+Library!D7+'Parks &amp; Rec'!D7+Police!D7+'Public Works'!D7+'Water &amp; Power'!D7+LFRA!D7+'Non Dept '!D7</f>
        <v>67250569</v>
      </c>
      <c r="E10" s="315">
        <f>+Legis!E7+'Exec-Legal'!E7+'City Clerk'!E7+'Cult. Svc.'!E7+'Dev. Svc.'!E7+'Econ Dev'!E7+Finance!E7+'Human Res'!E7+IT!E7+Library!E7+'Parks &amp; Rec'!E7+Police!E7+'Public Works'!E7+'Water &amp; Power'!E7+LFRA!E7+'Non Dept '!E7</f>
        <v>71029592</v>
      </c>
      <c r="F10" s="315">
        <f>+Legis!F7+'Exec-Legal'!F7+'City Clerk'!F7+'Cult. Svc.'!F7+'Dev. Svc.'!F7+'Econ Dev'!F7+Finance!F7+'Human Res'!F7+IT!F7+Library!F7+'Parks &amp; Rec'!F7+Police!F7+'Public Works'!F7+'Water &amp; Power'!F7+LFRA!F7+'Non Dept '!F7</f>
        <v>74922853</v>
      </c>
      <c r="G10" s="315">
        <f>+Legis!G7+'Exec-Legal'!G7+'City Clerk'!G7+'Cult. Svc.'!G7+'Dev. Svc.'!G7+'Econ Dev'!G7+Finance!G7+'Human Res'!G7+IT!G7+Library!G7+'Parks &amp; Rec'!G7+Police!G7+'Public Works'!G7+'Water &amp; Power'!G7+LFRA!G7+'Non Dept '!G7</f>
        <v>83725827</v>
      </c>
      <c r="H10" s="315">
        <f>+Legis!H7+'Exec-Legal'!H7+'City Clerk'!H7+'Cult. Svc.'!H7+'Dev. Svc.'!H7+'Econ Dev'!H7+Finance!H7+'Human Res'!H7+IT!H7+Library!H7+'Parks &amp; Rec'!H7+Police!H7+'Public Works'!H7+'Water &amp; Power'!H7+LFRA!H7+'Non Dept '!H7</f>
        <v>87541579</v>
      </c>
      <c r="I10" s="315">
        <f>+Legis!I7+'Exec-Legal'!I7+'City Clerk'!I7+'Cult. Svc.'!I7+'Dev. Svc.'!I7+'Econ Dev'!I7+Finance!I7+'Human Res'!I7+IT!I7+Library!I7+'Parks &amp; Rec'!I7+Police!I7+'Public Works'!I7+'Water &amp; Power'!I7+LFRA!I7+'Non Dept '!I7</f>
        <v>89876681</v>
      </c>
      <c r="J10" s="381">
        <f>+Legis!J7+'Exec-Legal'!J7+'City Clerk'!J7+'Cult. Svc.'!J7+'Dev. Svc.'!J7+'Econ Dev'!J7+Finance!J7+'Human Res'!J7+IT!J7+Library!J7+'Parks &amp; Rec'!J7+Police!J7+'Public Works'!J7+'Water &amp; Power'!J7+LFRA!J7+'Non Dept '!J7</f>
        <v>96294031</v>
      </c>
      <c r="K10" s="315">
        <f>+Legis!K7+'Exec-Legal'!K7+'City Clerk'!K7+'Cult. Svc.'!K7+'Dev. Svc.'!K7+'Econ Dev'!K7+Finance!K7+'Human Res'!K7+IT!K7+Library!K7+'Parks &amp; Rec'!K7+Police!K7+'Public Works'!K7+'Water &amp; Power'!K7+LFRA!K7+'Non Dept '!K7</f>
        <v>101189586</v>
      </c>
      <c r="L10" s="372">
        <f>+Legis!L7+'Exec-Legal'!L7+'City Clerk'!L7+'Cult. Svc.'!L7+'Dev. Svc.'!L7+'Econ Dev'!L7+Finance!L7+'Human Res'!L7+IT!L7+Library!L7+'Parks &amp; Rec'!L7+Police!L7+'Public Works'!L7+'Water &amp; Power'!L7+LFRA!L7+'Non Dept '!L7</f>
        <v>94140194</v>
      </c>
      <c r="M10" s="372">
        <f>+Legis!M7+'Exec-Legal'!M7+'City Clerk'!M7+'Cult. Svc.'!M7+'Dev. Svc.'!M7+'Econ Dev'!M7+Finance!M7+'Human Res'!M7+IT!M7+Library!M7+'Parks &amp; Rec'!M7+Police!M7+'Public Works'!M7+'Water &amp; Power'!M7+LFRA!M7+'Non Dept '!M7</f>
        <v>102998533</v>
      </c>
      <c r="N10" s="159">
        <v>55</v>
      </c>
      <c r="O10" s="93">
        <v>96294031</v>
      </c>
      <c r="P10" s="93">
        <v>102998533</v>
      </c>
      <c r="Q10" s="109">
        <v>94140194</v>
      </c>
      <c r="T10" s="278"/>
      <c r="U10" s="278"/>
      <c r="V10" s="278"/>
      <c r="W10" s="278"/>
      <c r="X10" s="278"/>
    </row>
    <row r="11" spans="1:24" x14ac:dyDescent="0.25">
      <c r="A11" s="353" t="s">
        <v>88</v>
      </c>
      <c r="B11" s="380">
        <f>+Legis!B8+'Exec-Legal'!B8+'City Clerk'!B8+'Cult. Svc.'!B8+'Dev. Svc.'!B8+'Econ Dev'!B8+Finance!B8+'Human Res'!B8+IT!B8+Library!B8+'Parks &amp; Rec'!B8+Police!B8+'Public Works'!B8+'Water &amp; Power'!B8+LFRA!B8+'Non Dept '!B8</f>
        <v>16561205</v>
      </c>
      <c r="C11" s="315">
        <f>+Legis!C8+'Exec-Legal'!C8+'City Clerk'!C8+'Cult. Svc.'!C8+'Dev. Svc.'!C8+'Econ Dev'!C8+Finance!C8+'Human Res'!C8+IT!C8+Library!C8+'Parks &amp; Rec'!C8+Police!C8+'Public Works'!C8+'Water &amp; Power'!C8+LFRA!C8+'Non Dept '!C8</f>
        <v>16750146</v>
      </c>
      <c r="D11" s="315">
        <f>+Legis!D8+'Exec-Legal'!D8+'City Clerk'!D8+'Cult. Svc.'!D8+'Dev. Svc.'!D8+'Econ Dev'!D8+Finance!D8+'Human Res'!D8+IT!D8+Library!D8+'Parks &amp; Rec'!D8+Police!D8+'Public Works'!D8+'Water &amp; Power'!D8+LFRA!D8+'Non Dept '!D8</f>
        <v>17090658</v>
      </c>
      <c r="E11" s="315">
        <f>+Legis!E8+'Exec-Legal'!E8+'City Clerk'!E8+'Cult. Svc.'!E8+'Dev. Svc.'!E8+'Econ Dev'!E8+Finance!E8+'Human Res'!E8+IT!E8+Library!E8+'Parks &amp; Rec'!E8+Police!E8+'Public Works'!E8+'Water &amp; Power'!E8+LFRA!E8+'Non Dept '!E8</f>
        <v>16359507</v>
      </c>
      <c r="F11" s="315">
        <f>+Legis!F8+'Exec-Legal'!F8+'City Clerk'!F8+'Cult. Svc.'!F8+'Dev. Svc.'!F8+'Econ Dev'!F8+Finance!F8+'Human Res'!F8+IT!F8+Library!F8+'Parks &amp; Rec'!F8+Police!F8+'Public Works'!F8+'Water &amp; Power'!F8+LFRA!F8+'Non Dept '!F8</f>
        <v>16713554</v>
      </c>
      <c r="G11" s="315">
        <f>+Legis!G8+'Exec-Legal'!G8+'City Clerk'!G8+'Cult. Svc.'!G8+'Dev. Svc.'!G8+'Econ Dev'!G8+Finance!G8+'Human Res'!G8+IT!G8+Library!G8+'Parks &amp; Rec'!G8+Police!G8+'Public Works'!G8+'Water &amp; Power'!G8+LFRA!G8+'Non Dept '!G8</f>
        <v>17372880</v>
      </c>
      <c r="H11" s="315">
        <f>+Legis!H8+'Exec-Legal'!H8+'City Clerk'!H8+'Cult. Svc.'!H8+'Dev. Svc.'!H8+'Econ Dev'!H8+Finance!H8+'Human Res'!H8+IT!H8+Library!H8+'Parks &amp; Rec'!H8+Police!H8+'Public Works'!H8+'Water &amp; Power'!H8+LFRA!H8+'Non Dept '!H8</f>
        <v>19507737</v>
      </c>
      <c r="I11" s="315">
        <f>+Legis!I8+'Exec-Legal'!I8+'City Clerk'!I8+'Cult. Svc.'!I8+'Dev. Svc.'!I8+'Econ Dev'!I8+Finance!I8+'Human Res'!I8+IT!I8+Library!I8+'Parks &amp; Rec'!I8+Police!I8+'Public Works'!I8+'Water &amp; Power'!I8+LFRA!I8+'Non Dept '!I8</f>
        <v>25468863</v>
      </c>
      <c r="J11" s="381">
        <f>+Legis!J8+'Exec-Legal'!J8+'City Clerk'!J8+'Cult. Svc.'!J8+'Dev. Svc.'!J8+'Econ Dev'!J8+Finance!J8+'Human Res'!J8+IT!J8+Library!J8+'Parks &amp; Rec'!J8+Police!J8+'Public Works'!J8+'Water &amp; Power'!J8+LFRA!J8+'Non Dept '!J8</f>
        <v>24333958</v>
      </c>
      <c r="K11" s="315">
        <f>+Legis!K8+'Exec-Legal'!K8+'City Clerk'!K8+'Cult. Svc.'!K8+'Dev. Svc.'!K8+'Econ Dev'!K8+Finance!K8+'Human Res'!K8+IT!K8+Library!K8+'Parks &amp; Rec'!K8+Police!K8+'Public Works'!K8+'Water &amp; Power'!K8+LFRA!K8+'Non Dept '!K8</f>
        <v>27486605</v>
      </c>
      <c r="L11" s="372">
        <f>+Legis!L8+'Exec-Legal'!L8+'City Clerk'!L8+'Cult. Svc.'!L8+'Dev. Svc.'!L8+'Econ Dev'!L8+Finance!L8+'Human Res'!L8+IT!L8+Library!L8+'Parks &amp; Rec'!L8+Police!L8+'Public Works'!L8+'Water &amp; Power'!L8+LFRA!L8+'Non Dept '!L8</f>
        <v>28552278</v>
      </c>
      <c r="M11" s="372">
        <f>+Legis!M8+'Exec-Legal'!M8+'City Clerk'!M8+'Cult. Svc.'!M8+'Dev. Svc.'!M8+'Econ Dev'!M8+Finance!M8+'Human Res'!M8+IT!M8+Library!M8+'Parks &amp; Rec'!M8+Police!M8+'Public Works'!M8+'Water &amp; Power'!M8+LFRA!M8+'Non Dept '!M8</f>
        <v>27336605</v>
      </c>
      <c r="N11" s="168">
        <v>82</v>
      </c>
      <c r="O11" s="93">
        <v>24333959</v>
      </c>
      <c r="P11" s="93">
        <v>27336605</v>
      </c>
      <c r="Q11" s="109">
        <v>28552278</v>
      </c>
    </row>
    <row r="12" spans="1:24" x14ac:dyDescent="0.25">
      <c r="A12" s="107" t="s">
        <v>93</v>
      </c>
      <c r="B12" s="380">
        <f>+Legis!B9+'Exec-Legal'!B9+'City Clerk'!B9+'Cult. Svc.'!B9+'Dev. Svc.'!B9+'Econ Dev'!B9+Finance!B9+'Human Res'!B9+IT!B9+Library!B9+'Parks &amp; Rec'!B9+Police!B9+'Public Works'!B9+'Water &amp; Power'!B9+LFRA!B9+'Non Dept '!B9</f>
        <v>76125602</v>
      </c>
      <c r="C12" s="315">
        <f>+Legis!C9+'Exec-Legal'!C9+'City Clerk'!C9+'Cult. Svc.'!C9+'Dev. Svc.'!C9+'Econ Dev'!C9+Finance!C9+'Human Res'!C9+IT!C9+Library!C9+'Parks &amp; Rec'!C9+Police!C9+'Public Works'!C9+'Water &amp; Power'!C9+LFRA!C9+'Non Dept '!C9</f>
        <v>78664822</v>
      </c>
      <c r="D12" s="315">
        <f>+Legis!D9+'Exec-Legal'!D9+'City Clerk'!D9+'Cult. Svc.'!D9+'Dev. Svc.'!D9+'Econ Dev'!D9+Finance!D9+'Human Res'!D9+IT!D9+Library!D9+'Parks &amp; Rec'!D9+Police!D9+'Public Works'!D9+'Water &amp; Power'!D9+LFRA!D9+'Non Dept '!D9</f>
        <v>90592305</v>
      </c>
      <c r="E12" s="315">
        <f>+Legis!E9+'Exec-Legal'!E9+'City Clerk'!E9+'Cult. Svc.'!E9+'Dev. Svc.'!E9+'Econ Dev'!E9+Finance!E9+'Human Res'!E9+IT!E9+Library!E9+'Parks &amp; Rec'!E9+Police!E9+'Public Works'!E9+'Water &amp; Power'!E9+LFRA!E9+'Non Dept '!E9</f>
        <v>89966042</v>
      </c>
      <c r="F12" s="315">
        <f>+Legis!F9+'Exec-Legal'!F9+'City Clerk'!F9+'Cult. Svc.'!F9+'Dev. Svc.'!F9+'Econ Dev'!F9+Finance!F9+'Human Res'!F9+IT!F9+Library!F9+'Parks &amp; Rec'!F9+Police!F9+'Public Works'!F9+'Water &amp; Power'!F9+LFRA!F9+'Non Dept '!F9</f>
        <v>100580844</v>
      </c>
      <c r="G12" s="315">
        <f>+Legis!G9+'Exec-Legal'!G9+'City Clerk'!G9+'Cult. Svc.'!G9+'Dev. Svc.'!G9+'Econ Dev'!G9+Finance!G9+'Human Res'!G9+IT!G9+Library!G9+'Parks &amp; Rec'!G9+Police!G9+'Public Works'!G9+'Water &amp; Power'!G9+LFRA!G9+'Non Dept '!G9</f>
        <v>111712042</v>
      </c>
      <c r="H12" s="315">
        <f>+Legis!H9+'Exec-Legal'!H9+'City Clerk'!H9+'Cult. Svc.'!H9+'Dev. Svc.'!H9+'Econ Dev'!H9+Finance!H9+'Human Res'!H9+IT!H9+Library!H9+'Parks &amp; Rec'!H9+Police!H9+'Public Works'!H9+'Water &amp; Power'!H9+LFRA!H9+'Non Dept '!H9</f>
        <v>131203881</v>
      </c>
      <c r="I12" s="315">
        <f>+Legis!I9+'Exec-Legal'!I9+'City Clerk'!I9+'Cult. Svc.'!I9+'Dev. Svc.'!I9+'Econ Dev'!I9+Finance!I9+'Human Res'!I9+IT!I9+Library!I9+'Parks &amp; Rec'!I9+Police!I9+'Public Works'!I9+'Water &amp; Power'!I9+LFRA!I9+'Non Dept '!I9</f>
        <v>132414002</v>
      </c>
      <c r="J12" s="381">
        <f>+Legis!J9+'Exec-Legal'!J9+'City Clerk'!J9+'Cult. Svc.'!J9+'Dev. Svc.'!J9+'Econ Dev'!J9+Finance!J9+'Human Res'!J9+IT!J9+Library!J9+'Parks &amp; Rec'!J9+Police!J9+'Public Works'!J9+'Water &amp; Power'!J9+LFRA!J9+'Non Dept '!J9</f>
        <v>144457042</v>
      </c>
      <c r="K12" s="315">
        <f>+Legis!K9+'Exec-Legal'!K9+'City Clerk'!K9+'Cult. Svc.'!K9+'Dev. Svc.'!K9+'Econ Dev'!K9+Finance!K9+'Human Res'!K9+IT!K9+Library!K9+'Parks &amp; Rec'!K9+Police!K9+'Public Works'!K9+'Water &amp; Power'!K9+LFRA!K9+'Non Dept '!K9</f>
        <v>159471869</v>
      </c>
      <c r="L12" s="372">
        <f>+Legis!L9+'Exec-Legal'!L9+'City Clerk'!L9+'Cult. Svc.'!L9+'Dev. Svc.'!L9+'Econ Dev'!L9+Finance!L9+'Human Res'!L9+IT!L9+Library!L9+'Parks &amp; Rec'!L9+Police!L9+'Public Works'!L9+'Water &amp; Power'!L9+LFRA!L9+'Non Dept '!L9</f>
        <v>176784252</v>
      </c>
      <c r="M12" s="372">
        <f>+Legis!M9+'Exec-Legal'!M9+'City Clerk'!M9+'Cult. Svc.'!M9+'Dev. Svc.'!M9+'Econ Dev'!M9+Finance!M9+'Human Res'!M9+IT!M9+Library!M9+'Parks &amp; Rec'!M9+Police!M9+'Public Works'!M9+'Water &amp; Power'!M9+LFRA!M9+'Non Dept '!M9</f>
        <v>134512771</v>
      </c>
      <c r="N12" s="159">
        <v>73</v>
      </c>
      <c r="O12" s="93">
        <v>144457042</v>
      </c>
      <c r="P12" s="93">
        <v>134512771</v>
      </c>
      <c r="Q12" s="109">
        <v>176784252</v>
      </c>
    </row>
    <row r="13" spans="1:24" x14ac:dyDescent="0.25">
      <c r="A13" s="354" t="s">
        <v>78</v>
      </c>
      <c r="B13" s="380">
        <f>+Legis!B10+'Exec-Legal'!B10+'City Clerk'!B10+'Cult. Svc.'!B10+'Dev. Svc.'!B10+'Econ Dev'!B10+Finance!B10+'Human Res'!B10+IT!B10+Library!B10+'Parks &amp; Rec'!B10+Police!B10+'Public Works'!B10+'Water &amp; Power'!B10+LFRA!B10+'Non Dept '!B10+'Non Dept '!B11</f>
        <v>20974728</v>
      </c>
      <c r="C13" s="315">
        <f>+Legis!C10+'Exec-Legal'!C10+'City Clerk'!C10+'Cult. Svc.'!C10+'Dev. Svc.'!C10+'Econ Dev'!C10+Finance!C10+'Human Res'!C10+IT!C10+Library!C10+'Parks &amp; Rec'!C10+Police!C10+'Public Works'!C10+'Water &amp; Power'!C10+LFRA!C10+'Non Dept '!C10+'Non Dept '!C11</f>
        <v>29288356</v>
      </c>
      <c r="D13" s="315">
        <f>+Legis!D10+'Exec-Legal'!D10+'City Clerk'!D10+'Cult. Svc.'!D10+'Dev. Svc.'!D10+'Econ Dev'!D10+Finance!D10+'Human Res'!D10+IT!D10+Library!D10+'Parks &amp; Rec'!D10+Police!D10+'Public Works'!D10+'Water &amp; Power'!D10+LFRA!D10+'Non Dept '!D10+'Non Dept '!D11</f>
        <v>37076136</v>
      </c>
      <c r="E13" s="315">
        <f>+Legis!E10+'Exec-Legal'!E10+'City Clerk'!E10+'Cult. Svc.'!E10+'Dev. Svc.'!E10+'Econ Dev'!E10+Finance!E10+'Human Res'!E10+IT!E10+Library!E10+'Parks &amp; Rec'!E10+Police!E10+'Public Works'!E10+'Water &amp; Power'!E10+LFRA!E10+'Non Dept '!E10+'Non Dept '!E11</f>
        <v>25716823</v>
      </c>
      <c r="F13" s="315">
        <f>+Legis!F10+'Exec-Legal'!F10+'City Clerk'!F10+'Cult. Svc.'!F10+'Dev. Svc.'!F10+'Econ Dev'!F10+Finance!F10+'Human Res'!F10+IT!F10+Library!F10+'Parks &amp; Rec'!F10+Police!F10+'Public Works'!F10+'Water &amp; Power'!F10+LFRA!F10+'Non Dept '!F10+'Non Dept '!F11</f>
        <v>32542951</v>
      </c>
      <c r="G13" s="315">
        <f>+Legis!G10+'Exec-Legal'!G10+'City Clerk'!G10+'Cult. Svc.'!G10+'Dev. Svc.'!G10+'Econ Dev'!G10+Finance!G10+'Human Res'!G10+IT!G10+Library!G10+'Parks &amp; Rec'!G10+Police!G10+'Public Works'!G10+'Water &amp; Power'!G10+LFRA!G10+'Non Dept '!G10+'Non Dept '!G11</f>
        <v>38047614</v>
      </c>
      <c r="H13" s="315">
        <f>+Legis!H10+'Exec-Legal'!H10+'City Clerk'!H10+'Cult. Svc.'!H10+'Dev. Svc.'!H10+'Econ Dev'!H10+Finance!H10+'Human Res'!H10+IT!H10+Library!H10+'Parks &amp; Rec'!H10+Police!H10+'Public Works'!H10+'Water &amp; Power'!H10+LFRA!H10+'Non Dept '!H10+'Non Dept '!H11</f>
        <v>36712572</v>
      </c>
      <c r="I13" s="315">
        <f>+Legis!I10+'Exec-Legal'!I10+'City Clerk'!I10+'Cult. Svc.'!I10+'Dev. Svc.'!I10+'Econ Dev'!I10+Finance!I10+'Human Res'!I10+IT!I10+Library!I10+'Parks &amp; Rec'!I10+Police!I10+'Public Works'!I10+'Water &amp; Power'!I10+LFRA!I10+'Non Dept '!I10+'Non Dept '!I11</f>
        <v>40325725</v>
      </c>
      <c r="J13" s="381">
        <f>+Legis!J10+'Exec-Legal'!J10+'City Clerk'!J10+'Cult. Svc.'!J10+'Dev. Svc.'!J10+'Econ Dev'!J10+Finance!J10+'Human Res'!J10+IT!J10+Library!J10+'Parks &amp; Rec'!J10+Police!J10+'Public Works'!J10+'Water &amp; Power'!J10+LFRA!J10+'Non Dept '!J10+'Non Dept '!J11</f>
        <v>60737303</v>
      </c>
      <c r="K13" s="315">
        <f>+Legis!K10+'Exec-Legal'!K10+'City Clerk'!K10+'Cult. Svc.'!K10+'Dev. Svc.'!K10+'Econ Dev'!K10+Finance!K10+'Human Res'!K10+IT!K10+Library!K10+'Parks &amp; Rec'!K10+Police!K10+'Public Works'!K10+'Water &amp; Power'!K10+LFRA!K10+'Non Dept '!K10+'Non Dept '!K11</f>
        <v>112074528</v>
      </c>
      <c r="L13" s="372">
        <f>+Legis!L10+'Exec-Legal'!L10+'City Clerk'!L10+'Cult. Svc.'!L10+'Dev. Svc.'!L10+'Econ Dev'!L10+Finance!L10+'Human Res'!L10+IT!L10+Library!L10+'Parks &amp; Rec'!L10+Police!L10+'Public Works'!L10+'Water &amp; Power'!L10+LFRA!L10+'Non Dept '!L10+'Non Dept '!L11</f>
        <v>51564918</v>
      </c>
      <c r="M13" s="372">
        <f>+Legis!M10+'Exec-Legal'!M10+'City Clerk'!M10+'Cult. Svc.'!M10+'Dev. Svc.'!M10+'Econ Dev'!M10+Finance!M10+'Human Res'!M10+IT!M10+Library!M10+'Parks &amp; Rec'!M10+Police!M10+'Public Works'!M10+'Water &amp; Power'!M10+LFRA!M10+'Non Dept '!M10+'Non Dept '!M11</f>
        <v>64416122</v>
      </c>
      <c r="N13" s="309" t="s">
        <v>271</v>
      </c>
      <c r="O13" s="93">
        <v>60737305</v>
      </c>
      <c r="P13" s="93">
        <v>64416122</v>
      </c>
      <c r="Q13" s="109">
        <v>51564918</v>
      </c>
    </row>
    <row r="14" spans="1:24" s="19" customFormat="1" ht="16.5" thickBot="1" x14ac:dyDescent="0.3">
      <c r="A14" s="108"/>
      <c r="B14" s="382"/>
      <c r="C14" s="369"/>
      <c r="D14" s="369"/>
      <c r="E14" s="369"/>
      <c r="F14" s="369"/>
      <c r="G14" s="369"/>
      <c r="H14" s="369"/>
      <c r="I14" s="369"/>
      <c r="J14" s="383"/>
      <c r="K14" s="310"/>
      <c r="L14" s="557"/>
      <c r="M14" s="557">
        <v>0</v>
      </c>
      <c r="N14" s="159"/>
      <c r="O14" s="59">
        <v>0</v>
      </c>
      <c r="P14" s="59">
        <v>0</v>
      </c>
      <c r="Q14" s="119">
        <v>0</v>
      </c>
      <c r="R14" s="124"/>
      <c r="S14" s="142"/>
    </row>
    <row r="15" spans="1:24" ht="17.25" thickTop="1" thickBot="1" x14ac:dyDescent="0.3">
      <c r="A15" s="474" t="s">
        <v>100</v>
      </c>
      <c r="B15" s="475">
        <f t="shared" ref="B15:I15" si="2">SUM(B10:B14)</f>
        <v>175445280</v>
      </c>
      <c r="C15" s="476">
        <f t="shared" si="2"/>
        <v>189435629</v>
      </c>
      <c r="D15" s="476">
        <f t="shared" si="2"/>
        <v>212009668</v>
      </c>
      <c r="E15" s="476">
        <f t="shared" si="2"/>
        <v>203071964</v>
      </c>
      <c r="F15" s="476">
        <f t="shared" si="2"/>
        <v>224760202</v>
      </c>
      <c r="G15" s="476">
        <f t="shared" si="2"/>
        <v>250858363</v>
      </c>
      <c r="H15" s="476">
        <f t="shared" si="2"/>
        <v>274965769</v>
      </c>
      <c r="I15" s="476">
        <f t="shared" si="2"/>
        <v>288085271</v>
      </c>
      <c r="J15" s="477">
        <f>SUM(J10:J14)</f>
        <v>325822334</v>
      </c>
      <c r="K15" s="476">
        <f>SUM(K10:K14)</f>
        <v>400222588</v>
      </c>
      <c r="L15" s="678">
        <f>SUM(L10:L14)</f>
        <v>351041642</v>
      </c>
      <c r="M15" s="712">
        <f>SUM(M10:M14)</f>
        <v>329264031</v>
      </c>
      <c r="N15" s="159"/>
      <c r="O15" s="93">
        <f>SUM(O10:O14)</f>
        <v>325822337</v>
      </c>
      <c r="P15" s="93">
        <f>SUM(P10:P14)</f>
        <v>329264031</v>
      </c>
      <c r="Q15" s="109">
        <f>SUM(Q10:Q14)</f>
        <v>351041642</v>
      </c>
    </row>
    <row r="16" spans="1:24" x14ac:dyDescent="0.25">
      <c r="A16" s="154" t="s">
        <v>238</v>
      </c>
      <c r="B16" s="778" t="s">
        <v>348</v>
      </c>
      <c r="C16" s="169">
        <f>(C15/$B15)-1</f>
        <v>7.9741951450617465E-2</v>
      </c>
      <c r="D16" s="169">
        <f t="shared" ref="D16:J16" si="3">(D15/$B15)-1</f>
        <v>0.2084090720479912</v>
      </c>
      <c r="E16" s="169">
        <f t="shared" si="3"/>
        <v>0.15746609997145544</v>
      </c>
      <c r="F16" s="169">
        <f t="shared" si="3"/>
        <v>0.28108434721070874</v>
      </c>
      <c r="G16" s="169">
        <f t="shared" si="3"/>
        <v>0.42983819798400957</v>
      </c>
      <c r="H16" s="169">
        <f t="shared" si="3"/>
        <v>0.56724517752771697</v>
      </c>
      <c r="I16" s="169">
        <f t="shared" si="3"/>
        <v>0.64202349017311833</v>
      </c>
      <c r="J16" s="501">
        <f t="shared" si="3"/>
        <v>0.85711655508771734</v>
      </c>
      <c r="K16" s="169">
        <f>(K15/$B15)-1</f>
        <v>1.2811818476963301</v>
      </c>
      <c r="L16" s="540">
        <f>(L15/$B15)-1</f>
        <v>1.0008611345942167</v>
      </c>
      <c r="M16" s="540">
        <f>(M15/$B15)-1</f>
        <v>0.87673348066132073</v>
      </c>
      <c r="N16" s="159"/>
      <c r="O16" s="102"/>
      <c r="P16" s="102"/>
      <c r="Q16" s="156"/>
    </row>
    <row r="17" spans="1:17" ht="16.5" thickBot="1" x14ac:dyDescent="0.3">
      <c r="A17" s="154"/>
      <c r="B17" s="380">
        <v>175445280</v>
      </c>
      <c r="C17" s="315">
        <v>189435629</v>
      </c>
      <c r="D17" s="315">
        <v>212009668</v>
      </c>
      <c r="E17" s="315">
        <v>203071964</v>
      </c>
      <c r="F17" s="315">
        <v>224760202</v>
      </c>
      <c r="G17" s="315">
        <v>250858363</v>
      </c>
      <c r="H17" s="315">
        <v>274965768</v>
      </c>
      <c r="I17" s="315">
        <v>288085268</v>
      </c>
      <c r="J17" s="381">
        <v>325822337</v>
      </c>
      <c r="K17" s="315">
        <v>400222588</v>
      </c>
      <c r="L17" s="372">
        <v>351041642</v>
      </c>
      <c r="M17" s="156">
        <v>329264031</v>
      </c>
      <c r="N17" s="159"/>
      <c r="O17" s="155">
        <f>96294031+25780164+34957141+144457042+24333959</f>
        <v>325822337</v>
      </c>
      <c r="P17" s="155">
        <v>329264031</v>
      </c>
      <c r="Q17" s="156">
        <f>94140194+6037315+45527603+176784252+28552278</f>
        <v>351041642</v>
      </c>
    </row>
    <row r="18" spans="1:17" ht="16.5" hidden="1" thickBot="1" x14ac:dyDescent="0.3">
      <c r="A18" s="154"/>
      <c r="B18" s="554">
        <f>+B15-B17</f>
        <v>0</v>
      </c>
      <c r="C18" s="43">
        <f t="shared" ref="C18:I18" si="4">+C15-C17</f>
        <v>0</v>
      </c>
      <c r="D18" s="43">
        <f t="shared" si="4"/>
        <v>0</v>
      </c>
      <c r="E18" s="43">
        <f t="shared" si="4"/>
        <v>0</v>
      </c>
      <c r="F18" s="43">
        <f t="shared" si="4"/>
        <v>0</v>
      </c>
      <c r="G18" s="43">
        <f t="shared" si="4"/>
        <v>0</v>
      </c>
      <c r="H18" s="43">
        <f t="shared" si="4"/>
        <v>1</v>
      </c>
      <c r="I18" s="43">
        <f t="shared" si="4"/>
        <v>3</v>
      </c>
      <c r="J18" s="534">
        <f t="shared" ref="J18" si="5">+J15-J17</f>
        <v>-3</v>
      </c>
      <c r="K18" s="43">
        <v>0</v>
      </c>
      <c r="L18" s="545">
        <f>+L15-L17</f>
        <v>0</v>
      </c>
      <c r="M18" s="545">
        <f t="shared" ref="M18" si="6">+M15-M17</f>
        <v>0</v>
      </c>
      <c r="N18" s="159"/>
      <c r="O18" s="155">
        <f>+O17-O15</f>
        <v>0</v>
      </c>
      <c r="P18" s="155">
        <f>+P17-P15</f>
        <v>0</v>
      </c>
      <c r="Q18" s="156">
        <f>+Q17-Q15</f>
        <v>0</v>
      </c>
    </row>
    <row r="19" spans="1:17" ht="18.75" x14ac:dyDescent="0.3">
      <c r="A19" s="370" t="s">
        <v>352</v>
      </c>
      <c r="B19" s="521">
        <v>2009</v>
      </c>
      <c r="C19" s="522">
        <v>2010</v>
      </c>
      <c r="D19" s="522">
        <v>2011</v>
      </c>
      <c r="E19" s="522">
        <v>2012</v>
      </c>
      <c r="F19" s="522">
        <v>2013</v>
      </c>
      <c r="G19" s="522">
        <v>2014</v>
      </c>
      <c r="H19" s="522">
        <v>2015</v>
      </c>
      <c r="I19" s="522">
        <v>2016</v>
      </c>
      <c r="J19" s="523">
        <v>2017</v>
      </c>
      <c r="K19" s="559">
        <v>2018</v>
      </c>
      <c r="L19" s="560">
        <v>2019</v>
      </c>
      <c r="M19" s="671">
        <v>2018</v>
      </c>
      <c r="N19" s="157" t="s">
        <v>126</v>
      </c>
      <c r="O19" s="170"/>
      <c r="P19" s="170"/>
      <c r="Q19" s="171"/>
    </row>
    <row r="20" spans="1:17" x14ac:dyDescent="0.25">
      <c r="A20" s="106" t="s">
        <v>92</v>
      </c>
      <c r="B20" s="380">
        <f t="shared" ref="B20:M20" si="7">B10/B$2</f>
        <v>978.17904752857726</v>
      </c>
      <c r="C20" s="315">
        <f t="shared" si="7"/>
        <v>955.57121136075114</v>
      </c>
      <c r="D20" s="315">
        <f t="shared" si="7"/>
        <v>978.03360916798772</v>
      </c>
      <c r="E20" s="315">
        <f t="shared" si="7"/>
        <v>1024.3519995385125</v>
      </c>
      <c r="F20" s="315">
        <f t="shared" si="7"/>
        <v>1064.6987778883047</v>
      </c>
      <c r="G20" s="315">
        <f t="shared" si="7"/>
        <v>1178.7887282301097</v>
      </c>
      <c r="H20" s="315">
        <f t="shared" si="7"/>
        <v>1192.3396758376464</v>
      </c>
      <c r="I20" s="315">
        <f t="shared" si="7"/>
        <v>1208.2635074275727</v>
      </c>
      <c r="J20" s="381">
        <f t="shared" si="7"/>
        <v>1269.6997758438818</v>
      </c>
      <c r="K20" s="315">
        <f t="shared" si="7"/>
        <v>1309.6941057699776</v>
      </c>
      <c r="L20" s="372">
        <f t="shared" si="7"/>
        <v>1191.9497847556343</v>
      </c>
      <c r="M20" s="446">
        <f t="shared" si="7"/>
        <v>1333.1072584194042</v>
      </c>
      <c r="N20" s="159"/>
      <c r="O20" s="155"/>
      <c r="P20" s="155"/>
      <c r="Q20" s="156"/>
    </row>
    <row r="21" spans="1:17" x14ac:dyDescent="0.25">
      <c r="A21" s="353" t="s">
        <v>88</v>
      </c>
      <c r="B21" s="380">
        <f t="shared" ref="B21:M21" si="8">B11/B$2</f>
        <v>262.20203603432441</v>
      </c>
      <c r="C21" s="315">
        <f t="shared" si="8"/>
        <v>247.26382451064333</v>
      </c>
      <c r="D21" s="315">
        <f t="shared" si="8"/>
        <v>248.55162083157603</v>
      </c>
      <c r="E21" s="315">
        <f t="shared" si="8"/>
        <v>235.92833965474972</v>
      </c>
      <c r="F21" s="315">
        <f t="shared" si="8"/>
        <v>237.50964899815261</v>
      </c>
      <c r="G21" s="315">
        <f t="shared" si="8"/>
        <v>244.595435538598</v>
      </c>
      <c r="H21" s="315">
        <f t="shared" si="8"/>
        <v>265.70058567147919</v>
      </c>
      <c r="I21" s="315">
        <f t="shared" si="8"/>
        <v>342.39245815688645</v>
      </c>
      <c r="J21" s="381">
        <f t="shared" si="8"/>
        <v>320.85915084388188</v>
      </c>
      <c r="K21" s="315">
        <f t="shared" si="8"/>
        <v>355.75839351815898</v>
      </c>
      <c r="L21" s="372">
        <f t="shared" si="8"/>
        <v>361.51276272474047</v>
      </c>
      <c r="M21" s="446">
        <f t="shared" si="8"/>
        <v>353.81694752918639</v>
      </c>
      <c r="N21" s="159"/>
      <c r="O21" s="155"/>
      <c r="P21" s="155"/>
      <c r="Q21" s="156"/>
    </row>
    <row r="22" spans="1:17" x14ac:dyDescent="0.25">
      <c r="A22" s="107" t="s">
        <v>93</v>
      </c>
      <c r="B22" s="380">
        <f t="shared" ref="B22:M22" si="9">B12/B$2</f>
        <v>1205.243690826763</v>
      </c>
      <c r="C22" s="315">
        <f t="shared" si="9"/>
        <v>1161.2415045319005</v>
      </c>
      <c r="D22" s="315">
        <f t="shared" si="9"/>
        <v>1317.495455272611</v>
      </c>
      <c r="E22" s="315">
        <f t="shared" si="9"/>
        <v>1297.443676901112</v>
      </c>
      <c r="F22" s="315">
        <f t="shared" si="9"/>
        <v>1429.3142532329118</v>
      </c>
      <c r="G22" s="315">
        <f t="shared" si="9"/>
        <v>1572.8109310543878</v>
      </c>
      <c r="H22" s="315">
        <f t="shared" si="9"/>
        <v>1787.0318850449469</v>
      </c>
      <c r="I22" s="315">
        <f t="shared" si="9"/>
        <v>1780.1169859514687</v>
      </c>
      <c r="J22" s="381">
        <f t="shared" si="9"/>
        <v>1904.7605748945148</v>
      </c>
      <c r="K22" s="315">
        <f t="shared" si="9"/>
        <v>2064.0401361600789</v>
      </c>
      <c r="L22" s="372">
        <f t="shared" si="9"/>
        <v>2238.3420106356039</v>
      </c>
      <c r="M22" s="446">
        <f t="shared" si="9"/>
        <v>1740.9951981569207</v>
      </c>
      <c r="N22" s="159"/>
      <c r="O22" s="155"/>
      <c r="P22" s="155"/>
      <c r="Q22" s="156"/>
    </row>
    <row r="23" spans="1:17" x14ac:dyDescent="0.25">
      <c r="A23" s="354" t="s">
        <v>78</v>
      </c>
      <c r="B23" s="380">
        <f t="shared" ref="B23:M23" si="10">B13/B$2</f>
        <v>332.07827491213072</v>
      </c>
      <c r="C23" s="315">
        <f t="shared" si="10"/>
        <v>432.35151014141888</v>
      </c>
      <c r="D23" s="315">
        <f t="shared" si="10"/>
        <v>539.20297843254173</v>
      </c>
      <c r="E23" s="315">
        <f t="shared" si="10"/>
        <v>370.87470616229933</v>
      </c>
      <c r="F23" s="315">
        <f t="shared" si="10"/>
        <v>462.45489555208184</v>
      </c>
      <c r="G23" s="315">
        <f t="shared" si="10"/>
        <v>535.67817872076819</v>
      </c>
      <c r="H23" s="315">
        <f t="shared" si="10"/>
        <v>500.03503132661399</v>
      </c>
      <c r="I23" s="315">
        <f t="shared" si="10"/>
        <v>542.12173153189485</v>
      </c>
      <c r="J23" s="381">
        <f t="shared" si="10"/>
        <v>800.86106276371311</v>
      </c>
      <c r="K23" s="315">
        <f t="shared" si="10"/>
        <v>1450.5776190106392</v>
      </c>
      <c r="L23" s="372">
        <f t="shared" si="10"/>
        <v>652.88576854899975</v>
      </c>
      <c r="M23" s="446">
        <f t="shared" si="10"/>
        <v>833.73614454712538</v>
      </c>
      <c r="N23" s="159"/>
      <c r="O23" s="155"/>
      <c r="P23" s="155"/>
      <c r="Q23" s="156"/>
    </row>
    <row r="24" spans="1:17" ht="16.5" thickBot="1" x14ac:dyDescent="0.3">
      <c r="A24" s="108"/>
      <c r="B24" s="384"/>
      <c r="C24" s="42"/>
      <c r="D24" s="42"/>
      <c r="E24" s="42"/>
      <c r="F24" s="42"/>
      <c r="G24" s="42"/>
      <c r="H24" s="42"/>
      <c r="I24" s="42"/>
      <c r="J24" s="417"/>
      <c r="K24" s="42"/>
      <c r="L24" s="446"/>
      <c r="M24" s="446"/>
      <c r="N24" s="159"/>
      <c r="O24" s="155"/>
      <c r="P24" s="155"/>
      <c r="Q24" s="156"/>
    </row>
    <row r="25" spans="1:17" ht="18.75" x14ac:dyDescent="0.3">
      <c r="A25" s="751" t="s">
        <v>353</v>
      </c>
      <c r="B25" s="521">
        <v>2009</v>
      </c>
      <c r="C25" s="522">
        <v>2010</v>
      </c>
      <c r="D25" s="522">
        <v>2011</v>
      </c>
      <c r="E25" s="522">
        <v>2012</v>
      </c>
      <c r="F25" s="690">
        <v>2013</v>
      </c>
      <c r="G25" s="559">
        <v>2014</v>
      </c>
      <c r="H25" s="559">
        <v>2015</v>
      </c>
      <c r="I25" s="522">
        <v>2016</v>
      </c>
      <c r="J25" s="691">
        <v>2017</v>
      </c>
      <c r="K25" s="559">
        <v>2018</v>
      </c>
      <c r="L25" s="560">
        <v>2019</v>
      </c>
      <c r="M25" s="671">
        <v>2018</v>
      </c>
      <c r="N25" s="157" t="s">
        <v>126</v>
      </c>
      <c r="O25" s="170"/>
      <c r="P25" s="170"/>
      <c r="Q25" s="171"/>
    </row>
    <row r="26" spans="1:17" x14ac:dyDescent="0.25">
      <c r="A26" s="106" t="s">
        <v>92</v>
      </c>
      <c r="B26" s="779">
        <v>540</v>
      </c>
      <c r="C26" s="172">
        <v>515</v>
      </c>
      <c r="D26" s="172">
        <v>517</v>
      </c>
      <c r="E26" s="172">
        <v>520</v>
      </c>
      <c r="F26" s="172">
        <v>461</v>
      </c>
      <c r="G26" s="172">
        <v>477</v>
      </c>
      <c r="H26" s="172">
        <v>490</v>
      </c>
      <c r="I26" s="173">
        <v>502</v>
      </c>
      <c r="J26" s="665">
        <v>426</v>
      </c>
      <c r="K26" s="172">
        <v>441</v>
      </c>
      <c r="L26" s="653">
        <v>441</v>
      </c>
      <c r="M26" s="653">
        <v>440.875</v>
      </c>
      <c r="N26" s="174"/>
      <c r="O26" s="175"/>
      <c r="P26" s="175"/>
      <c r="Q26" s="176"/>
    </row>
    <row r="27" spans="1:17" x14ac:dyDescent="0.25">
      <c r="A27" s="353" t="s">
        <v>88</v>
      </c>
      <c r="B27" s="779">
        <v>16</v>
      </c>
      <c r="C27" s="172">
        <v>16</v>
      </c>
      <c r="D27" s="172">
        <v>17</v>
      </c>
      <c r="E27" s="172">
        <v>18</v>
      </c>
      <c r="F27" s="172">
        <v>19</v>
      </c>
      <c r="G27" s="172">
        <v>19</v>
      </c>
      <c r="H27" s="172">
        <v>20</v>
      </c>
      <c r="I27" s="173">
        <v>19</v>
      </c>
      <c r="J27" s="665">
        <v>22.55</v>
      </c>
      <c r="K27" s="173">
        <v>23.55</v>
      </c>
      <c r="L27" s="654">
        <v>23.55</v>
      </c>
      <c r="M27" s="654">
        <v>23.55</v>
      </c>
      <c r="N27" s="174"/>
      <c r="O27" s="175"/>
      <c r="P27" s="175"/>
      <c r="Q27" s="176"/>
    </row>
    <row r="28" spans="1:17" x14ac:dyDescent="0.25">
      <c r="A28" s="107" t="s">
        <v>93</v>
      </c>
      <c r="B28" s="779">
        <v>186</v>
      </c>
      <c r="C28" s="172">
        <v>177</v>
      </c>
      <c r="D28" s="172">
        <v>171</v>
      </c>
      <c r="E28" s="172">
        <v>172</v>
      </c>
      <c r="F28" s="172">
        <v>169</v>
      </c>
      <c r="G28" s="172">
        <v>175</v>
      </c>
      <c r="H28" s="172">
        <v>184</v>
      </c>
      <c r="I28" s="173">
        <v>188</v>
      </c>
      <c r="J28" s="665">
        <v>195.2</v>
      </c>
      <c r="K28" s="172">
        <v>205.82499999999999</v>
      </c>
      <c r="L28" s="653">
        <v>205.82499999999999</v>
      </c>
      <c r="M28" s="653">
        <v>203.2</v>
      </c>
      <c r="N28" s="174"/>
      <c r="O28" s="175"/>
      <c r="P28" s="175"/>
      <c r="Q28" s="176"/>
    </row>
    <row r="29" spans="1:17" x14ac:dyDescent="0.25">
      <c r="A29" s="354" t="s">
        <v>78</v>
      </c>
      <c r="B29" s="779">
        <v>57</v>
      </c>
      <c r="C29" s="172">
        <v>57</v>
      </c>
      <c r="D29" s="172">
        <v>57</v>
      </c>
      <c r="E29" s="172">
        <v>57</v>
      </c>
      <c r="F29" s="172">
        <v>57</v>
      </c>
      <c r="G29" s="172">
        <v>58</v>
      </c>
      <c r="H29" s="172">
        <v>59</v>
      </c>
      <c r="I29" s="173">
        <v>61</v>
      </c>
      <c r="J29" s="665">
        <v>163</v>
      </c>
      <c r="K29" s="173">
        <v>164.75</v>
      </c>
      <c r="L29" s="654">
        <v>164.75</v>
      </c>
      <c r="M29" s="654">
        <v>165</v>
      </c>
      <c r="N29" s="174"/>
      <c r="O29" s="175"/>
      <c r="P29" s="175"/>
      <c r="Q29" s="176"/>
    </row>
    <row r="30" spans="1:17" ht="16.5" thickBot="1" x14ac:dyDescent="0.3">
      <c r="A30" s="108"/>
      <c r="B30" s="779"/>
      <c r="C30" s="172"/>
      <c r="D30" s="172"/>
      <c r="E30" s="172"/>
      <c r="F30" s="172"/>
      <c r="G30" s="172"/>
      <c r="H30" s="172"/>
      <c r="I30" s="172"/>
      <c r="J30" s="666"/>
      <c r="K30" s="172"/>
      <c r="L30" s="653"/>
      <c r="M30" s="653"/>
      <c r="N30" s="174"/>
      <c r="O30" s="175"/>
      <c r="P30" s="175"/>
      <c r="Q30" s="176"/>
    </row>
    <row r="31" spans="1:17" ht="18.75" x14ac:dyDescent="0.3">
      <c r="A31" s="370" t="s">
        <v>354</v>
      </c>
      <c r="B31" s="521">
        <v>2009</v>
      </c>
      <c r="C31" s="522">
        <v>2010</v>
      </c>
      <c r="D31" s="522">
        <v>2011</v>
      </c>
      <c r="E31" s="522">
        <v>2012</v>
      </c>
      <c r="F31" s="690">
        <v>2013</v>
      </c>
      <c r="G31" s="559">
        <v>2014</v>
      </c>
      <c r="H31" s="559">
        <v>2015</v>
      </c>
      <c r="I31" s="522">
        <v>2016</v>
      </c>
      <c r="J31" s="691">
        <v>2017</v>
      </c>
      <c r="K31" s="559">
        <v>2018</v>
      </c>
      <c r="L31" s="560">
        <v>2019</v>
      </c>
      <c r="M31" s="671">
        <v>2018</v>
      </c>
      <c r="N31" s="157" t="s">
        <v>126</v>
      </c>
      <c r="O31" s="170"/>
      <c r="P31" s="170"/>
      <c r="Q31" s="171"/>
    </row>
    <row r="32" spans="1:17" x14ac:dyDescent="0.25">
      <c r="A32" s="106" t="s">
        <v>92</v>
      </c>
      <c r="B32" s="384">
        <f t="shared" ref="B32:M32" si="11">B10/B26</f>
        <v>114414.3425925926</v>
      </c>
      <c r="C32" s="42">
        <f t="shared" si="11"/>
        <v>125693.79611650485</v>
      </c>
      <c r="D32" s="42">
        <f t="shared" si="11"/>
        <v>130078.47001934236</v>
      </c>
      <c r="E32" s="42">
        <f t="shared" si="11"/>
        <v>136595.36923076923</v>
      </c>
      <c r="F32" s="42">
        <f t="shared" si="11"/>
        <v>162522.45770065076</v>
      </c>
      <c r="G32" s="42">
        <f t="shared" si="11"/>
        <v>175525.8427672956</v>
      </c>
      <c r="H32" s="42">
        <f t="shared" si="11"/>
        <v>178656.28367346938</v>
      </c>
      <c r="I32" s="42">
        <f t="shared" si="11"/>
        <v>179037.21314741037</v>
      </c>
      <c r="J32" s="417">
        <f t="shared" si="11"/>
        <v>226042.32629107981</v>
      </c>
      <c r="K32" s="42">
        <f t="shared" si="11"/>
        <v>229454.84353741497</v>
      </c>
      <c r="L32" s="446">
        <f t="shared" si="11"/>
        <v>213469.82766439908</v>
      </c>
      <c r="M32" s="446">
        <f t="shared" si="11"/>
        <v>233622.98383895663</v>
      </c>
      <c r="N32" s="174"/>
      <c r="O32" s="175"/>
      <c r="P32" s="175"/>
      <c r="Q32" s="176"/>
    </row>
    <row r="33" spans="1:29" x14ac:dyDescent="0.25">
      <c r="A33" s="353" t="s">
        <v>88</v>
      </c>
      <c r="B33" s="384">
        <f t="shared" ref="B33:M33" si="12">B11/B27</f>
        <v>1035075.3125</v>
      </c>
      <c r="C33" s="42">
        <f t="shared" si="12"/>
        <v>1046884.125</v>
      </c>
      <c r="D33" s="42">
        <f t="shared" si="12"/>
        <v>1005332.8235294118</v>
      </c>
      <c r="E33" s="42">
        <f t="shared" si="12"/>
        <v>908861.5</v>
      </c>
      <c r="F33" s="42">
        <f t="shared" si="12"/>
        <v>879660.73684210528</v>
      </c>
      <c r="G33" s="42">
        <f t="shared" si="12"/>
        <v>914362.10526315786</v>
      </c>
      <c r="H33" s="42">
        <f t="shared" si="12"/>
        <v>975386.85</v>
      </c>
      <c r="I33" s="42">
        <f t="shared" si="12"/>
        <v>1340466.4736842106</v>
      </c>
      <c r="J33" s="417">
        <f t="shared" si="12"/>
        <v>1079111.2195121951</v>
      </c>
      <c r="K33" s="42">
        <f t="shared" si="12"/>
        <v>1167159.4479830149</v>
      </c>
      <c r="L33" s="446">
        <f t="shared" si="12"/>
        <v>1212410.9554140128</v>
      </c>
      <c r="M33" s="446">
        <f t="shared" si="12"/>
        <v>1160790.0212314224</v>
      </c>
      <c r="N33" s="174"/>
      <c r="O33" s="175"/>
      <c r="P33" s="175"/>
      <c r="Q33" s="176"/>
    </row>
    <row r="34" spans="1:29" x14ac:dyDescent="0.25">
      <c r="A34" s="107" t="s">
        <v>93</v>
      </c>
      <c r="B34" s="384">
        <f t="shared" ref="B34:M34" si="13">B12/B28</f>
        <v>409277.43010752689</v>
      </c>
      <c r="C34" s="42">
        <f t="shared" si="13"/>
        <v>444434.02259887004</v>
      </c>
      <c r="D34" s="42">
        <f t="shared" si="13"/>
        <v>529779.56140350876</v>
      </c>
      <c r="E34" s="42">
        <f t="shared" si="13"/>
        <v>523058.38372093026</v>
      </c>
      <c r="F34" s="42">
        <f t="shared" si="13"/>
        <v>595152.92307692312</v>
      </c>
      <c r="G34" s="42">
        <f t="shared" si="13"/>
        <v>638354.52571428567</v>
      </c>
      <c r="H34" s="42">
        <f t="shared" si="13"/>
        <v>713064.57065217395</v>
      </c>
      <c r="I34" s="42">
        <f t="shared" si="13"/>
        <v>704329.79787234042</v>
      </c>
      <c r="J34" s="417">
        <f t="shared" si="13"/>
        <v>740046.32172131154</v>
      </c>
      <c r="K34" s="42">
        <f t="shared" si="13"/>
        <v>774793.48475646786</v>
      </c>
      <c r="L34" s="446">
        <f t="shared" si="13"/>
        <v>858905.63342645462</v>
      </c>
      <c r="M34" s="446">
        <f t="shared" si="13"/>
        <v>661972.29822834651</v>
      </c>
      <c r="N34" s="174"/>
      <c r="O34" s="175"/>
      <c r="P34" s="175"/>
      <c r="Q34" s="176"/>
    </row>
    <row r="35" spans="1:29" x14ac:dyDescent="0.25">
      <c r="A35" s="354" t="s">
        <v>78</v>
      </c>
      <c r="B35" s="384">
        <f t="shared" ref="B35:M35" si="14">B13/B29</f>
        <v>367977.68421052629</v>
      </c>
      <c r="C35" s="42">
        <f t="shared" si="14"/>
        <v>513830.80701754388</v>
      </c>
      <c r="D35" s="42">
        <f t="shared" si="14"/>
        <v>650458.52631578944</v>
      </c>
      <c r="E35" s="42">
        <f t="shared" si="14"/>
        <v>451172.33333333331</v>
      </c>
      <c r="F35" s="42">
        <f t="shared" si="14"/>
        <v>570928.96491228067</v>
      </c>
      <c r="G35" s="42">
        <f t="shared" si="14"/>
        <v>655993.3448275862</v>
      </c>
      <c r="H35" s="42">
        <f t="shared" si="14"/>
        <v>622246.98305084743</v>
      </c>
      <c r="I35" s="42">
        <f t="shared" si="14"/>
        <v>661077.4590163934</v>
      </c>
      <c r="J35" s="417">
        <f t="shared" si="14"/>
        <v>372621.49079754599</v>
      </c>
      <c r="K35" s="42">
        <f t="shared" si="14"/>
        <v>680270.27617602423</v>
      </c>
      <c r="L35" s="446">
        <f t="shared" si="14"/>
        <v>312988.88012139604</v>
      </c>
      <c r="M35" s="446">
        <f t="shared" si="14"/>
        <v>390400.73939393938</v>
      </c>
      <c r="N35" s="159"/>
      <c r="O35" s="155"/>
      <c r="P35" s="155"/>
      <c r="Q35" s="156"/>
    </row>
    <row r="36" spans="1:29" ht="16.5" thickBot="1" x14ac:dyDescent="0.3">
      <c r="A36" s="108"/>
      <c r="B36" s="384"/>
      <c r="C36" s="169"/>
      <c r="D36" s="169"/>
      <c r="E36" s="169"/>
      <c r="F36" s="169"/>
      <c r="G36" s="42"/>
      <c r="H36" s="42"/>
      <c r="I36" s="42"/>
      <c r="J36" s="417"/>
      <c r="K36" s="42"/>
      <c r="L36" s="446"/>
      <c r="M36" s="446"/>
      <c r="N36" s="159"/>
      <c r="O36" s="155"/>
      <c r="P36" s="155"/>
      <c r="Q36" s="156"/>
    </row>
    <row r="37" spans="1:29" s="278" customFormat="1" ht="18.75" x14ac:dyDescent="0.3">
      <c r="A37" s="376" t="s">
        <v>355</v>
      </c>
      <c r="B37" s="521">
        <v>2009</v>
      </c>
      <c r="C37" s="522">
        <v>2010</v>
      </c>
      <c r="D37" s="522">
        <v>2011</v>
      </c>
      <c r="E37" s="522">
        <v>2012</v>
      </c>
      <c r="F37" s="690">
        <v>2013</v>
      </c>
      <c r="G37" s="559">
        <v>2014</v>
      </c>
      <c r="H37" s="559">
        <v>2015</v>
      </c>
      <c r="I37" s="522">
        <v>2016</v>
      </c>
      <c r="J37" s="691">
        <v>2017</v>
      </c>
      <c r="K37" s="559">
        <v>2018</v>
      </c>
      <c r="L37" s="560">
        <v>2019</v>
      </c>
      <c r="M37" s="671">
        <v>2018</v>
      </c>
      <c r="N37" s="157"/>
      <c r="O37" s="170"/>
      <c r="P37" s="170"/>
      <c r="Q37" s="171"/>
      <c r="R37" s="124"/>
      <c r="S37" s="142"/>
      <c r="AC37" s="19"/>
    </row>
    <row r="38" spans="1:29" x14ac:dyDescent="0.25">
      <c r="A38" s="106" t="s">
        <v>92</v>
      </c>
      <c r="B38" s="384">
        <f t="shared" ref="B38:M38" si="15">+B50/B$2</f>
        <v>991.77937684050539</v>
      </c>
      <c r="C38" s="42">
        <f t="shared" si="15"/>
        <v>935.96223908358184</v>
      </c>
      <c r="D38" s="42">
        <f t="shared" si="15"/>
        <v>801.67395762132605</v>
      </c>
      <c r="E38" s="42">
        <f t="shared" si="15"/>
        <v>855.81991895126976</v>
      </c>
      <c r="F38" s="42">
        <f t="shared" si="15"/>
        <v>965.02616171664056</v>
      </c>
      <c r="G38" s="42">
        <f t="shared" si="15"/>
        <v>1143.3876131611921</v>
      </c>
      <c r="H38" s="42">
        <f t="shared" si="15"/>
        <v>1141.9819395260147</v>
      </c>
      <c r="I38" s="42">
        <f t="shared" si="15"/>
        <v>1229.2833904685085</v>
      </c>
      <c r="J38" s="417">
        <f t="shared" si="15"/>
        <v>1371.1779404008439</v>
      </c>
      <c r="K38" s="42">
        <f t="shared" si="15"/>
        <v>1667.2520644042349</v>
      </c>
      <c r="L38" s="446">
        <f t="shared" si="15"/>
        <v>1292.0938338819954</v>
      </c>
      <c r="M38" s="446">
        <f t="shared" si="15"/>
        <v>1466.6408324920401</v>
      </c>
      <c r="N38" s="159"/>
      <c r="O38" s="155"/>
      <c r="P38" s="155"/>
      <c r="Q38" s="156"/>
    </row>
    <row r="39" spans="1:29" x14ac:dyDescent="0.25">
      <c r="A39" s="353" t="s">
        <v>88</v>
      </c>
      <c r="B39" s="384">
        <f t="shared" ref="B39:M39" si="16">+B51/B$2</f>
        <v>254.5557613755106</v>
      </c>
      <c r="C39" s="42">
        <f t="shared" si="16"/>
        <v>226.1844941100056</v>
      </c>
      <c r="D39" s="42">
        <f t="shared" si="16"/>
        <v>347.53303471444571</v>
      </c>
      <c r="E39" s="42">
        <f t="shared" si="16"/>
        <v>211.22699413045672</v>
      </c>
      <c r="F39" s="42">
        <f t="shared" si="16"/>
        <v>249.15789398891573</v>
      </c>
      <c r="G39" s="42">
        <f t="shared" si="16"/>
        <v>303.23201036225663</v>
      </c>
      <c r="H39" s="42">
        <f t="shared" si="16"/>
        <v>309.89771179515117</v>
      </c>
      <c r="I39" s="42">
        <f t="shared" si="16"/>
        <v>277.86115480271559</v>
      </c>
      <c r="J39" s="417">
        <f t="shared" si="16"/>
        <v>303.27353639240505</v>
      </c>
      <c r="K39" s="42">
        <f t="shared" si="16"/>
        <v>349.70625922186844</v>
      </c>
      <c r="L39" s="446">
        <f t="shared" si="16"/>
        <v>353.92884274499875</v>
      </c>
      <c r="M39" s="446">
        <f t="shared" si="16"/>
        <v>337.59664518133104</v>
      </c>
      <c r="N39" s="159"/>
      <c r="O39" s="155"/>
      <c r="P39" s="155"/>
      <c r="Q39" s="156"/>
    </row>
    <row r="40" spans="1:29" x14ac:dyDescent="0.25">
      <c r="A40" s="107" t="s">
        <v>93</v>
      </c>
      <c r="B40" s="384">
        <f t="shared" ref="B40:M40" si="17">+B52/B$2</f>
        <v>1219.9340584528672</v>
      </c>
      <c r="C40" s="42">
        <f t="shared" si="17"/>
        <v>1125.5488470963362</v>
      </c>
      <c r="D40" s="42">
        <f t="shared" si="17"/>
        <v>1343.2401942961853</v>
      </c>
      <c r="E40" s="42">
        <f t="shared" si="17"/>
        <v>1254.7608918244616</v>
      </c>
      <c r="F40" s="42">
        <f t="shared" si="17"/>
        <v>1459.571692482592</v>
      </c>
      <c r="G40" s="42">
        <f t="shared" si="17"/>
        <v>1770.9912990834471</v>
      </c>
      <c r="H40" s="42">
        <f t="shared" si="17"/>
        <v>1960.2843366929992</v>
      </c>
      <c r="I40" s="42">
        <f t="shared" si="17"/>
        <v>1863.3003159239095</v>
      </c>
      <c r="J40" s="417">
        <f t="shared" si="17"/>
        <v>1972.0601265822784</v>
      </c>
      <c r="K40" s="42">
        <f t="shared" si="17"/>
        <v>2623.6030260671482</v>
      </c>
      <c r="L40" s="446">
        <f t="shared" si="17"/>
        <v>2520.2164345403899</v>
      </c>
      <c r="M40" s="446">
        <f t="shared" si="17"/>
        <v>2001.0685201004376</v>
      </c>
      <c r="N40" s="159"/>
      <c r="O40" s="155"/>
      <c r="P40" s="155"/>
      <c r="Q40" s="156"/>
    </row>
    <row r="41" spans="1:29" x14ac:dyDescent="0.25">
      <c r="A41" s="354" t="s">
        <v>78</v>
      </c>
      <c r="B41" s="384">
        <f t="shared" ref="B41:M41" si="18">+B53/B$2</f>
        <v>318.73081916342102</v>
      </c>
      <c r="C41" s="42">
        <f t="shared" si="18"/>
        <v>539.23335596823244</v>
      </c>
      <c r="D41" s="42">
        <f t="shared" si="18"/>
        <v>537.70250578089326</v>
      </c>
      <c r="E41" s="42">
        <f t="shared" si="18"/>
        <v>341.04712940396013</v>
      </c>
      <c r="F41" s="42">
        <f t="shared" si="18"/>
        <v>469.00163421912748</v>
      </c>
      <c r="G41" s="42">
        <f t="shared" si="18"/>
        <v>763.08671350331565</v>
      </c>
      <c r="H41" s="42">
        <f t="shared" si="18"/>
        <v>482.90435848542631</v>
      </c>
      <c r="I41" s="42">
        <f t="shared" si="18"/>
        <v>509.94369832627547</v>
      </c>
      <c r="J41" s="417">
        <f t="shared" si="18"/>
        <v>867.42525052742621</v>
      </c>
      <c r="K41" s="42">
        <f t="shared" si="18"/>
        <v>1678.5432165877146</v>
      </c>
      <c r="L41" s="446">
        <f t="shared" si="18"/>
        <v>711.248847809572</v>
      </c>
      <c r="M41" s="446">
        <f t="shared" si="18"/>
        <v>863.99065517330644</v>
      </c>
      <c r="N41" s="159"/>
      <c r="O41" s="155"/>
      <c r="P41" s="155"/>
      <c r="Q41" s="156"/>
    </row>
    <row r="42" spans="1:29" ht="16.5" thickBot="1" x14ac:dyDescent="0.3">
      <c r="A42" s="108"/>
      <c r="B42" s="384"/>
      <c r="C42" s="169"/>
      <c r="D42" s="169"/>
      <c r="E42" s="169"/>
      <c r="F42" s="169"/>
      <c r="G42" s="42"/>
      <c r="H42" s="42"/>
      <c r="I42" s="42"/>
      <c r="J42" s="417"/>
      <c r="K42" s="42"/>
      <c r="L42" s="446"/>
      <c r="M42" s="446"/>
      <c r="N42" s="159"/>
      <c r="O42" s="155"/>
      <c r="P42" s="155"/>
      <c r="Q42" s="156"/>
    </row>
    <row r="43" spans="1:29" s="278" customFormat="1" ht="18.75" x14ac:dyDescent="0.3">
      <c r="A43" s="376" t="s">
        <v>356</v>
      </c>
      <c r="B43" s="521">
        <v>2009</v>
      </c>
      <c r="C43" s="522">
        <v>2010</v>
      </c>
      <c r="D43" s="522">
        <v>2011</v>
      </c>
      <c r="E43" s="522">
        <v>2012</v>
      </c>
      <c r="F43" s="690">
        <v>2013</v>
      </c>
      <c r="G43" s="559">
        <v>2014</v>
      </c>
      <c r="H43" s="559">
        <v>2015</v>
      </c>
      <c r="I43" s="522">
        <v>2016</v>
      </c>
      <c r="J43" s="691">
        <v>2017</v>
      </c>
      <c r="K43" s="559">
        <v>2018</v>
      </c>
      <c r="L43" s="560">
        <v>2019</v>
      </c>
      <c r="M43" s="671">
        <v>2018</v>
      </c>
      <c r="N43" s="157"/>
      <c r="O43" s="170"/>
      <c r="P43" s="170"/>
      <c r="Q43" s="171"/>
      <c r="R43" s="124"/>
      <c r="S43" s="142"/>
      <c r="AC43" s="19"/>
    </row>
    <row r="44" spans="1:29" x14ac:dyDescent="0.25">
      <c r="A44" s="106" t="s">
        <v>92</v>
      </c>
      <c r="B44" s="384">
        <f t="shared" ref="B44:M44" si="19">+B50/B26</f>
        <v>116005.12777777777</v>
      </c>
      <c r="C44" s="42">
        <f t="shared" si="19"/>
        <v>123114.47378640776</v>
      </c>
      <c r="D44" s="42">
        <f t="shared" si="19"/>
        <v>106622.63636363637</v>
      </c>
      <c r="E44" s="42">
        <f t="shared" si="19"/>
        <v>114121.94038461539</v>
      </c>
      <c r="F44" s="42">
        <f t="shared" si="19"/>
        <v>147307.78958785249</v>
      </c>
      <c r="G44" s="42">
        <f t="shared" si="19"/>
        <v>170254.49056603774</v>
      </c>
      <c r="H44" s="42">
        <f t="shared" si="19"/>
        <v>171110.84489795918</v>
      </c>
      <c r="I44" s="42">
        <f t="shared" si="19"/>
        <v>182151.88247011951</v>
      </c>
      <c r="J44" s="417">
        <f t="shared" si="19"/>
        <v>244108.29812206572</v>
      </c>
      <c r="K44" s="42">
        <f t="shared" si="19"/>
        <v>292098.02494331065</v>
      </c>
      <c r="L44" s="446">
        <f t="shared" si="19"/>
        <v>231404.92290249432</v>
      </c>
      <c r="M44" s="446">
        <f t="shared" si="19"/>
        <v>257024.33569605899</v>
      </c>
      <c r="N44" s="159"/>
      <c r="O44" s="155"/>
      <c r="P44" s="155"/>
      <c r="Q44" s="156"/>
    </row>
    <row r="45" spans="1:29" x14ac:dyDescent="0.25">
      <c r="A45" s="353" t="s">
        <v>88</v>
      </c>
      <c r="B45" s="384">
        <f t="shared" ref="B45:M45" si="20">+B51/B27</f>
        <v>1004890.6875</v>
      </c>
      <c r="C45" s="42">
        <f t="shared" si="20"/>
        <v>957636.875</v>
      </c>
      <c r="D45" s="42">
        <f t="shared" si="20"/>
        <v>1405689.3529411764</v>
      </c>
      <c r="E45" s="42">
        <f t="shared" si="20"/>
        <v>813705.0555555555</v>
      </c>
      <c r="F45" s="42">
        <f t="shared" si="20"/>
        <v>922802.15789473685</v>
      </c>
      <c r="G45" s="42">
        <f t="shared" si="20"/>
        <v>1133561.0526315789</v>
      </c>
      <c r="H45" s="42">
        <f t="shared" si="20"/>
        <v>1137634.5</v>
      </c>
      <c r="I45" s="42">
        <f t="shared" si="20"/>
        <v>1087826.4210526317</v>
      </c>
      <c r="J45" s="385">
        <f t="shared" si="20"/>
        <v>1019967.4057649667</v>
      </c>
      <c r="K45" s="42">
        <f t="shared" si="20"/>
        <v>1147303.8216560509</v>
      </c>
      <c r="L45" s="446">
        <f t="shared" si="20"/>
        <v>1186976.6454352441</v>
      </c>
      <c r="M45" s="446">
        <f t="shared" si="20"/>
        <v>1107575.0318471338</v>
      </c>
      <c r="N45" s="159"/>
      <c r="O45" s="155"/>
      <c r="P45" s="155"/>
      <c r="Q45" s="156"/>
    </row>
    <row r="46" spans="1:29" x14ac:dyDescent="0.25">
      <c r="A46" s="107" t="s">
        <v>93</v>
      </c>
      <c r="B46" s="384">
        <f t="shared" ref="B46:M46" si="21">+B52/B28</f>
        <v>414265.99462365592</v>
      </c>
      <c r="C46" s="42">
        <f t="shared" si="21"/>
        <v>430773.61581920902</v>
      </c>
      <c r="D46" s="42">
        <f t="shared" si="21"/>
        <v>540131.80701754382</v>
      </c>
      <c r="E46" s="42">
        <f t="shared" si="21"/>
        <v>505851.01744186046</v>
      </c>
      <c r="F46" s="42">
        <f t="shared" si="21"/>
        <v>607751.83431952668</v>
      </c>
      <c r="G46" s="42">
        <f t="shared" si="21"/>
        <v>718789.70857142855</v>
      </c>
      <c r="H46" s="42">
        <f t="shared" si="21"/>
        <v>782196.06521739135</v>
      </c>
      <c r="I46" s="42">
        <f t="shared" si="21"/>
        <v>737242.52127659577</v>
      </c>
      <c r="J46" s="417">
        <f t="shared" si="21"/>
        <v>766193.85245901649</v>
      </c>
      <c r="K46" s="42">
        <f t="shared" si="21"/>
        <v>984840.60245354066</v>
      </c>
      <c r="L46" s="446">
        <f t="shared" si="21"/>
        <v>967067.62540993572</v>
      </c>
      <c r="M46" s="446">
        <f t="shared" si="21"/>
        <v>760859.03543307085</v>
      </c>
      <c r="N46" s="159"/>
      <c r="O46" s="155"/>
      <c r="P46" s="155"/>
      <c r="Q46" s="156"/>
    </row>
    <row r="47" spans="1:29" x14ac:dyDescent="0.25">
      <c r="A47" s="354" t="s">
        <v>78</v>
      </c>
      <c r="B47" s="384">
        <f t="shared" ref="B47:M47" si="22">+B53/B29</f>
        <v>353187.29824561405</v>
      </c>
      <c r="C47" s="42">
        <f t="shared" si="22"/>
        <v>640855.19298245618</v>
      </c>
      <c r="D47" s="42">
        <f t="shared" si="22"/>
        <v>648648.4561403509</v>
      </c>
      <c r="E47" s="42">
        <f t="shared" si="22"/>
        <v>414886.82456140348</v>
      </c>
      <c r="F47" s="42">
        <f t="shared" si="22"/>
        <v>579011.31578947371</v>
      </c>
      <c r="G47" s="42">
        <f t="shared" si="22"/>
        <v>934478.62068965519</v>
      </c>
      <c r="H47" s="42">
        <f t="shared" si="22"/>
        <v>600929.45762711868</v>
      </c>
      <c r="I47" s="42">
        <f t="shared" si="22"/>
        <v>621838.72131147538</v>
      </c>
      <c r="J47" s="417">
        <f t="shared" si="22"/>
        <v>403592.21472392639</v>
      </c>
      <c r="K47" s="42">
        <f t="shared" si="22"/>
        <v>787178.18512898334</v>
      </c>
      <c r="L47" s="446">
        <f t="shared" si="22"/>
        <v>340967.73292867979</v>
      </c>
      <c r="M47" s="446">
        <f t="shared" si="22"/>
        <v>404567.55151515151</v>
      </c>
      <c r="N47" s="159"/>
      <c r="O47" s="155"/>
      <c r="P47" s="155"/>
      <c r="Q47" s="156"/>
    </row>
    <row r="48" spans="1:29" ht="19.5" thickBot="1" x14ac:dyDescent="0.3">
      <c r="A48" s="154"/>
      <c r="B48" s="418"/>
      <c r="C48" s="116"/>
      <c r="D48" s="115"/>
      <c r="E48" s="116"/>
      <c r="F48" s="117"/>
      <c r="G48" s="115"/>
      <c r="H48" s="115"/>
      <c r="I48" s="115"/>
      <c r="J48" s="664"/>
      <c r="K48" s="141"/>
      <c r="L48" s="166"/>
      <c r="M48" s="166"/>
      <c r="N48" s="157"/>
      <c r="O48" s="170"/>
      <c r="P48" s="170"/>
      <c r="Q48" s="171"/>
    </row>
    <row r="49" spans="1:29" s="278" customFormat="1" ht="18.75" x14ac:dyDescent="0.3">
      <c r="A49" s="376" t="s">
        <v>357</v>
      </c>
      <c r="B49" s="521">
        <v>2009</v>
      </c>
      <c r="C49" s="522">
        <v>2010</v>
      </c>
      <c r="D49" s="522">
        <v>2011</v>
      </c>
      <c r="E49" s="522">
        <v>2012</v>
      </c>
      <c r="F49" s="690">
        <v>2013</v>
      </c>
      <c r="G49" s="559">
        <v>2014</v>
      </c>
      <c r="H49" s="559">
        <v>2015</v>
      </c>
      <c r="I49" s="522">
        <v>2016</v>
      </c>
      <c r="J49" s="691">
        <v>2017</v>
      </c>
      <c r="K49" s="559">
        <v>2018</v>
      </c>
      <c r="L49" s="560">
        <v>2019</v>
      </c>
      <c r="M49" s="671">
        <v>2018</v>
      </c>
      <c r="N49" s="157" t="s">
        <v>126</v>
      </c>
      <c r="O49" s="170">
        <v>2017</v>
      </c>
      <c r="P49" s="170">
        <v>2018</v>
      </c>
      <c r="Q49" s="171" t="s">
        <v>159</v>
      </c>
      <c r="R49" s="124"/>
      <c r="S49" s="142"/>
      <c r="AC49" s="19"/>
    </row>
    <row r="50" spans="1:29" x14ac:dyDescent="0.25">
      <c r="A50" s="677" t="s">
        <v>92</v>
      </c>
      <c r="B50" s="380">
        <f>+Legis!B16+'Exec-Legal'!B17+'City Clerk'!B16+'Cult. Svc.'!B16+'Dev. Svc.'!B16+'Econ Dev'!B16+Finance!B16+'Human Res'!B16+IT!B16+Library!B16+'Parks &amp; Rec'!B16+Police!B16+'Public Works'!B16+'Non Dept '!B17+'Water &amp; Power'!B16+LFRA!B17</f>
        <v>62642769</v>
      </c>
      <c r="C50" s="315">
        <f>+Legis!C16+'Exec-Legal'!C17+'City Clerk'!C16+'Cult. Svc.'!C16+'Dev. Svc.'!C16+'Econ Dev'!C16+Finance!C16+'Human Res'!C16+IT!C16+Library!C16+'Parks &amp; Rec'!C16+Police!C16+'Public Works'!C16+'Non Dept '!C17+'Water &amp; Power'!C16+LFRA!C17</f>
        <v>63403954</v>
      </c>
      <c r="D50" s="315">
        <f>+Legis!D16+'Exec-Legal'!D17+'City Clerk'!D16+'Cult. Svc.'!D16+'Dev. Svc.'!D16+'Econ Dev'!D16+Finance!D16+'Human Res'!D16+IT!D16+Library!D16+'Parks &amp; Rec'!D16+Police!D16+'Public Works'!D16+'Non Dept '!D17+'Water &amp; Power'!D16+LFRA!D17</f>
        <v>55123903</v>
      </c>
      <c r="E50" s="315">
        <f>+Legis!E16+'Exec-Legal'!E17+'City Clerk'!E16+'Cult. Svc.'!E16+'Dev. Svc.'!E16+'Econ Dev'!E16+Finance!E16+'Human Res'!E16+IT!E16+Library!E16+'Parks &amp; Rec'!E16+Police!E16+'Public Works'!E16+'Non Dept '!E17+'Water &amp; Power'!E16+LFRA!E17</f>
        <v>59343409</v>
      </c>
      <c r="F50" s="315">
        <f>+Legis!F16+'Exec-Legal'!F17+'City Clerk'!F16+'Cult. Svc.'!F16+'Dev. Svc.'!F16+'Econ Dev'!F16+Finance!F16+'Human Res'!F16+IT!F16+Library!F16+'Parks &amp; Rec'!F16+Police!F16+'Public Works'!F16+'Non Dept '!F17+'Water &amp; Power'!F16+LFRA!F17</f>
        <v>67908891</v>
      </c>
      <c r="G50" s="315">
        <f>+Legis!G16+'Exec-Legal'!G17+'City Clerk'!G16+'Cult. Svc.'!G16+'Dev. Svc.'!G16+'Econ Dev'!G16+Finance!G16+'Human Res'!G16+IT!G16+Library!G16+'Parks &amp; Rec'!G16+Police!G16+'Public Works'!G16+'Non Dept '!G17+'Water &amp; Power'!G16+LFRA!G17</f>
        <v>81211392</v>
      </c>
      <c r="H50" s="315">
        <f>+Legis!H16+'Exec-Legal'!H17+'City Clerk'!H16+'Cult. Svc.'!H16+'Dev. Svc.'!H16+'Econ Dev'!H16+Finance!H16+'Human Res'!H16+IT!H16+Library!H16+'Parks &amp; Rec'!H16+Police!H16+'Public Works'!H16+'Non Dept '!H17+'Water &amp; Power'!H16+LFRA!H17</f>
        <v>83844314</v>
      </c>
      <c r="I50" s="315">
        <f>+Legis!I16+'Exec-Legal'!I17+'City Clerk'!I16+'Cult. Svc.'!I16+'Dev. Svc.'!I16+'Econ Dev'!I16+Finance!I16+'Human Res'!I16+IT!I16+Library!I16+'Parks &amp; Rec'!I16+Police!I16+'Public Works'!I16+'Non Dept '!I17+'Water &amp; Power'!I16+LFRA!I17</f>
        <v>91440245</v>
      </c>
      <c r="J50" s="381">
        <f>+Legis!J16+'Exec-Legal'!J17+'City Clerk'!J16+'Cult. Svc.'!J16+'Dev. Svc.'!J16+'Econ Dev'!J16+Finance!J16+'Human Res'!J16+IT!J16+Library!J16+'Parks &amp; Rec'!J16+Police!J16+'Public Works'!J16+'Non Dept '!J17+'Water &amp; Power'!J16+LFRA!J17</f>
        <v>103990135</v>
      </c>
      <c r="K50" s="315">
        <f>+Legis!K16+'Exec-Legal'!K17+'City Clerk'!K16+'Cult. Svc.'!K16+'Dev. Svc.'!K16+'Econ Dev'!K16+Finance!K16+'Human Res'!K16+IT!K16+Library!K16+'Parks &amp; Rec'!K16+Police!K16+'Public Works'!K16+'Non Dept '!K17+'Water &amp; Power'!K16+LFRA!K17</f>
        <v>128815229</v>
      </c>
      <c r="L50" s="372">
        <f>+Legis!L16+'Exec-Legal'!L17+'City Clerk'!L16+'Cult. Svc.'!L16+'Dev. Svc.'!L16+'Econ Dev'!L16+Finance!L16+'Human Res'!L16+IT!L16+Library!L16+'Parks &amp; Rec'!L16+Police!L16+'Public Works'!L16+'Non Dept '!L17+'Water &amp; Power'!L16+LFRA!L17</f>
        <v>102049571</v>
      </c>
      <c r="M50" s="655">
        <f>+Legis!M16+'Exec-Legal'!M17+'City Clerk'!M16+'Cult. Svc.'!M16+'Dev. Svc.'!M16+'Econ Dev'!M16+Finance!M16+'Human Res'!M16+IT!M16+Library!M16+'Parks &amp; Rec'!M16+Police!M16+'Public Works'!M16+'Non Dept '!M17+'Water &amp; Power'!M16+LFRA!M17</f>
        <v>113315604</v>
      </c>
      <c r="N50" s="692">
        <v>55</v>
      </c>
      <c r="O50" s="315">
        <v>103990136</v>
      </c>
      <c r="P50" s="315">
        <v>113315604</v>
      </c>
      <c r="Q50" s="372">
        <v>102049572</v>
      </c>
    </row>
    <row r="51" spans="1:29" x14ac:dyDescent="0.25">
      <c r="A51" s="752" t="s">
        <v>88</v>
      </c>
      <c r="B51" s="380">
        <f>+Legis!B17+'Exec-Legal'!B18+'City Clerk'!B17+'Cult. Svc.'!B17+'Dev. Svc.'!B17+'Econ Dev'!B17+Finance!B17+'Human Res'!B17+IT!B17+Library!B17+'Parks &amp; Rec'!B17+Police!B17+'Public Works'!B17+'Non Dept '!B18+'Water &amp; Power'!B17+LFRA!B18</f>
        <v>16078251</v>
      </c>
      <c r="C51" s="315">
        <f>+Legis!C17+'Exec-Legal'!C18+'City Clerk'!C17+'Cult. Svc.'!C17+'Dev. Svc.'!C17+'Econ Dev'!C17+Finance!C17+'Human Res'!C17+IT!C17+Library!C17+'Parks &amp; Rec'!C17+Police!C17+'Public Works'!C17+'Non Dept '!C18+'Water &amp; Power'!C17+LFRA!C18</f>
        <v>15322190</v>
      </c>
      <c r="D51" s="315">
        <f>+Legis!D17+'Exec-Legal'!D18+'City Clerk'!D17+'Cult. Svc.'!D17+'Dev. Svc.'!D17+'Econ Dev'!D17+Finance!D17+'Human Res'!D17+IT!D17+Library!D17+'Parks &amp; Rec'!D17+Police!D17+'Public Works'!D17+'Non Dept '!D18+'Water &amp; Power'!D17+LFRA!D18</f>
        <v>23896719</v>
      </c>
      <c r="E51" s="315">
        <f>+Legis!E17+'Exec-Legal'!E18+'City Clerk'!E17+'Cult. Svc.'!E17+'Dev. Svc.'!E17+'Econ Dev'!E17+Finance!E17+'Human Res'!E17+IT!E17+Library!E17+'Parks &amp; Rec'!E17+Police!E17+'Public Works'!E17+'Non Dept '!E18+'Water &amp; Power'!E17+LFRA!E18</f>
        <v>14646691</v>
      </c>
      <c r="F51" s="315">
        <f>+Legis!F17+'Exec-Legal'!F18+'City Clerk'!F17+'Cult. Svc.'!F17+'Dev. Svc.'!F17+'Econ Dev'!F17+Finance!F17+'Human Res'!F17+IT!F17+Library!F17+'Parks &amp; Rec'!F17+Police!F17+'Public Works'!F17+'Non Dept '!F18+'Water &amp; Power'!F17+LFRA!F18</f>
        <v>17533241</v>
      </c>
      <c r="G51" s="315">
        <f>+Legis!G17+'Exec-Legal'!G18+'City Clerk'!G17+'Cult. Svc.'!G17+'Dev. Svc.'!G17+'Econ Dev'!G17+Finance!G17+'Human Res'!G17+IT!G17+Library!G17+'Parks &amp; Rec'!G17+Police!G17+'Public Works'!G17+'Non Dept '!G18+'Water &amp; Power'!G17+LFRA!G18</f>
        <v>21537660</v>
      </c>
      <c r="H51" s="315">
        <f>+Legis!H17+'Exec-Legal'!H18+'City Clerk'!H17+'Cult. Svc.'!H17+'Dev. Svc.'!H17+'Econ Dev'!H17+Finance!H17+'Human Res'!H17+IT!H17+Library!H17+'Parks &amp; Rec'!H17+Police!H17+'Public Works'!H17+'Non Dept '!H18+'Water &amp; Power'!H17+LFRA!H18</f>
        <v>22752690</v>
      </c>
      <c r="I51" s="315">
        <f>+Legis!I17+'Exec-Legal'!I18+'City Clerk'!I17+'Cult. Svc.'!I17+'Dev. Svc.'!I17+'Econ Dev'!I17+Finance!I17+'Human Res'!I17+IT!I17+Library!I17+'Parks &amp; Rec'!I17+Police!I17+'Public Works'!I17+'Non Dept '!I18+'Water &amp; Power'!I17+LFRA!I18</f>
        <v>20668702</v>
      </c>
      <c r="J51" s="381">
        <f>+Legis!J17+'Exec-Legal'!J18+'City Clerk'!J17+'Cult. Svc.'!J17+'Dev. Svc.'!J17+'Econ Dev'!J17+Finance!J17+'Human Res'!J17+IT!J17+Library!J17+'Parks &amp; Rec'!J17+Police!J17+'Public Works'!J17+'Non Dept '!J18+'Water &amp; Power'!J17+LFRA!J18</f>
        <v>23000265</v>
      </c>
      <c r="K51" s="315">
        <f>+Legis!K17+'Exec-Legal'!K18+'City Clerk'!K17+'Cult. Svc.'!K17+'Dev. Svc.'!K17+'Econ Dev'!K17+Finance!K17+'Human Res'!K17+IT!K17+Library!K17+'Parks &amp; Rec'!K17+Police!K17+'Public Works'!K17+'Non Dept '!K18+'Water &amp; Power'!K17+LFRA!K18</f>
        <v>27019005</v>
      </c>
      <c r="L51" s="372">
        <f>+Legis!L17+'Exec-Legal'!L18+'City Clerk'!L17+'Cult. Svc.'!L17+'Dev. Svc.'!L17+'Econ Dev'!L17+Finance!L17+'Human Res'!L17+IT!L17+Library!L17+'Parks &amp; Rec'!L17+Police!L17+'Public Works'!L17+'Non Dept '!L18+'Water &amp; Power'!L17+LFRA!L18</f>
        <v>27953300</v>
      </c>
      <c r="M51" s="655">
        <f>+Legis!M17+'Exec-Legal'!M18+'City Clerk'!M17+'Cult. Svc.'!M17+'Dev. Svc.'!M17+'Econ Dev'!M17+Finance!M17+'Human Res'!M17+IT!M17+Library!M17+'Parks &amp; Rec'!M17+Police!M17+'Public Works'!M17+'Non Dept '!M18+'Water &amp; Power'!M17+LFRA!M18</f>
        <v>26083392</v>
      </c>
      <c r="N51" s="693">
        <v>82</v>
      </c>
      <c r="O51" s="315">
        <v>23000265</v>
      </c>
      <c r="P51" s="315">
        <v>26083392</v>
      </c>
      <c r="Q51" s="372">
        <v>27953300</v>
      </c>
    </row>
    <row r="52" spans="1:29" x14ac:dyDescent="0.25">
      <c r="A52" s="753" t="s">
        <v>93</v>
      </c>
      <c r="B52" s="380">
        <f>+Legis!B18+'Exec-Legal'!B19+'City Clerk'!B18+'Cult. Svc.'!B18+'Dev. Svc.'!B18+'Econ Dev'!B18+Finance!B18+'Human Res'!B18+IT!B18+Library!B18+'Parks &amp; Rec'!B18+Police!B18+'Public Works'!B18+'Non Dept '!B19+'Water &amp; Power'!B18+LFRA!B19</f>
        <v>77053475</v>
      </c>
      <c r="C52" s="315">
        <f>+Legis!C18+'Exec-Legal'!C19+'City Clerk'!C18+'Cult. Svc.'!C18+'Dev. Svc.'!C18+'Econ Dev'!C18+Finance!C18+'Human Res'!C18+IT!C18+Library!C18+'Parks &amp; Rec'!C18+Police!C18+'Public Works'!C18+'Non Dept '!C19+'Water &amp; Power'!C18+LFRA!C19</f>
        <v>76246930</v>
      </c>
      <c r="D52" s="315">
        <f>+Legis!D18+'Exec-Legal'!D19+'City Clerk'!D18+'Cult. Svc.'!D18+'Dev. Svc.'!D18+'Econ Dev'!D18+Finance!D18+'Human Res'!D18+IT!D18+Library!D18+'Parks &amp; Rec'!D18+Police!D18+'Public Works'!D18+'Non Dept '!D19+'Water &amp; Power'!D18+LFRA!D19</f>
        <v>92362539</v>
      </c>
      <c r="E52" s="315">
        <f>+Legis!E18+'Exec-Legal'!E19+'City Clerk'!E18+'Cult. Svc.'!E18+'Dev. Svc.'!E18+'Econ Dev'!E18+Finance!E18+'Human Res'!E18+IT!E18+Library!E18+'Parks &amp; Rec'!E18+Police!E18+'Public Works'!E18+'Non Dept '!E19+'Water &amp; Power'!E18+LFRA!E19</f>
        <v>87006375</v>
      </c>
      <c r="F52" s="315">
        <f>+Legis!F18+'Exec-Legal'!F19+'City Clerk'!F18+'Cult. Svc.'!F18+'Dev. Svc.'!F18+'Econ Dev'!F18+Finance!F18+'Human Res'!F18+IT!F18+Library!F18+'Parks &amp; Rec'!F18+Police!F18+'Public Works'!F18+'Non Dept '!F19+'Water &amp; Power'!F18+LFRA!F19</f>
        <v>102710060</v>
      </c>
      <c r="G52" s="315">
        <f>+Legis!G18+'Exec-Legal'!G19+'City Clerk'!G18+'Cult. Svc.'!G18+'Dev. Svc.'!G18+'Econ Dev'!G18+Finance!G18+'Human Res'!G18+IT!G18+Library!G18+'Parks &amp; Rec'!G18+Police!G18+'Public Works'!G18+'Non Dept '!G19+'Water &amp; Power'!G18+LFRA!G19</f>
        <v>125788199</v>
      </c>
      <c r="H52" s="315">
        <f>+Legis!H18+'Exec-Legal'!H19+'City Clerk'!H18+'Cult. Svc.'!H18+'Dev. Svc.'!H18+'Econ Dev'!H18+Finance!H18+'Human Res'!H18+IT!H18+Library!H18+'Parks &amp; Rec'!H18+Police!H18+'Public Works'!H18+'Non Dept '!H19+'Water &amp; Power'!H18+LFRA!H19</f>
        <v>143924076</v>
      </c>
      <c r="I52" s="315">
        <f>+Legis!I18+'Exec-Legal'!I19+'City Clerk'!I18+'Cult. Svc.'!I18+'Dev. Svc.'!I18+'Econ Dev'!I18+Finance!I18+'Human Res'!I18+IT!I18+Library!I18+'Parks &amp; Rec'!I18+Police!I18+'Public Works'!I18+'Non Dept '!I19+'Water &amp; Power'!I18+LFRA!I19</f>
        <v>138601594</v>
      </c>
      <c r="J52" s="381">
        <f>+Legis!J18+'Exec-Legal'!J19+'City Clerk'!J18+'Cult. Svc.'!J18+'Dev. Svc.'!J18+'Econ Dev'!J18+Finance!J18+'Human Res'!J18+IT!J18+Library!J18+'Parks &amp; Rec'!J18+Police!J18+'Public Works'!J18+'Non Dept '!J19+'Water &amp; Power'!J18+LFRA!J19</f>
        <v>149561040</v>
      </c>
      <c r="K52" s="315">
        <f>+Legis!K18+'Exec-Legal'!K19+'City Clerk'!K18+'Cult. Svc.'!K18+'Dev. Svc.'!K18+'Econ Dev'!K18+Finance!K18+'Human Res'!K18+IT!K18+Library!K18+'Parks &amp; Rec'!K18+Police!K18+'Public Works'!K18+'Non Dept '!K19+'Water &amp; Power'!K18+LFRA!K19</f>
        <v>202704817</v>
      </c>
      <c r="L52" s="372">
        <f>+Legis!L18+'Exec-Legal'!L19+'City Clerk'!L18+'Cult. Svc.'!L18+'Dev. Svc.'!L18+'Econ Dev'!L18+Finance!L18+'Human Res'!L18+IT!L18+Library!L18+'Parks &amp; Rec'!L18+Police!L18+'Public Works'!L18+'Non Dept '!L19+'Water &amp; Power'!L18+LFRA!L19</f>
        <v>199046694</v>
      </c>
      <c r="M52" s="655">
        <f>+Legis!M18+'Exec-Legal'!M19+'City Clerk'!M18+'Cult. Svc.'!M18+'Dev. Svc.'!M18+'Econ Dev'!M18+Finance!M18+'Human Res'!M18+IT!M18+Library!M18+'Parks &amp; Rec'!M18+Police!M18+'Public Works'!M18+'Non Dept '!M19+'Water &amp; Power'!M18+LFRA!M19</f>
        <v>154606556</v>
      </c>
      <c r="N52" s="692">
        <v>73</v>
      </c>
      <c r="O52" s="315">
        <v>149561038</v>
      </c>
      <c r="P52" s="315">
        <v>154606556</v>
      </c>
      <c r="Q52" s="372">
        <v>199046693</v>
      </c>
    </row>
    <row r="53" spans="1:29" x14ac:dyDescent="0.25">
      <c r="A53" s="754" t="s">
        <v>78</v>
      </c>
      <c r="B53" s="380">
        <f>+Legis!B19+'Exec-Legal'!B20+'City Clerk'!B19+'Cult. Svc.'!B19+'Dev. Svc.'!B19+'Econ Dev'!B19+Finance!B19+'Human Res'!B19+IT!B19+Library!B19+'Parks &amp; Rec'!B19+Police!B19+'Public Works'!B19+'Non Dept '!B20+'Water &amp; Power'!B19+LFRA!B21+'Non Dept '!B21</f>
        <v>20131676</v>
      </c>
      <c r="C53" s="315">
        <f>+Legis!C19+'Exec-Legal'!C20+'City Clerk'!C19+'Cult. Svc.'!C19+'Dev. Svc.'!C19+'Econ Dev'!C19+Finance!C19+'Human Res'!C19+IT!C19+Library!C19+'Parks &amp; Rec'!C19+Police!C19+'Public Works'!C19+'Non Dept '!C20+'Water &amp; Power'!C19+LFRA!C21+'Non Dept '!C21</f>
        <v>36528746</v>
      </c>
      <c r="D53" s="315">
        <f>+Legis!D19+'Exec-Legal'!D20+'City Clerk'!D19+'Cult. Svc.'!D19+'Dev. Svc.'!D19+'Econ Dev'!D19+Finance!D19+'Human Res'!D19+IT!D19+Library!D19+'Parks &amp; Rec'!D19+Police!D19+'Public Works'!D19+'Non Dept '!D20+'Water &amp; Power'!D19+LFRA!D21+'Non Dept '!D21</f>
        <v>36972962</v>
      </c>
      <c r="E53" s="315">
        <f>+Legis!E19+'Exec-Legal'!E20+'City Clerk'!E19+'Cult. Svc.'!E19+'Dev. Svc.'!E19+'Econ Dev'!E19+Finance!E19+'Human Res'!E19+IT!E19+Library!E19+'Parks &amp; Rec'!E19+Police!E19+'Public Works'!E19+'Non Dept '!E20+'Water &amp; Power'!E19+LFRA!E21+'Non Dept '!E21</f>
        <v>23648549</v>
      </c>
      <c r="F53" s="315">
        <f>+Legis!F19+'Exec-Legal'!F20+'City Clerk'!F19+'Cult. Svc.'!F19+'Dev. Svc.'!F19+'Econ Dev'!F19+Finance!F19+'Human Res'!F19+IT!F19+Library!F19+'Parks &amp; Rec'!F19+Police!F19+'Public Works'!F19+'Non Dept '!F20+'Water &amp; Power'!F19+LFRA!F21+'Non Dept '!F21</f>
        <v>33003645</v>
      </c>
      <c r="G53" s="315">
        <f>+Legis!G19+'Exec-Legal'!G20+'City Clerk'!G19+'Cult. Svc.'!G19+'Dev. Svc.'!G19+'Econ Dev'!G19+Finance!G19+'Human Res'!G19+IT!G19+Library!G19+'Parks &amp; Rec'!G19+Police!G19+'Public Works'!G19+'Non Dept '!G20+'Water &amp; Power'!G19+LFRA!G21+'Non Dept '!G21</f>
        <v>54199760</v>
      </c>
      <c r="H53" s="315">
        <f>+Legis!H19+'Exec-Legal'!H20+'City Clerk'!H19+'Cult. Svc.'!H19+'Dev. Svc.'!H19+'Econ Dev'!H19+Finance!H19+'Human Res'!H19+IT!H19+Library!H19+'Parks &amp; Rec'!H19+Police!H19+'Public Works'!H19+'Non Dept '!H20+'Water &amp; Power'!H19+LFRA!H21+'Non Dept '!H21</f>
        <v>35454838</v>
      </c>
      <c r="I53" s="315">
        <f>+Legis!I19+'Exec-Legal'!I20+'City Clerk'!I19+'Cult. Svc.'!I19+'Dev. Svc.'!I19+'Econ Dev'!I19+Finance!I19+'Human Res'!I19+IT!I19+Library!I19+'Parks &amp; Rec'!I19+Police!I19+'Public Works'!I19+'Non Dept '!I20+'Water &amp; Power'!I19+LFRA!I21+'Non Dept '!I21</f>
        <v>37932162</v>
      </c>
      <c r="J53" s="381">
        <f>+Legis!J19+'Exec-Legal'!J20+'City Clerk'!J19+'Cult. Svc.'!J19+'Dev. Svc.'!J19+'Econ Dev'!J19+Finance!J19+'Human Res'!J19+IT!J19+Library!J19+'Parks &amp; Rec'!J19+Police!J19+'Public Works'!J19+'Non Dept '!J20+'Water &amp; Power'!J19+LFRA!J21+'Non Dept '!J21</f>
        <v>65785531</v>
      </c>
      <c r="K53" s="315">
        <f>+Legis!K19+'Exec-Legal'!K20+'City Clerk'!K19+'Cult. Svc.'!K19+'Dev. Svc.'!K19+'Econ Dev'!K19+Finance!K19+'Human Res'!K19+IT!K19+Library!K19+'Parks &amp; Rec'!K19+Police!K19+'Public Works'!K19+'Non Dept '!K20+'Water &amp; Power'!K19+LFRA!K21+'Non Dept '!K21</f>
        <v>129687606</v>
      </c>
      <c r="L53" s="372">
        <f>+Legis!L19+'Exec-Legal'!L20+'City Clerk'!L19+'Cult. Svc.'!L19+'Dev. Svc.'!L19+'Econ Dev'!L19+Finance!L19+'Human Res'!L19+IT!L19+Library!L19+'Parks &amp; Rec'!L19+Police!L19+'Public Works'!L19+'Non Dept '!L20+'Water &amp; Power'!L19+LFRA!L21+'Non Dept '!L21</f>
        <v>56174434</v>
      </c>
      <c r="M53" s="655">
        <f>+Legis!M19+'Exec-Legal'!M20+'City Clerk'!M19+'Cult. Svc.'!M19+'Dev. Svc.'!M19+'Econ Dev'!M19+Finance!M19+'Human Res'!M19+IT!M19+Library!M19+'Parks &amp; Rec'!M19+Police!M19+'Public Works'!M19+'Non Dept '!M20+'Water &amp; Power'!M19+LFRA!M21+'Non Dept '!M21</f>
        <v>66753646</v>
      </c>
      <c r="N53" s="694" t="s">
        <v>271</v>
      </c>
      <c r="O53" s="315">
        <v>65785531</v>
      </c>
      <c r="P53" s="315">
        <v>66753646</v>
      </c>
      <c r="Q53" s="372">
        <v>56174434</v>
      </c>
    </row>
    <row r="54" spans="1:29" s="278" customFormat="1" ht="16.5" thickBot="1" x14ac:dyDescent="0.3">
      <c r="A54" s="754"/>
      <c r="B54" s="380"/>
      <c r="C54" s="315"/>
      <c r="D54" s="315"/>
      <c r="E54" s="315"/>
      <c r="F54" s="315"/>
      <c r="G54" s="315"/>
      <c r="H54" s="315"/>
      <c r="I54" s="315"/>
      <c r="J54" s="381"/>
      <c r="K54" s="315"/>
      <c r="L54" s="372"/>
      <c r="M54" s="293"/>
      <c r="N54" s="694"/>
      <c r="O54" s="315"/>
      <c r="P54" s="315"/>
      <c r="Q54" s="372"/>
      <c r="R54" s="124"/>
      <c r="S54" s="142"/>
      <c r="AC54" s="19"/>
    </row>
    <row r="55" spans="1:29" s="278" customFormat="1" ht="17.25" thickTop="1" thickBot="1" x14ac:dyDescent="0.3">
      <c r="A55" s="474" t="s">
        <v>109</v>
      </c>
      <c r="B55" s="604">
        <f t="shared" ref="B55:M55" si="23">SUM(B50:B53)</f>
        <v>175906171</v>
      </c>
      <c r="C55" s="605">
        <f t="shared" si="23"/>
        <v>191501820</v>
      </c>
      <c r="D55" s="605">
        <f t="shared" si="23"/>
        <v>208356123</v>
      </c>
      <c r="E55" s="605">
        <f t="shared" si="23"/>
        <v>184645024</v>
      </c>
      <c r="F55" s="605">
        <f t="shared" si="23"/>
        <v>221155837</v>
      </c>
      <c r="G55" s="605">
        <f t="shared" si="23"/>
        <v>282737011</v>
      </c>
      <c r="H55" s="605">
        <f t="shared" si="23"/>
        <v>285975918</v>
      </c>
      <c r="I55" s="605">
        <f t="shared" si="23"/>
        <v>288642703</v>
      </c>
      <c r="J55" s="606">
        <f t="shared" si="23"/>
        <v>342336971</v>
      </c>
      <c r="K55" s="605">
        <f t="shared" si="23"/>
        <v>488226657</v>
      </c>
      <c r="L55" s="607">
        <f t="shared" si="23"/>
        <v>385223999</v>
      </c>
      <c r="M55" s="433">
        <f t="shared" si="23"/>
        <v>360759198</v>
      </c>
      <c r="N55" s="692"/>
      <c r="O55" s="2">
        <f>SUM(O50:O53)</f>
        <v>342336970</v>
      </c>
      <c r="P55" s="278">
        <f>SUM(P50:P53)</f>
        <v>360759198</v>
      </c>
      <c r="Q55" s="163">
        <f>SUM(Q50:Q53)</f>
        <v>385223999</v>
      </c>
      <c r="R55" s="124"/>
      <c r="S55" s="142"/>
    </row>
    <row r="56" spans="1:29" s="19" customFormat="1" hidden="1" x14ac:dyDescent="0.25">
      <c r="A56" s="755"/>
      <c r="B56" s="780">
        <v>175906170</v>
      </c>
      <c r="C56" s="294">
        <v>191501817</v>
      </c>
      <c r="D56" s="294">
        <v>208356123</v>
      </c>
      <c r="E56" s="294">
        <v>184645024</v>
      </c>
      <c r="F56" s="294">
        <v>221155835</v>
      </c>
      <c r="G56" s="294">
        <v>282737010</v>
      </c>
      <c r="H56" s="294">
        <v>285975924</v>
      </c>
      <c r="I56" s="294">
        <v>288642706</v>
      </c>
      <c r="J56" s="667">
        <v>342336970</v>
      </c>
      <c r="K56" s="294">
        <v>488226657</v>
      </c>
      <c r="L56" s="657">
        <v>385223999</v>
      </c>
      <c r="M56" s="656">
        <v>360759198</v>
      </c>
      <c r="N56" s="692"/>
      <c r="O56" s="294">
        <v>342336970</v>
      </c>
      <c r="P56" s="294">
        <v>360759198</v>
      </c>
      <c r="Q56" s="657">
        <v>385223999</v>
      </c>
      <c r="R56" s="124"/>
      <c r="S56" s="142"/>
    </row>
    <row r="57" spans="1:29" s="19" customFormat="1" hidden="1" x14ac:dyDescent="0.25">
      <c r="A57" s="756" t="s">
        <v>142</v>
      </c>
      <c r="B57" s="780">
        <f>+B55-B56</f>
        <v>1</v>
      </c>
      <c r="C57" s="294">
        <f t="shared" ref="C57:J57" si="24">+C55-C56</f>
        <v>3</v>
      </c>
      <c r="D57" s="294">
        <f t="shared" si="24"/>
        <v>0</v>
      </c>
      <c r="E57" s="294">
        <f t="shared" si="24"/>
        <v>0</v>
      </c>
      <c r="F57" s="294">
        <f t="shared" si="24"/>
        <v>2</v>
      </c>
      <c r="G57" s="294">
        <f t="shared" si="24"/>
        <v>1</v>
      </c>
      <c r="H57" s="294">
        <f t="shared" si="24"/>
        <v>-6</v>
      </c>
      <c r="I57" s="294">
        <f t="shared" si="24"/>
        <v>-3</v>
      </c>
      <c r="J57" s="667">
        <f t="shared" si="24"/>
        <v>1</v>
      </c>
      <c r="K57" s="294">
        <f t="shared" ref="K57" si="25">+K55-K56</f>
        <v>0</v>
      </c>
      <c r="L57" s="657">
        <f>+L55-L56</f>
        <v>0</v>
      </c>
      <c r="M57" s="657">
        <f>+M55-M56</f>
        <v>0</v>
      </c>
      <c r="N57" s="318"/>
      <c r="O57" s="294">
        <f t="shared" ref="O57:Q57" si="26">+O55-O56</f>
        <v>0</v>
      </c>
      <c r="P57" s="294">
        <f t="shared" si="26"/>
        <v>0</v>
      </c>
      <c r="Q57" s="657">
        <f t="shared" si="26"/>
        <v>0</v>
      </c>
      <c r="R57" s="124"/>
      <c r="S57" s="142"/>
    </row>
    <row r="58" spans="1:29" s="19" customFormat="1" ht="16.5" thickBot="1" x14ac:dyDescent="0.3">
      <c r="A58" s="755"/>
      <c r="B58" s="780"/>
      <c r="C58" s="294"/>
      <c r="D58" s="294"/>
      <c r="E58" s="294"/>
      <c r="F58" s="294"/>
      <c r="G58" s="294"/>
      <c r="H58" s="294"/>
      <c r="I58" s="294"/>
      <c r="J58" s="667"/>
      <c r="K58" s="294"/>
      <c r="L58" s="657"/>
      <c r="M58" s="657"/>
      <c r="N58" s="318"/>
      <c r="O58" s="279"/>
      <c r="P58" s="279"/>
      <c r="Q58" s="672"/>
      <c r="R58" s="124"/>
      <c r="S58" s="142"/>
    </row>
    <row r="59" spans="1:29" s="278" customFormat="1" ht="18.75" x14ac:dyDescent="0.3">
      <c r="A59" s="376" t="s">
        <v>358</v>
      </c>
      <c r="B59" s="521"/>
      <c r="C59" s="522"/>
      <c r="D59" s="522"/>
      <c r="E59" s="522"/>
      <c r="F59" s="690"/>
      <c r="G59" s="559"/>
      <c r="H59" s="559"/>
      <c r="I59" s="522"/>
      <c r="J59" s="691"/>
      <c r="K59" s="559"/>
      <c r="L59" s="560"/>
      <c r="M59" s="671"/>
      <c r="N59" s="157"/>
      <c r="O59" s="170"/>
      <c r="P59" s="170"/>
      <c r="Q59" s="171"/>
      <c r="R59" s="124"/>
      <c r="S59" s="142"/>
      <c r="AC59" s="19"/>
    </row>
    <row r="60" spans="1:29" s="19" customFormat="1" ht="15.75" customHeight="1" x14ac:dyDescent="0.3">
      <c r="A60" s="757" t="s">
        <v>143</v>
      </c>
      <c r="B60" s="781">
        <v>0</v>
      </c>
      <c r="C60" s="695">
        <v>2.7199999999999998E-2</v>
      </c>
      <c r="D60" s="695">
        <v>4.2599999999999999E-2</v>
      </c>
      <c r="E60" s="695">
        <v>7.3499999999999996E-2</v>
      </c>
      <c r="F60" s="695">
        <v>9.2200000000000004E-2</v>
      </c>
      <c r="G60" s="695">
        <v>0.1086</v>
      </c>
      <c r="H60" s="695">
        <v>0.1169</v>
      </c>
      <c r="I60" s="695">
        <v>0.12509999999999999</v>
      </c>
      <c r="J60" s="696">
        <v>0.1484</v>
      </c>
      <c r="K60" s="695">
        <v>0.17269999999999999</v>
      </c>
      <c r="L60" s="697">
        <v>0.17269999999999999</v>
      </c>
      <c r="M60" s="658">
        <v>0.17269999999999999</v>
      </c>
      <c r="N60" s="159"/>
      <c r="O60" s="155"/>
      <c r="P60" s="155"/>
      <c r="Q60" s="156"/>
      <c r="R60" s="124"/>
      <c r="S60" s="142"/>
    </row>
    <row r="61" spans="1:29" s="278" customFormat="1" x14ac:dyDescent="0.25">
      <c r="A61" s="677" t="s">
        <v>92</v>
      </c>
      <c r="B61" s="380">
        <f>+B50</f>
        <v>62642769</v>
      </c>
      <c r="C61" s="315">
        <f t="shared" ref="C61:M61" si="27">+$B50*(1+C$60)</f>
        <v>64346652.316799991</v>
      </c>
      <c r="D61" s="315">
        <f t="shared" si="27"/>
        <v>65311350.959399998</v>
      </c>
      <c r="E61" s="315">
        <f t="shared" si="27"/>
        <v>67247012.521499991</v>
      </c>
      <c r="F61" s="315">
        <f t="shared" si="27"/>
        <v>68418432.301799998</v>
      </c>
      <c r="G61" s="315">
        <f t="shared" si="27"/>
        <v>69445773.713400006</v>
      </c>
      <c r="H61" s="315">
        <f t="shared" si="27"/>
        <v>69965708.696099997</v>
      </c>
      <c r="I61" s="315">
        <f t="shared" si="27"/>
        <v>70479379.401899993</v>
      </c>
      <c r="J61" s="381">
        <f t="shared" si="27"/>
        <v>71938955.91960001</v>
      </c>
      <c r="K61" s="315">
        <f t="shared" si="27"/>
        <v>73461175.206300005</v>
      </c>
      <c r="L61" s="372">
        <f t="shared" si="27"/>
        <v>73461175.206300005</v>
      </c>
      <c r="M61" s="655">
        <f t="shared" si="27"/>
        <v>73461175.206300005</v>
      </c>
      <c r="N61" s="692"/>
      <c r="O61" s="315"/>
      <c r="P61" s="315"/>
      <c r="Q61" s="372"/>
      <c r="R61" s="124"/>
      <c r="S61" s="142"/>
      <c r="AC61" s="19"/>
    </row>
    <row r="62" spans="1:29" s="278" customFormat="1" x14ac:dyDescent="0.25">
      <c r="A62" s="752" t="s">
        <v>88</v>
      </c>
      <c r="B62" s="380">
        <f>+B51</f>
        <v>16078251</v>
      </c>
      <c r="C62" s="315">
        <f t="shared" ref="C62:M62" si="28">+$B51*(1+C$60)</f>
        <v>16515579.427199999</v>
      </c>
      <c r="D62" s="315">
        <f t="shared" si="28"/>
        <v>16763184.4926</v>
      </c>
      <c r="E62" s="315">
        <f t="shared" si="28"/>
        <v>17260002.4485</v>
      </c>
      <c r="F62" s="315">
        <f t="shared" si="28"/>
        <v>17560665.742200002</v>
      </c>
      <c r="G62" s="315">
        <f t="shared" si="28"/>
        <v>17824349.058600001</v>
      </c>
      <c r="H62" s="315">
        <f t="shared" si="28"/>
        <v>17957798.541900001</v>
      </c>
      <c r="I62" s="315">
        <f t="shared" si="28"/>
        <v>18089640.200100001</v>
      </c>
      <c r="J62" s="381">
        <f t="shared" si="28"/>
        <v>18464263.448400002</v>
      </c>
      <c r="K62" s="315">
        <f t="shared" si="28"/>
        <v>18854964.947700001</v>
      </c>
      <c r="L62" s="372">
        <f t="shared" si="28"/>
        <v>18854964.947700001</v>
      </c>
      <c r="M62" s="655">
        <f t="shared" si="28"/>
        <v>18854964.947700001</v>
      </c>
      <c r="N62" s="693"/>
      <c r="O62" s="315"/>
      <c r="P62" s="315"/>
      <c r="Q62" s="372"/>
      <c r="R62" s="124"/>
      <c r="S62" s="142"/>
      <c r="AC62" s="19"/>
    </row>
    <row r="63" spans="1:29" s="278" customFormat="1" x14ac:dyDescent="0.25">
      <c r="A63" s="753" t="s">
        <v>93</v>
      </c>
      <c r="B63" s="380">
        <f>+B52</f>
        <v>77053475</v>
      </c>
      <c r="C63" s="315">
        <f t="shared" ref="C63:M63" si="29">+$B52*(1+C$60)</f>
        <v>79149329.519999996</v>
      </c>
      <c r="D63" s="315">
        <f t="shared" si="29"/>
        <v>80335953.034999996</v>
      </c>
      <c r="E63" s="315">
        <f t="shared" si="29"/>
        <v>82716905.412499994</v>
      </c>
      <c r="F63" s="315">
        <f t="shared" si="29"/>
        <v>84157805.395000011</v>
      </c>
      <c r="G63" s="315">
        <f t="shared" si="29"/>
        <v>85421482.385000005</v>
      </c>
      <c r="H63" s="315">
        <f t="shared" si="29"/>
        <v>86061026.227500007</v>
      </c>
      <c r="I63" s="315">
        <f t="shared" si="29"/>
        <v>86692864.722499996</v>
      </c>
      <c r="J63" s="381">
        <f t="shared" si="29"/>
        <v>88488210.690000013</v>
      </c>
      <c r="K63" s="315">
        <f t="shared" si="29"/>
        <v>90360610.132500008</v>
      </c>
      <c r="L63" s="372">
        <f t="shared" si="29"/>
        <v>90360610.132500008</v>
      </c>
      <c r="M63" s="655">
        <f t="shared" si="29"/>
        <v>90360610.132500008</v>
      </c>
      <c r="N63" s="692"/>
      <c r="O63" s="315"/>
      <c r="P63" s="315">
        <f>+P50-M50</f>
        <v>0</v>
      </c>
      <c r="Q63" s="372">
        <f>+Q50-L50</f>
        <v>1</v>
      </c>
      <c r="R63" s="124"/>
      <c r="S63" s="142"/>
      <c r="AC63" s="19"/>
    </row>
    <row r="64" spans="1:29" s="278" customFormat="1" x14ac:dyDescent="0.25">
      <c r="A64" s="754" t="s">
        <v>78</v>
      </c>
      <c r="B64" s="380">
        <f>+B53</f>
        <v>20131676</v>
      </c>
      <c r="C64" s="315">
        <f t="shared" ref="C64:M64" si="30">+$B53*(1+C$60)</f>
        <v>20679257.587199997</v>
      </c>
      <c r="D64" s="315">
        <f t="shared" si="30"/>
        <v>20989285.397599999</v>
      </c>
      <c r="E64" s="315">
        <f t="shared" si="30"/>
        <v>21611354.185999997</v>
      </c>
      <c r="F64" s="315">
        <f t="shared" si="30"/>
        <v>21987816.527200002</v>
      </c>
      <c r="G64" s="315">
        <f t="shared" si="30"/>
        <v>22317976.013599999</v>
      </c>
      <c r="H64" s="315">
        <f t="shared" si="30"/>
        <v>22485068.924400002</v>
      </c>
      <c r="I64" s="315">
        <f t="shared" si="30"/>
        <v>22650148.667599998</v>
      </c>
      <c r="J64" s="381">
        <f t="shared" si="30"/>
        <v>23119216.718400002</v>
      </c>
      <c r="K64" s="315">
        <f t="shared" si="30"/>
        <v>23608416.4452</v>
      </c>
      <c r="L64" s="372">
        <f t="shared" si="30"/>
        <v>23608416.4452</v>
      </c>
      <c r="M64" s="655">
        <f t="shared" si="30"/>
        <v>23608416.4452</v>
      </c>
      <c r="N64" s="694"/>
      <c r="O64" s="315"/>
      <c r="P64" s="315">
        <f>+P51-M51</f>
        <v>0</v>
      </c>
      <c r="Q64" s="372">
        <f>+Q51-L51</f>
        <v>0</v>
      </c>
      <c r="R64" s="124"/>
      <c r="S64" s="142"/>
      <c r="AC64" s="19"/>
    </row>
    <row r="65" spans="1:29" s="278" customFormat="1" ht="16.5" thickBot="1" x14ac:dyDescent="0.3">
      <c r="A65" s="754"/>
      <c r="B65" s="380"/>
      <c r="C65" s="315"/>
      <c r="D65" s="315"/>
      <c r="E65" s="315"/>
      <c r="F65" s="315"/>
      <c r="G65" s="315"/>
      <c r="H65" s="315"/>
      <c r="I65" s="315"/>
      <c r="J65" s="381"/>
      <c r="K65" s="315"/>
      <c r="L65" s="372"/>
      <c r="M65" s="293"/>
      <c r="N65" s="694"/>
      <c r="O65" s="315"/>
      <c r="P65" s="315"/>
      <c r="Q65" s="372"/>
      <c r="R65" s="124"/>
      <c r="S65" s="142"/>
      <c r="AC65" s="19"/>
    </row>
    <row r="66" spans="1:29" s="278" customFormat="1" ht="17.25" thickTop="1" thickBot="1" x14ac:dyDescent="0.3">
      <c r="A66" s="474" t="s">
        <v>109</v>
      </c>
      <c r="B66" s="604">
        <f t="shared" ref="B66:M66" si="31">SUM(B61:B64)</f>
        <v>175906171</v>
      </c>
      <c r="C66" s="605">
        <f t="shared" si="31"/>
        <v>180690818.85119998</v>
      </c>
      <c r="D66" s="605">
        <f t="shared" si="31"/>
        <v>183399773.88459998</v>
      </c>
      <c r="E66" s="605">
        <f t="shared" si="31"/>
        <v>188835274.56849998</v>
      </c>
      <c r="F66" s="605">
        <f t="shared" si="31"/>
        <v>192124719.96620002</v>
      </c>
      <c r="G66" s="605">
        <f t="shared" si="31"/>
        <v>195009581.1706</v>
      </c>
      <c r="H66" s="605">
        <f t="shared" si="31"/>
        <v>196469602.3899</v>
      </c>
      <c r="I66" s="605">
        <f t="shared" si="31"/>
        <v>197912032.9921</v>
      </c>
      <c r="J66" s="606">
        <f t="shared" si="31"/>
        <v>202010646.77640003</v>
      </c>
      <c r="K66" s="605">
        <f t="shared" si="31"/>
        <v>206285166.73170003</v>
      </c>
      <c r="L66" s="607">
        <f t="shared" si="31"/>
        <v>206285166.73170003</v>
      </c>
      <c r="M66" s="433">
        <f t="shared" si="31"/>
        <v>206285166.73170003</v>
      </c>
      <c r="N66" s="726"/>
      <c r="O66" s="727"/>
      <c r="P66" s="728">
        <f>+P53-M53</f>
        <v>0</v>
      </c>
      <c r="Q66" s="729">
        <f>+Q53-L53</f>
        <v>0</v>
      </c>
      <c r="R66" s="730"/>
      <c r="S66" s="731"/>
    </row>
    <row r="67" spans="1:29" ht="21" hidden="1" customHeight="1" x14ac:dyDescent="0.25">
      <c r="A67" s="108"/>
      <c r="B67" s="384"/>
      <c r="C67" s="169"/>
      <c r="D67" s="169"/>
      <c r="E67" s="169"/>
      <c r="F67" s="169"/>
      <c r="G67" s="42"/>
      <c r="H67" s="42"/>
      <c r="I67" s="42"/>
      <c r="J67" s="417"/>
      <c r="K67" s="42"/>
      <c r="L67" s="446"/>
      <c r="M67" s="446"/>
      <c r="N67" s="694"/>
      <c r="O67" s="315"/>
      <c r="P67" s="315"/>
      <c r="Q67" s="372"/>
    </row>
    <row r="68" spans="1:29" s="278" customFormat="1" ht="19.5" hidden="1" customHeight="1" thickBot="1" x14ac:dyDescent="0.3">
      <c r="A68" s="108"/>
      <c r="B68" s="384"/>
      <c r="C68" s="169"/>
      <c r="D68" s="169"/>
      <c r="E68" s="169"/>
      <c r="F68" s="169"/>
      <c r="G68" s="42"/>
      <c r="H68" s="42"/>
      <c r="I68" s="42"/>
      <c r="J68" s="417"/>
      <c r="K68" s="42"/>
      <c r="L68" s="446"/>
      <c r="M68" s="446"/>
      <c r="N68" s="318"/>
      <c r="O68" s="102"/>
      <c r="P68" s="102"/>
      <c r="Q68" s="156"/>
      <c r="R68" s="124"/>
      <c r="S68" s="142"/>
      <c r="AC68" s="19"/>
    </row>
    <row r="69" spans="1:29" s="278" customFormat="1" ht="24.75" customHeight="1" x14ac:dyDescent="0.3">
      <c r="A69" s="376" t="s">
        <v>360</v>
      </c>
      <c r="B69" s="521">
        <v>2009</v>
      </c>
      <c r="C69" s="522">
        <v>2010</v>
      </c>
      <c r="D69" s="522">
        <v>2011</v>
      </c>
      <c r="E69" s="522">
        <v>2012</v>
      </c>
      <c r="F69" s="690">
        <v>2013</v>
      </c>
      <c r="G69" s="559">
        <v>2014</v>
      </c>
      <c r="H69" s="559">
        <v>2015</v>
      </c>
      <c r="I69" s="522">
        <v>2016</v>
      </c>
      <c r="J69" s="691">
        <v>2017</v>
      </c>
      <c r="K69" s="559">
        <v>2018</v>
      </c>
      <c r="L69" s="560">
        <v>2019</v>
      </c>
      <c r="M69" s="671">
        <v>2018</v>
      </c>
      <c r="N69" s="157"/>
      <c r="O69" s="170"/>
      <c r="P69" s="170"/>
      <c r="Q69" s="171"/>
      <c r="R69" s="124"/>
      <c r="S69" s="142"/>
      <c r="AC69" s="19"/>
    </row>
    <row r="70" spans="1:29" ht="30" customHeight="1" x14ac:dyDescent="0.25">
      <c r="A70" s="758" t="s">
        <v>32</v>
      </c>
      <c r="B70" s="782"/>
      <c r="C70" s="115"/>
      <c r="D70" s="115"/>
      <c r="E70" s="116"/>
      <c r="F70" s="117"/>
      <c r="G70" s="115"/>
      <c r="H70" s="115"/>
      <c r="I70" s="115"/>
      <c r="J70" s="664"/>
      <c r="K70" s="141"/>
      <c r="L70" s="166"/>
      <c r="M70" s="166"/>
      <c r="N70" s="157"/>
      <c r="O70" s="141"/>
      <c r="P70" s="141"/>
      <c r="Q70" s="166"/>
    </row>
    <row r="71" spans="1:29" s="278" customFormat="1" x14ac:dyDescent="0.25">
      <c r="A71" s="677" t="s">
        <v>92</v>
      </c>
      <c r="B71" s="380">
        <f>+Legis!B16</f>
        <v>92527</v>
      </c>
      <c r="C71" s="315">
        <f>+Legis!C16</f>
        <v>106423</v>
      </c>
      <c r="D71" s="315">
        <f>+Legis!D16</f>
        <v>101076</v>
      </c>
      <c r="E71" s="315">
        <f>+Legis!E16</f>
        <v>97102</v>
      </c>
      <c r="F71" s="315">
        <f>+Legis!F16</f>
        <v>118263</v>
      </c>
      <c r="G71" s="315">
        <f>+Legis!G16</f>
        <v>162625</v>
      </c>
      <c r="H71" s="315">
        <f>+Legis!H16</f>
        <v>157812</v>
      </c>
      <c r="I71" s="315">
        <f>+Legis!I16</f>
        <v>151146</v>
      </c>
      <c r="J71" s="381">
        <f>+Legis!J16</f>
        <v>159913</v>
      </c>
      <c r="K71" s="315">
        <f>+Legis!K16</f>
        <v>168523</v>
      </c>
      <c r="L71" s="372">
        <f>+Legis!L16</f>
        <v>139383</v>
      </c>
      <c r="M71" s="655">
        <f>+Legis!M16</f>
        <v>143523</v>
      </c>
      <c r="N71" s="692"/>
      <c r="O71" s="315"/>
      <c r="P71" s="315"/>
      <c r="Q71" s="372"/>
      <c r="R71" s="124"/>
      <c r="S71" s="142"/>
      <c r="AC71" s="19"/>
    </row>
    <row r="72" spans="1:29" s="278" customFormat="1" x14ac:dyDescent="0.25">
      <c r="A72" s="752" t="s">
        <v>88</v>
      </c>
      <c r="B72" s="380">
        <f>+Legis!B17</f>
        <v>0</v>
      </c>
      <c r="C72" s="315">
        <f>+Legis!C17</f>
        <v>0</v>
      </c>
      <c r="D72" s="315">
        <f>+Legis!D17</f>
        <v>0</v>
      </c>
      <c r="E72" s="315">
        <f>+Legis!E17</f>
        <v>0</v>
      </c>
      <c r="F72" s="315">
        <f>+Legis!F17</f>
        <v>0</v>
      </c>
      <c r="G72" s="315">
        <f>+Legis!G17</f>
        <v>0</v>
      </c>
      <c r="H72" s="315">
        <f>+Legis!H17</f>
        <v>0</v>
      </c>
      <c r="I72" s="315">
        <f>+Legis!I17</f>
        <v>0</v>
      </c>
      <c r="J72" s="381">
        <f>+Legis!J17</f>
        <v>0</v>
      </c>
      <c r="K72" s="315">
        <f>+Legis!K17</f>
        <v>0</v>
      </c>
      <c r="L72" s="372">
        <f>+Legis!L17</f>
        <v>0</v>
      </c>
      <c r="M72" s="655">
        <f>+Legis!M17</f>
        <v>0</v>
      </c>
      <c r="N72" s="693"/>
      <c r="O72" s="315"/>
      <c r="P72" s="315"/>
      <c r="Q72" s="372"/>
      <c r="R72" s="124"/>
      <c r="S72" s="142"/>
      <c r="AC72" s="19"/>
    </row>
    <row r="73" spans="1:29" s="278" customFormat="1" x14ac:dyDescent="0.25">
      <c r="A73" s="753" t="s">
        <v>93</v>
      </c>
      <c r="B73" s="380">
        <f>+Legis!B18</f>
        <v>0</v>
      </c>
      <c r="C73" s="315">
        <f>+Legis!C18</f>
        <v>0</v>
      </c>
      <c r="D73" s="315">
        <f>+Legis!D18</f>
        <v>0</v>
      </c>
      <c r="E73" s="315">
        <f>+Legis!E18</f>
        <v>0</v>
      </c>
      <c r="F73" s="315">
        <f>+Legis!F18</f>
        <v>0</v>
      </c>
      <c r="G73" s="315">
        <f>+Legis!G18</f>
        <v>0</v>
      </c>
      <c r="H73" s="315">
        <f>+Legis!H18</f>
        <v>0</v>
      </c>
      <c r="I73" s="315">
        <f>+Legis!I18</f>
        <v>0</v>
      </c>
      <c r="J73" s="381">
        <f>+Legis!J18</f>
        <v>0</v>
      </c>
      <c r="K73" s="315">
        <f>+Legis!K18</f>
        <v>0</v>
      </c>
      <c r="L73" s="372">
        <f>+Legis!L18</f>
        <v>0</v>
      </c>
      <c r="M73" s="655">
        <f>+Legis!M18</f>
        <v>0</v>
      </c>
      <c r="N73" s="692"/>
      <c r="O73" s="315"/>
      <c r="P73" s="315"/>
      <c r="Q73" s="372"/>
      <c r="R73" s="124"/>
      <c r="S73" s="142"/>
      <c r="AC73" s="19"/>
    </row>
    <row r="74" spans="1:29" s="278" customFormat="1" ht="16.5" thickBot="1" x14ac:dyDescent="0.3">
      <c r="A74" s="754" t="s">
        <v>78</v>
      </c>
      <c r="B74" s="380">
        <f>+Legis!B19</f>
        <v>0</v>
      </c>
      <c r="C74" s="315">
        <f>+Legis!C19</f>
        <v>0</v>
      </c>
      <c r="D74" s="315">
        <f>+Legis!D19</f>
        <v>0</v>
      </c>
      <c r="E74" s="315">
        <f>+Legis!E19</f>
        <v>0</v>
      </c>
      <c r="F74" s="315">
        <f>+Legis!F19</f>
        <v>0</v>
      </c>
      <c r="G74" s="315">
        <f>+Legis!G19</f>
        <v>0</v>
      </c>
      <c r="H74" s="315">
        <f>+Legis!H19</f>
        <v>0</v>
      </c>
      <c r="I74" s="315">
        <f>+Legis!I19</f>
        <v>0</v>
      </c>
      <c r="J74" s="381">
        <f>+Legis!J19</f>
        <v>0</v>
      </c>
      <c r="K74" s="315">
        <f>+Legis!K19</f>
        <v>0</v>
      </c>
      <c r="L74" s="372">
        <f>+Legis!L19</f>
        <v>0</v>
      </c>
      <c r="M74" s="655">
        <f>+Legis!M19</f>
        <v>0</v>
      </c>
      <c r="N74" s="694"/>
      <c r="O74" s="315"/>
      <c r="P74" s="315"/>
      <c r="Q74" s="372"/>
      <c r="R74" s="124"/>
      <c r="S74" s="142"/>
      <c r="AC74" s="19"/>
    </row>
    <row r="75" spans="1:29" ht="16.5" hidden="1" thickBot="1" x14ac:dyDescent="0.3">
      <c r="A75" s="352" t="s">
        <v>129</v>
      </c>
      <c r="B75" s="783">
        <f>+Legis!B20</f>
        <v>0</v>
      </c>
      <c r="C75" s="59">
        <f>+Legis!C20</f>
        <v>0</v>
      </c>
      <c r="D75" s="59">
        <f>+Legis!D20</f>
        <v>0</v>
      </c>
      <c r="E75" s="59">
        <f>+Legis!E20</f>
        <v>0</v>
      </c>
      <c r="F75" s="59">
        <f>+Legis!F20</f>
        <v>0</v>
      </c>
      <c r="G75" s="59">
        <f>+Legis!G20</f>
        <v>0</v>
      </c>
      <c r="H75" s="59">
        <f>+Legis!H20</f>
        <v>0</v>
      </c>
      <c r="I75" s="59">
        <f>+Legis!I20</f>
        <v>0</v>
      </c>
      <c r="J75" s="668">
        <f>+Legis!J20</f>
        <v>0</v>
      </c>
      <c r="K75" s="59">
        <f>+Legis!K20</f>
        <v>0</v>
      </c>
      <c r="L75" s="119">
        <f>+Legis!L20</f>
        <v>0</v>
      </c>
      <c r="M75" s="119">
        <f>+Legis!M20</f>
        <v>0</v>
      </c>
      <c r="N75" s="159"/>
      <c r="O75" s="59"/>
      <c r="P75" s="59"/>
      <c r="Q75" s="119"/>
    </row>
    <row r="76" spans="1:29" ht="16.5" hidden="1" thickBot="1" x14ac:dyDescent="0.3">
      <c r="A76" s="756" t="s">
        <v>145</v>
      </c>
      <c r="B76" s="784">
        <f>+Legis!B21</f>
        <v>92527</v>
      </c>
      <c r="C76" s="87">
        <v>0</v>
      </c>
      <c r="D76" s="87">
        <v>0</v>
      </c>
      <c r="E76" s="87">
        <v>0</v>
      </c>
      <c r="F76" s="87">
        <v>0</v>
      </c>
      <c r="G76" s="87">
        <v>0</v>
      </c>
      <c r="H76" s="87">
        <v>0</v>
      </c>
      <c r="I76" s="87">
        <v>0</v>
      </c>
      <c r="J76" s="381">
        <v>0</v>
      </c>
      <c r="K76" s="93">
        <v>0</v>
      </c>
      <c r="L76" s="109">
        <v>0</v>
      </c>
      <c r="M76" s="109">
        <v>0</v>
      </c>
      <c r="N76" s="159"/>
      <c r="O76" s="59"/>
      <c r="P76" s="59"/>
      <c r="Q76" s="119"/>
    </row>
    <row r="77" spans="1:29" s="278" customFormat="1" ht="17.25" thickTop="1" thickBot="1" x14ac:dyDescent="0.3">
      <c r="A77" s="474" t="s">
        <v>346</v>
      </c>
      <c r="B77" s="604">
        <f>SUM(B71:B75)</f>
        <v>92527</v>
      </c>
      <c r="C77" s="605">
        <f t="shared" ref="C77:J77" si="32">SUM(C71:C75)</f>
        <v>106423</v>
      </c>
      <c r="D77" s="605">
        <f t="shared" si="32"/>
        <v>101076</v>
      </c>
      <c r="E77" s="605">
        <f t="shared" si="32"/>
        <v>97102</v>
      </c>
      <c r="F77" s="605">
        <f t="shared" si="32"/>
        <v>118263</v>
      </c>
      <c r="G77" s="605">
        <f t="shared" si="32"/>
        <v>162625</v>
      </c>
      <c r="H77" s="605">
        <f t="shared" si="32"/>
        <v>157812</v>
      </c>
      <c r="I77" s="605">
        <f t="shared" si="32"/>
        <v>151146</v>
      </c>
      <c r="J77" s="606">
        <f t="shared" si="32"/>
        <v>159913</v>
      </c>
      <c r="K77" s="605">
        <f t="shared" ref="K77" si="33">SUM(K71:K75)</f>
        <v>168523</v>
      </c>
      <c r="L77" s="607">
        <f>SUM(L71:L75)</f>
        <v>139383</v>
      </c>
      <c r="M77" s="433">
        <f>SUM(M71:M75)</f>
        <v>143523</v>
      </c>
      <c r="N77" s="692"/>
      <c r="O77" s="2"/>
      <c r="Q77" s="163"/>
      <c r="R77" s="124"/>
      <c r="S77" s="142"/>
    </row>
    <row r="78" spans="1:29" hidden="1" x14ac:dyDescent="0.25">
      <c r="A78" s="179" t="s">
        <v>140</v>
      </c>
      <c r="B78" s="423">
        <v>0</v>
      </c>
      <c r="C78" s="112">
        <v>0</v>
      </c>
      <c r="D78" s="112">
        <v>0</v>
      </c>
      <c r="E78" s="112">
        <v>0</v>
      </c>
      <c r="F78" s="112">
        <v>0</v>
      </c>
      <c r="G78" s="112">
        <v>0</v>
      </c>
      <c r="H78" s="112">
        <v>0</v>
      </c>
      <c r="I78" s="112">
        <v>0</v>
      </c>
      <c r="J78" s="424">
        <v>0</v>
      </c>
      <c r="K78" s="112">
        <v>0</v>
      </c>
      <c r="L78" s="113">
        <v>0</v>
      </c>
      <c r="M78" s="113">
        <v>0</v>
      </c>
      <c r="N78" s="159"/>
      <c r="O78" s="93"/>
      <c r="P78" s="93"/>
      <c r="Q78" s="109"/>
    </row>
    <row r="79" spans="1:29" x14ac:dyDescent="0.25">
      <c r="A79" s="179"/>
      <c r="B79" s="416"/>
      <c r="C79" s="93"/>
      <c r="D79" s="93"/>
      <c r="E79" s="93"/>
      <c r="F79" s="93"/>
      <c r="G79" s="93"/>
      <c r="H79" s="93"/>
      <c r="I79" s="93"/>
      <c r="J79" s="417"/>
      <c r="K79" s="93"/>
      <c r="L79" s="109"/>
      <c r="M79" s="109"/>
      <c r="N79" s="159"/>
      <c r="O79" s="93"/>
      <c r="P79" s="93"/>
      <c r="Q79" s="109"/>
    </row>
    <row r="80" spans="1:29" ht="18.75" x14ac:dyDescent="0.25">
      <c r="A80" s="759" t="s">
        <v>45</v>
      </c>
      <c r="B80" s="416"/>
      <c r="C80" s="93"/>
      <c r="D80" s="93"/>
      <c r="E80" s="93"/>
      <c r="F80" s="93"/>
      <c r="G80" s="93"/>
      <c r="H80" s="93"/>
      <c r="I80" s="93"/>
      <c r="J80" s="417"/>
      <c r="K80" s="93"/>
      <c r="L80" s="109"/>
      <c r="M80" s="109"/>
      <c r="N80" s="159"/>
      <c r="O80" s="93"/>
      <c r="P80" s="93"/>
      <c r="Q80" s="109"/>
    </row>
    <row r="81" spans="1:19" x14ac:dyDescent="0.25">
      <c r="A81" s="106" t="s">
        <v>92</v>
      </c>
      <c r="B81" s="416">
        <f>+'Exec-Legal'!B17</f>
        <v>2657798</v>
      </c>
      <c r="C81" s="93">
        <f>+'Exec-Legal'!C17</f>
        <v>2441267</v>
      </c>
      <c r="D81" s="93">
        <f>+'Exec-Legal'!D17</f>
        <v>2410390</v>
      </c>
      <c r="E81" s="93">
        <f>+'Exec-Legal'!E17</f>
        <v>2301591</v>
      </c>
      <c r="F81" s="93">
        <f>+'Exec-Legal'!F17</f>
        <v>2506070</v>
      </c>
      <c r="G81" s="93">
        <f>+'Exec-Legal'!G17</f>
        <v>2910948</v>
      </c>
      <c r="H81" s="93">
        <f>+'Exec-Legal'!H17</f>
        <v>2049717</v>
      </c>
      <c r="I81" s="93">
        <f>+'Exec-Legal'!I17</f>
        <v>3293352</v>
      </c>
      <c r="J81" s="417">
        <f>+'Exec-Legal'!J17</f>
        <v>4572991</v>
      </c>
      <c r="K81" s="93">
        <f>+'Exec-Legal'!K17</f>
        <v>5185874</v>
      </c>
      <c r="L81" s="109">
        <f>+'Exec-Legal'!L17</f>
        <v>3975103</v>
      </c>
      <c r="M81" s="109">
        <f>+'Exec-Legal'!M17</f>
        <v>4799183</v>
      </c>
      <c r="N81" s="159"/>
      <c r="O81" s="93"/>
      <c r="P81" s="93"/>
      <c r="Q81" s="109"/>
    </row>
    <row r="82" spans="1:19" x14ac:dyDescent="0.25">
      <c r="A82" s="760" t="s">
        <v>88</v>
      </c>
      <c r="B82" s="416">
        <f>+'Exec-Legal'!B18</f>
        <v>0</v>
      </c>
      <c r="C82" s="93">
        <f>+'Exec-Legal'!C18</f>
        <v>0</v>
      </c>
      <c r="D82" s="93">
        <f>+'Exec-Legal'!D18</f>
        <v>0</v>
      </c>
      <c r="E82" s="93">
        <f>+'Exec-Legal'!E18</f>
        <v>0</v>
      </c>
      <c r="F82" s="93">
        <f>+'Exec-Legal'!F18</f>
        <v>0</v>
      </c>
      <c r="G82" s="93">
        <f>+'Exec-Legal'!G18</f>
        <v>0</v>
      </c>
      <c r="H82" s="93">
        <f>+'Exec-Legal'!H18</f>
        <v>0</v>
      </c>
      <c r="I82" s="93">
        <f>+'Exec-Legal'!I18</f>
        <v>0</v>
      </c>
      <c r="J82" s="417">
        <f>+'Exec-Legal'!J18</f>
        <v>0</v>
      </c>
      <c r="K82" s="93">
        <f>+'Exec-Legal'!K18</f>
        <v>0</v>
      </c>
      <c r="L82" s="109">
        <f>+'Exec-Legal'!L18</f>
        <v>0</v>
      </c>
      <c r="M82" s="109">
        <f>+'Exec-Legal'!M18</f>
        <v>0</v>
      </c>
      <c r="N82" s="159"/>
      <c r="O82" s="93"/>
      <c r="P82" s="93"/>
      <c r="Q82" s="109"/>
    </row>
    <row r="83" spans="1:19" x14ac:dyDescent="0.25">
      <c r="A83" s="107" t="s">
        <v>93</v>
      </c>
      <c r="B83" s="416">
        <f>+'Exec-Legal'!B19</f>
        <v>0</v>
      </c>
      <c r="C83" s="93">
        <f>+'Exec-Legal'!C19</f>
        <v>0</v>
      </c>
      <c r="D83" s="93">
        <f>+'Exec-Legal'!D19</f>
        <v>0</v>
      </c>
      <c r="E83" s="93">
        <f>+'Exec-Legal'!E19</f>
        <v>0</v>
      </c>
      <c r="F83" s="93">
        <f>+'Exec-Legal'!F19</f>
        <v>0</v>
      </c>
      <c r="G83" s="93">
        <f>+'Exec-Legal'!G19</f>
        <v>0</v>
      </c>
      <c r="H83" s="93">
        <f>+'Exec-Legal'!H19</f>
        <v>0</v>
      </c>
      <c r="I83" s="93">
        <f>+'Exec-Legal'!I19</f>
        <v>0</v>
      </c>
      <c r="J83" s="417">
        <f>+'Exec-Legal'!J19</f>
        <v>0</v>
      </c>
      <c r="K83" s="93">
        <f>+'Exec-Legal'!K19</f>
        <v>0</v>
      </c>
      <c r="L83" s="109">
        <f>+'Exec-Legal'!L19</f>
        <v>0</v>
      </c>
      <c r="M83" s="109">
        <f>+'Exec-Legal'!M19</f>
        <v>0</v>
      </c>
      <c r="N83" s="159"/>
      <c r="O83" s="93"/>
      <c r="P83" s="93"/>
      <c r="Q83" s="109"/>
    </row>
    <row r="84" spans="1:19" ht="16.5" thickBot="1" x14ac:dyDescent="0.3">
      <c r="A84" s="354" t="s">
        <v>78</v>
      </c>
      <c r="B84" s="416">
        <f>+'Exec-Legal'!B20</f>
        <v>458374</v>
      </c>
      <c r="C84" s="93">
        <f>+'Exec-Legal'!C20</f>
        <v>224222</v>
      </c>
      <c r="D84" s="93">
        <f>+'Exec-Legal'!D20</f>
        <v>391874</v>
      </c>
      <c r="E84" s="93">
        <f>+'Exec-Legal'!E20</f>
        <v>240077</v>
      </c>
      <c r="F84" s="93">
        <f>+'Exec-Legal'!F20</f>
        <v>293278</v>
      </c>
      <c r="G84" s="93">
        <f>+'Exec-Legal'!G20</f>
        <v>458233</v>
      </c>
      <c r="H84" s="93">
        <f>+'Exec-Legal'!H20</f>
        <v>288080</v>
      </c>
      <c r="I84" s="93">
        <f>+'Exec-Legal'!I20</f>
        <v>356494</v>
      </c>
      <c r="J84" s="417">
        <f>+'Exec-Legal'!J20</f>
        <v>393939</v>
      </c>
      <c r="K84" s="93">
        <f>+'Exec-Legal'!K20</f>
        <v>1762003</v>
      </c>
      <c r="L84" s="109">
        <f>+'Exec-Legal'!L20</f>
        <v>883133</v>
      </c>
      <c r="M84" s="109">
        <f>+'Exec-Legal'!M20</f>
        <v>873425</v>
      </c>
      <c r="N84" s="159"/>
      <c r="O84" s="93"/>
      <c r="P84" s="93"/>
      <c r="Q84" s="109"/>
    </row>
    <row r="85" spans="1:19" s="278" customFormat="1" ht="17.25" thickTop="1" thickBot="1" x14ac:dyDescent="0.3">
      <c r="A85" s="761" t="s">
        <v>346</v>
      </c>
      <c r="B85" s="785">
        <f t="shared" ref="B85:M85" si="34">SUM(B80:B84)</f>
        <v>3116172</v>
      </c>
      <c r="C85" s="701">
        <f t="shared" si="34"/>
        <v>2665489</v>
      </c>
      <c r="D85" s="701">
        <f t="shared" si="34"/>
        <v>2802264</v>
      </c>
      <c r="E85" s="701">
        <f t="shared" si="34"/>
        <v>2541668</v>
      </c>
      <c r="F85" s="701">
        <f t="shared" si="34"/>
        <v>2799348</v>
      </c>
      <c r="G85" s="701">
        <f t="shared" si="34"/>
        <v>3369181</v>
      </c>
      <c r="H85" s="701">
        <f t="shared" si="34"/>
        <v>2337797</v>
      </c>
      <c r="I85" s="701">
        <f t="shared" si="34"/>
        <v>3649846</v>
      </c>
      <c r="J85" s="702">
        <f t="shared" si="34"/>
        <v>4966930</v>
      </c>
      <c r="K85" s="701">
        <f t="shared" si="34"/>
        <v>6947877</v>
      </c>
      <c r="L85" s="703">
        <f t="shared" si="34"/>
        <v>4858236</v>
      </c>
      <c r="M85" s="433">
        <f t="shared" si="34"/>
        <v>5672608</v>
      </c>
      <c r="N85" s="692"/>
      <c r="O85" s="2"/>
      <c r="Q85" s="163"/>
      <c r="R85" s="124"/>
      <c r="S85" s="142"/>
    </row>
    <row r="86" spans="1:19" s="278" customFormat="1" ht="16.5" thickBot="1" x14ac:dyDescent="0.3">
      <c r="A86" s="762" t="s">
        <v>347</v>
      </c>
      <c r="B86" s="786">
        <f>'Exec-Legal'!B30</f>
        <v>16.55</v>
      </c>
      <c r="C86" s="698">
        <f>'Exec-Legal'!C30</f>
        <v>15.25</v>
      </c>
      <c r="D86" s="698">
        <f>'Exec-Legal'!D30</f>
        <v>16.25</v>
      </c>
      <c r="E86" s="698">
        <f>'Exec-Legal'!E30</f>
        <v>16</v>
      </c>
      <c r="F86" s="698">
        <f>'Exec-Legal'!F30</f>
        <v>16.55</v>
      </c>
      <c r="G86" s="698">
        <f>'Exec-Legal'!G30</f>
        <v>18.25</v>
      </c>
      <c r="H86" s="698">
        <f>'Exec-Legal'!H30</f>
        <v>19.11</v>
      </c>
      <c r="I86" s="698">
        <f>'Exec-Legal'!I30</f>
        <v>20.869999999999997</v>
      </c>
      <c r="J86" s="699">
        <f>'Exec-Legal'!J30</f>
        <v>20.725000000000001</v>
      </c>
      <c r="K86" s="698">
        <f>'Exec-Legal'!K30</f>
        <v>24.975000000000001</v>
      </c>
      <c r="L86" s="700">
        <f>'Exec-Legal'!L30</f>
        <v>24.975000000000001</v>
      </c>
      <c r="M86" s="433">
        <f>'Exec-Legal'!M30</f>
        <v>23.725000000000001</v>
      </c>
      <c r="N86" s="692"/>
      <c r="O86" s="2"/>
      <c r="Q86" s="163"/>
      <c r="R86" s="124"/>
      <c r="S86" s="142"/>
    </row>
    <row r="87" spans="1:19" x14ac:dyDescent="0.25">
      <c r="A87" s="179"/>
      <c r="B87" s="510"/>
      <c r="C87" s="180"/>
      <c r="D87" s="180"/>
      <c r="E87" s="180"/>
      <c r="F87" s="180"/>
      <c r="G87" s="180"/>
      <c r="H87" s="180"/>
      <c r="I87" s="180"/>
      <c r="J87" s="628"/>
      <c r="K87" s="180"/>
      <c r="L87" s="181"/>
      <c r="M87" s="181"/>
      <c r="N87" s="159"/>
      <c r="O87" s="180"/>
      <c r="P87" s="180"/>
      <c r="Q87" s="181"/>
    </row>
    <row r="88" spans="1:19" ht="18.75" x14ac:dyDescent="0.3">
      <c r="A88" s="763" t="s">
        <v>46</v>
      </c>
      <c r="B88" s="510"/>
      <c r="C88" s="180"/>
      <c r="D88" s="180"/>
      <c r="E88" s="180"/>
      <c r="F88" s="180"/>
      <c r="G88" s="180"/>
      <c r="H88" s="180"/>
      <c r="I88" s="180"/>
      <c r="J88" s="628"/>
      <c r="K88" s="180"/>
      <c r="L88" s="181"/>
      <c r="M88" s="181"/>
      <c r="N88" s="159"/>
      <c r="O88" s="180"/>
      <c r="P88" s="180"/>
      <c r="Q88" s="181"/>
    </row>
    <row r="89" spans="1:19" x14ac:dyDescent="0.25">
      <c r="A89" s="106" t="s">
        <v>92</v>
      </c>
      <c r="B89" s="416">
        <f>+'City Clerk'!B16</f>
        <v>359189</v>
      </c>
      <c r="C89" s="93">
        <f>+'City Clerk'!C16</f>
        <v>492843</v>
      </c>
      <c r="D89" s="93">
        <f>+'City Clerk'!D16</f>
        <v>438062</v>
      </c>
      <c r="E89" s="93">
        <f>+'City Clerk'!E16</f>
        <v>441233</v>
      </c>
      <c r="F89" s="93">
        <f>+'City Clerk'!F16</f>
        <v>454431</v>
      </c>
      <c r="G89" s="93">
        <f>+'City Clerk'!G16</f>
        <v>599214</v>
      </c>
      <c r="H89" s="93">
        <f>+'City Clerk'!H16</f>
        <v>947688</v>
      </c>
      <c r="I89" s="93">
        <f>+'City Clerk'!I16</f>
        <v>586611</v>
      </c>
      <c r="J89" s="417">
        <f>+'City Clerk'!J16</f>
        <v>745450</v>
      </c>
      <c r="K89" s="93">
        <f>+'City Clerk'!K16</f>
        <v>949562</v>
      </c>
      <c r="L89" s="109">
        <f>+'City Clerk'!L16</f>
        <v>719859</v>
      </c>
      <c r="M89" s="109">
        <f>+'City Clerk'!M16</f>
        <v>921108</v>
      </c>
      <c r="N89" s="159"/>
      <c r="O89" s="93"/>
      <c r="P89" s="93"/>
      <c r="Q89" s="109"/>
    </row>
    <row r="90" spans="1:19" x14ac:dyDescent="0.25">
      <c r="A90" s="760" t="s">
        <v>88</v>
      </c>
      <c r="B90" s="416">
        <f>+'City Clerk'!B17</f>
        <v>0</v>
      </c>
      <c r="C90" s="93">
        <f>+'City Clerk'!C17</f>
        <v>0</v>
      </c>
      <c r="D90" s="93">
        <f>+'City Clerk'!D17</f>
        <v>0</v>
      </c>
      <c r="E90" s="93">
        <f>+'City Clerk'!E17</f>
        <v>0</v>
      </c>
      <c r="F90" s="93">
        <f>+'City Clerk'!F17</f>
        <v>0</v>
      </c>
      <c r="G90" s="93">
        <f>+'City Clerk'!G17</f>
        <v>0</v>
      </c>
      <c r="H90" s="93">
        <f>+'City Clerk'!H17</f>
        <v>0</v>
      </c>
      <c r="I90" s="93">
        <f>+'City Clerk'!I17</f>
        <v>0</v>
      </c>
      <c r="J90" s="417">
        <f>+'City Clerk'!J17</f>
        <v>0</v>
      </c>
      <c r="K90" s="93">
        <f>+'City Clerk'!K17</f>
        <v>0</v>
      </c>
      <c r="L90" s="109">
        <f>+'City Clerk'!L17</f>
        <v>0</v>
      </c>
      <c r="M90" s="109">
        <f>+'City Clerk'!M17</f>
        <v>0</v>
      </c>
      <c r="N90" s="159"/>
      <c r="O90" s="93"/>
      <c r="P90" s="93"/>
      <c r="Q90" s="109"/>
    </row>
    <row r="91" spans="1:19" x14ac:dyDescent="0.25">
      <c r="A91" s="107" t="s">
        <v>93</v>
      </c>
      <c r="B91" s="416">
        <f>+'City Clerk'!B18</f>
        <v>0</v>
      </c>
      <c r="C91" s="93">
        <f>+'City Clerk'!C18</f>
        <v>0</v>
      </c>
      <c r="D91" s="93">
        <f>+'City Clerk'!D18</f>
        <v>0</v>
      </c>
      <c r="E91" s="93">
        <f>+'City Clerk'!E18</f>
        <v>0</v>
      </c>
      <c r="F91" s="93">
        <f>+'City Clerk'!F18</f>
        <v>0</v>
      </c>
      <c r="G91" s="93">
        <f>+'City Clerk'!G18</f>
        <v>0</v>
      </c>
      <c r="H91" s="93">
        <f>+'City Clerk'!H18</f>
        <v>0</v>
      </c>
      <c r="I91" s="93">
        <f>+'City Clerk'!I18</f>
        <v>0</v>
      </c>
      <c r="J91" s="417">
        <f>+'City Clerk'!J18</f>
        <v>0</v>
      </c>
      <c r="K91" s="93">
        <f>+'City Clerk'!K18</f>
        <v>0</v>
      </c>
      <c r="L91" s="109">
        <f>+'City Clerk'!L18</f>
        <v>0</v>
      </c>
      <c r="M91" s="109">
        <f>+'City Clerk'!M18</f>
        <v>0</v>
      </c>
      <c r="N91" s="159"/>
      <c r="O91" s="93"/>
      <c r="P91" s="93"/>
      <c r="Q91" s="109"/>
    </row>
    <row r="92" spans="1:19" ht="16.5" thickBot="1" x14ac:dyDescent="0.3">
      <c r="A92" s="354" t="s">
        <v>78</v>
      </c>
      <c r="B92" s="416">
        <f>+'City Clerk'!B19</f>
        <v>0</v>
      </c>
      <c r="C92" s="93">
        <f>+'City Clerk'!C19</f>
        <v>0</v>
      </c>
      <c r="D92" s="93">
        <f>+'City Clerk'!D19</f>
        <v>0</v>
      </c>
      <c r="E92" s="93">
        <f>+'City Clerk'!E19</f>
        <v>0</v>
      </c>
      <c r="F92" s="93">
        <f>+'City Clerk'!F19</f>
        <v>0</v>
      </c>
      <c r="G92" s="93">
        <f>+'City Clerk'!G19</f>
        <v>0</v>
      </c>
      <c r="H92" s="93">
        <f>+'City Clerk'!H19</f>
        <v>0</v>
      </c>
      <c r="I92" s="93">
        <f>+'City Clerk'!I19</f>
        <v>0</v>
      </c>
      <c r="J92" s="417">
        <f>+'City Clerk'!J19</f>
        <v>0</v>
      </c>
      <c r="K92" s="93">
        <f>+'City Clerk'!K19</f>
        <v>0</v>
      </c>
      <c r="L92" s="109">
        <f>+'City Clerk'!L19</f>
        <v>0</v>
      </c>
      <c r="M92" s="109">
        <f>+'City Clerk'!M19</f>
        <v>0</v>
      </c>
      <c r="N92" s="159"/>
      <c r="O92" s="93"/>
      <c r="P92" s="93"/>
      <c r="Q92" s="109"/>
    </row>
    <row r="93" spans="1:19" s="278" customFormat="1" ht="17.25" thickTop="1" thickBot="1" x14ac:dyDescent="0.3">
      <c r="A93" s="761" t="s">
        <v>346</v>
      </c>
      <c r="B93" s="785">
        <f t="shared" ref="B93:M93" si="35">SUM(B88:B92)</f>
        <v>359189</v>
      </c>
      <c r="C93" s="701">
        <f t="shared" si="35"/>
        <v>492843</v>
      </c>
      <c r="D93" s="701">
        <f t="shared" si="35"/>
        <v>438062</v>
      </c>
      <c r="E93" s="701">
        <f t="shared" si="35"/>
        <v>441233</v>
      </c>
      <c r="F93" s="701">
        <f t="shared" si="35"/>
        <v>454431</v>
      </c>
      <c r="G93" s="701">
        <f t="shared" si="35"/>
        <v>599214</v>
      </c>
      <c r="H93" s="701">
        <f t="shared" si="35"/>
        <v>947688</v>
      </c>
      <c r="I93" s="701">
        <f t="shared" si="35"/>
        <v>586611</v>
      </c>
      <c r="J93" s="702">
        <f t="shared" si="35"/>
        <v>745450</v>
      </c>
      <c r="K93" s="701">
        <f t="shared" si="35"/>
        <v>949562</v>
      </c>
      <c r="L93" s="703">
        <f t="shared" si="35"/>
        <v>719859</v>
      </c>
      <c r="M93" s="433">
        <f t="shared" si="35"/>
        <v>921108</v>
      </c>
      <c r="N93" s="692"/>
      <c r="O93" s="2"/>
      <c r="Q93" s="163"/>
      <c r="R93" s="124"/>
      <c r="S93" s="142"/>
    </row>
    <row r="94" spans="1:19" s="278" customFormat="1" ht="16.5" thickBot="1" x14ac:dyDescent="0.3">
      <c r="A94" s="762" t="s">
        <v>140</v>
      </c>
      <c r="B94" s="786">
        <f>'City Clerk'!B29</f>
        <v>5</v>
      </c>
      <c r="C94" s="698">
        <f>'City Clerk'!C29</f>
        <v>4</v>
      </c>
      <c r="D94" s="698">
        <f>'City Clerk'!D29</f>
        <v>3.75</v>
      </c>
      <c r="E94" s="698">
        <f>'City Clerk'!E29</f>
        <v>3.75</v>
      </c>
      <c r="F94" s="698">
        <f>'City Clerk'!F29</f>
        <v>4.13</v>
      </c>
      <c r="G94" s="698">
        <f>'City Clerk'!G29</f>
        <v>4.13</v>
      </c>
      <c r="H94" s="698">
        <f>'City Clerk'!H29</f>
        <v>4.13</v>
      </c>
      <c r="I94" s="698">
        <f>'City Clerk'!I29</f>
        <v>4.13</v>
      </c>
      <c r="J94" s="699">
        <f>'City Clerk'!J29</f>
        <v>5.375</v>
      </c>
      <c r="K94" s="698">
        <f>'City Clerk'!K29</f>
        <v>5</v>
      </c>
      <c r="L94" s="700">
        <f>'City Clerk'!L29</f>
        <v>5</v>
      </c>
      <c r="M94" s="433">
        <f>'City Clerk'!M29</f>
        <v>5.375</v>
      </c>
      <c r="N94" s="692"/>
      <c r="O94" s="2"/>
      <c r="Q94" s="163"/>
      <c r="R94" s="124"/>
      <c r="S94" s="142"/>
    </row>
    <row r="95" spans="1:19" x14ac:dyDescent="0.25">
      <c r="A95" s="179"/>
      <c r="B95" s="510"/>
      <c r="C95" s="180"/>
      <c r="D95" s="180"/>
      <c r="E95" s="180"/>
      <c r="F95" s="180"/>
      <c r="G95" s="180"/>
      <c r="H95" s="180"/>
      <c r="I95" s="180"/>
      <c r="J95" s="628"/>
      <c r="K95" s="180"/>
      <c r="L95" s="181"/>
      <c r="M95" s="181"/>
      <c r="N95" s="159"/>
      <c r="O95" s="180"/>
      <c r="P95" s="180"/>
      <c r="Q95" s="181"/>
    </row>
    <row r="96" spans="1:19" ht="18.75" x14ac:dyDescent="0.3">
      <c r="A96" s="763" t="s">
        <v>41</v>
      </c>
      <c r="B96" s="510"/>
      <c r="C96" s="180"/>
      <c r="D96" s="180"/>
      <c r="E96" s="180"/>
      <c r="F96" s="180"/>
      <c r="G96" s="180"/>
      <c r="H96" s="180"/>
      <c r="I96" s="180"/>
      <c r="J96" s="628"/>
      <c r="K96" s="180"/>
      <c r="L96" s="181"/>
      <c r="M96" s="181"/>
      <c r="N96" s="159"/>
      <c r="O96" s="180"/>
      <c r="P96" s="180"/>
      <c r="Q96" s="181"/>
    </row>
    <row r="97" spans="1:19" x14ac:dyDescent="0.25">
      <c r="A97" s="106" t="s">
        <v>92</v>
      </c>
      <c r="B97" s="416">
        <f>+'Cult. Svc.'!B16</f>
        <v>1248068</v>
      </c>
      <c r="C97" s="93">
        <f>+'Cult. Svc.'!C16</f>
        <v>1133935</v>
      </c>
      <c r="D97" s="93">
        <f>+'Cult. Svc.'!D16</f>
        <v>1224116</v>
      </c>
      <c r="E97" s="93">
        <f>+'Cult. Svc.'!E16</f>
        <v>1360178</v>
      </c>
      <c r="F97" s="93">
        <f>+'Cult. Svc.'!F16</f>
        <v>1719180</v>
      </c>
      <c r="G97" s="93">
        <f>+'Cult. Svc.'!G16</f>
        <v>1922206</v>
      </c>
      <c r="H97" s="93">
        <f>+'Cult. Svc.'!H16</f>
        <v>1972792</v>
      </c>
      <c r="I97" s="93">
        <f>+'Cult. Svc.'!I16</f>
        <v>2104255</v>
      </c>
      <c r="J97" s="417">
        <f>+'Cult. Svc.'!J16</f>
        <v>2333239</v>
      </c>
      <c r="K97" s="93">
        <f>+'Cult. Svc.'!K16</f>
        <v>2590726</v>
      </c>
      <c r="L97" s="109">
        <f>+'Cult. Svc.'!L16</f>
        <v>2002310</v>
      </c>
      <c r="M97" s="109">
        <f>+'Cult. Svc.'!M16</f>
        <v>2586626</v>
      </c>
      <c r="N97" s="159"/>
      <c r="O97" s="93"/>
      <c r="P97" s="93"/>
      <c r="Q97" s="109"/>
    </row>
    <row r="98" spans="1:19" x14ac:dyDescent="0.25">
      <c r="A98" s="760" t="s">
        <v>88</v>
      </c>
      <c r="B98" s="416">
        <f>+'Cult. Svc.'!B17</f>
        <v>0</v>
      </c>
      <c r="C98" s="93">
        <f>+'Cult. Svc.'!C17</f>
        <v>0</v>
      </c>
      <c r="D98" s="93">
        <f>+'Cult. Svc.'!D17</f>
        <v>0</v>
      </c>
      <c r="E98" s="93">
        <f>+'Cult. Svc.'!E17</f>
        <v>0</v>
      </c>
      <c r="F98" s="93">
        <f>+'Cult. Svc.'!F17</f>
        <v>0</v>
      </c>
      <c r="G98" s="93">
        <f>+'Cult. Svc.'!G17</f>
        <v>0</v>
      </c>
      <c r="H98" s="93">
        <f>+'Cult. Svc.'!H17</f>
        <v>0</v>
      </c>
      <c r="I98" s="93">
        <f>+'Cult. Svc.'!I17</f>
        <v>0</v>
      </c>
      <c r="J98" s="417">
        <f>+'Cult. Svc.'!J17</f>
        <v>0</v>
      </c>
      <c r="K98" s="93">
        <f>+'Cult. Svc.'!K17</f>
        <v>0</v>
      </c>
      <c r="L98" s="109">
        <f>+'Cult. Svc.'!L17</f>
        <v>0</v>
      </c>
      <c r="M98" s="109">
        <f>+'Cult. Svc.'!M17</f>
        <v>0</v>
      </c>
      <c r="N98" s="159"/>
      <c r="O98" s="93"/>
      <c r="P98" s="93"/>
      <c r="Q98" s="109"/>
    </row>
    <row r="99" spans="1:19" x14ac:dyDescent="0.25">
      <c r="A99" s="107" t="s">
        <v>93</v>
      </c>
      <c r="B99" s="416">
        <f>+'Cult. Svc.'!B18</f>
        <v>0</v>
      </c>
      <c r="C99" s="93">
        <f>+'Cult. Svc.'!C18</f>
        <v>0</v>
      </c>
      <c r="D99" s="93">
        <f>+'Cult. Svc.'!D18</f>
        <v>0</v>
      </c>
      <c r="E99" s="93">
        <f>+'Cult. Svc.'!E18</f>
        <v>0</v>
      </c>
      <c r="F99" s="93">
        <f>+'Cult. Svc.'!F18</f>
        <v>0</v>
      </c>
      <c r="G99" s="93">
        <f>+'Cult. Svc.'!G18</f>
        <v>0</v>
      </c>
      <c r="H99" s="93">
        <f>+'Cult. Svc.'!H18</f>
        <v>0</v>
      </c>
      <c r="I99" s="93">
        <f>+'Cult. Svc.'!I18</f>
        <v>0</v>
      </c>
      <c r="J99" s="417">
        <f>+'Cult. Svc.'!J18</f>
        <v>0</v>
      </c>
      <c r="K99" s="93">
        <f>+'Cult. Svc.'!K18</f>
        <v>0</v>
      </c>
      <c r="L99" s="109">
        <f>+'Cult. Svc.'!L18</f>
        <v>0</v>
      </c>
      <c r="M99" s="109">
        <f>+'Cult. Svc.'!M18</f>
        <v>0</v>
      </c>
      <c r="N99" s="159"/>
      <c r="O99" s="93"/>
      <c r="P99" s="93"/>
      <c r="Q99" s="109"/>
    </row>
    <row r="100" spans="1:19" ht="16.5" thickBot="1" x14ac:dyDescent="0.3">
      <c r="A100" s="354" t="s">
        <v>78</v>
      </c>
      <c r="B100" s="416">
        <f>+'Cult. Svc.'!B19</f>
        <v>550224</v>
      </c>
      <c r="C100" s="93">
        <f>+'Cult. Svc.'!C19</f>
        <v>283940</v>
      </c>
      <c r="D100" s="93">
        <f>+'Cult. Svc.'!D19</f>
        <v>827625</v>
      </c>
      <c r="E100" s="93">
        <f>+'Cult. Svc.'!E19</f>
        <v>430949</v>
      </c>
      <c r="F100" s="93">
        <f>+'Cult. Svc.'!F19</f>
        <v>284191</v>
      </c>
      <c r="G100" s="93">
        <f>+'Cult. Svc.'!G19</f>
        <v>561329</v>
      </c>
      <c r="H100" s="93">
        <f>+'Cult. Svc.'!H19</f>
        <v>195400</v>
      </c>
      <c r="I100" s="93">
        <f>+'Cult. Svc.'!I19</f>
        <v>2297929</v>
      </c>
      <c r="J100" s="417">
        <f>+'Cult. Svc.'!J19</f>
        <v>297275</v>
      </c>
      <c r="K100" s="93">
        <f>+'Cult. Svc.'!K19</f>
        <v>903064</v>
      </c>
      <c r="L100" s="109">
        <f>+'Cult. Svc.'!L19</f>
        <v>377489</v>
      </c>
      <c r="M100" s="109">
        <f>+'Cult. Svc.'!M19</f>
        <v>205164</v>
      </c>
      <c r="N100" s="159"/>
      <c r="O100" s="93"/>
      <c r="P100" s="93"/>
      <c r="Q100" s="109"/>
    </row>
    <row r="101" spans="1:19" s="278" customFormat="1" ht="17.25" thickTop="1" thickBot="1" x14ac:dyDescent="0.3">
      <c r="A101" s="761" t="s">
        <v>346</v>
      </c>
      <c r="B101" s="785">
        <f t="shared" ref="B101:M101" si="36">SUM(B97:B100)</f>
        <v>1798292</v>
      </c>
      <c r="C101" s="701">
        <f t="shared" si="36"/>
        <v>1417875</v>
      </c>
      <c r="D101" s="701">
        <f t="shared" si="36"/>
        <v>2051741</v>
      </c>
      <c r="E101" s="701">
        <f t="shared" si="36"/>
        <v>1791127</v>
      </c>
      <c r="F101" s="701">
        <f t="shared" si="36"/>
        <v>2003371</v>
      </c>
      <c r="G101" s="701">
        <f t="shared" si="36"/>
        <v>2483535</v>
      </c>
      <c r="H101" s="701">
        <f t="shared" si="36"/>
        <v>2168192</v>
      </c>
      <c r="I101" s="701">
        <f t="shared" si="36"/>
        <v>4402184</v>
      </c>
      <c r="J101" s="702">
        <f t="shared" si="36"/>
        <v>2630514</v>
      </c>
      <c r="K101" s="701">
        <f t="shared" si="36"/>
        <v>3493790</v>
      </c>
      <c r="L101" s="703">
        <f t="shared" si="36"/>
        <v>2379799</v>
      </c>
      <c r="M101" s="433">
        <f t="shared" si="36"/>
        <v>2791790</v>
      </c>
      <c r="N101" s="692"/>
      <c r="O101" s="2"/>
      <c r="Q101" s="163"/>
      <c r="R101" s="124"/>
      <c r="S101" s="142"/>
    </row>
    <row r="102" spans="1:19" s="278" customFormat="1" ht="16.5" thickBot="1" x14ac:dyDescent="0.3">
      <c r="A102" s="762" t="s">
        <v>140</v>
      </c>
      <c r="B102" s="786">
        <f>'Cult. Svc.'!B30</f>
        <v>11.75</v>
      </c>
      <c r="C102" s="698">
        <f>'Cult. Svc.'!C30</f>
        <v>11.4</v>
      </c>
      <c r="D102" s="698">
        <f>'Cult. Svc.'!D30</f>
        <v>11.4</v>
      </c>
      <c r="E102" s="698">
        <f>'Cult. Svc.'!E30</f>
        <v>11.28</v>
      </c>
      <c r="F102" s="698">
        <f>'Cult. Svc.'!F30</f>
        <v>11.96</v>
      </c>
      <c r="G102" s="698">
        <f>'Cult. Svc.'!G30</f>
        <v>12.16</v>
      </c>
      <c r="H102" s="698">
        <f>'Cult. Svc.'!H30</f>
        <v>11.67</v>
      </c>
      <c r="I102" s="698">
        <f>'Cult. Svc.'!I30</f>
        <v>11.969999999999999</v>
      </c>
      <c r="J102" s="699">
        <f>'Cult. Svc.'!J30</f>
        <v>13.2</v>
      </c>
      <c r="K102" s="698">
        <f>'Cult. Svc.'!K30</f>
        <v>13.7</v>
      </c>
      <c r="L102" s="700">
        <f>'Cult. Svc.'!L30</f>
        <v>13.7</v>
      </c>
      <c r="M102" s="433">
        <f>'Cult. Svc.'!M30</f>
        <v>13.45</v>
      </c>
      <c r="N102" s="692"/>
      <c r="O102" s="2"/>
      <c r="Q102" s="163"/>
      <c r="R102" s="124"/>
      <c r="S102" s="142"/>
    </row>
    <row r="103" spans="1:19" x14ac:dyDescent="0.25">
      <c r="A103" s="764"/>
      <c r="B103" s="510"/>
      <c r="C103" s="180"/>
      <c r="D103" s="180"/>
      <c r="E103" s="180"/>
      <c r="F103" s="180"/>
      <c r="G103" s="180"/>
      <c r="H103" s="180"/>
      <c r="I103" s="180"/>
      <c r="J103" s="424"/>
      <c r="K103" s="112"/>
      <c r="L103" s="113"/>
      <c r="M103" s="113"/>
      <c r="N103" s="159"/>
      <c r="O103" s="112"/>
      <c r="P103" s="112"/>
      <c r="Q103" s="113"/>
    </row>
    <row r="104" spans="1:19" s="19" customFormat="1" ht="18.75" x14ac:dyDescent="0.3">
      <c r="A104" s="763" t="s">
        <v>36</v>
      </c>
      <c r="B104" s="510"/>
      <c r="C104" s="180"/>
      <c r="D104" s="180"/>
      <c r="E104" s="180"/>
      <c r="F104" s="180"/>
      <c r="G104" s="180"/>
      <c r="H104" s="180"/>
      <c r="I104" s="180"/>
      <c r="J104" s="424"/>
      <c r="K104" s="112"/>
      <c r="L104" s="113"/>
      <c r="M104" s="113"/>
      <c r="N104" s="159"/>
      <c r="O104" s="112"/>
      <c r="P104" s="112"/>
      <c r="Q104" s="113"/>
      <c r="R104" s="124"/>
      <c r="S104" s="142"/>
    </row>
    <row r="105" spans="1:19" s="19" customFormat="1" x14ac:dyDescent="0.25">
      <c r="A105" s="106" t="s">
        <v>92</v>
      </c>
      <c r="B105" s="416">
        <f>+'Dev. Svc.'!B16</f>
        <v>2419353</v>
      </c>
      <c r="C105" s="93">
        <f>+'Dev. Svc.'!C16</f>
        <v>2548898</v>
      </c>
      <c r="D105" s="93">
        <f>+'Dev. Svc.'!D16</f>
        <v>2526055</v>
      </c>
      <c r="E105" s="93">
        <f>+'Dev. Svc.'!E16</f>
        <v>2025999</v>
      </c>
      <c r="F105" s="93">
        <f>+'Dev. Svc.'!F16</f>
        <v>2403192</v>
      </c>
      <c r="G105" s="93">
        <f>+'Dev. Svc.'!G16</f>
        <v>3074904</v>
      </c>
      <c r="H105" s="93">
        <f>+'Dev. Svc.'!H16</f>
        <v>4228418</v>
      </c>
      <c r="I105" s="93">
        <f>+'Dev. Svc.'!I16</f>
        <v>3414725</v>
      </c>
      <c r="J105" s="417">
        <f>+'Dev. Svc.'!J16</f>
        <v>3625112</v>
      </c>
      <c r="K105" s="93">
        <f>+'Dev. Svc.'!K16</f>
        <v>4040885</v>
      </c>
      <c r="L105" s="109">
        <f>+'Dev. Svc.'!L16</f>
        <v>3135765</v>
      </c>
      <c r="M105" s="109">
        <f>+'Dev. Svc.'!M16</f>
        <v>3878480</v>
      </c>
      <c r="N105" s="159"/>
      <c r="O105" s="93"/>
      <c r="P105" s="93"/>
      <c r="Q105" s="109"/>
      <c r="R105" s="124"/>
      <c r="S105" s="142"/>
    </row>
    <row r="106" spans="1:19" s="19" customFormat="1" x14ac:dyDescent="0.25">
      <c r="A106" s="760" t="s">
        <v>88</v>
      </c>
      <c r="B106" s="416">
        <f>+'Dev. Svc.'!B17</f>
        <v>0</v>
      </c>
      <c r="C106" s="93">
        <f>+'Dev. Svc.'!C17</f>
        <v>0</v>
      </c>
      <c r="D106" s="93">
        <f>+'Dev. Svc.'!D17</f>
        <v>0</v>
      </c>
      <c r="E106" s="93">
        <f>+'Dev. Svc.'!E17</f>
        <v>0</v>
      </c>
      <c r="F106" s="93">
        <f>+'Dev. Svc.'!F17</f>
        <v>0</v>
      </c>
      <c r="G106" s="93">
        <f>+'Dev. Svc.'!G17</f>
        <v>0</v>
      </c>
      <c r="H106" s="93">
        <f>+'Dev. Svc.'!H17</f>
        <v>0</v>
      </c>
      <c r="I106" s="93">
        <f>+'Dev. Svc.'!I17</f>
        <v>0</v>
      </c>
      <c r="J106" s="417">
        <f>+'Dev. Svc.'!J17</f>
        <v>0</v>
      </c>
      <c r="K106" s="93">
        <f>+'Dev. Svc.'!K17</f>
        <v>0</v>
      </c>
      <c r="L106" s="109">
        <f>+'Dev. Svc.'!L17</f>
        <v>0</v>
      </c>
      <c r="M106" s="109">
        <f>+'Dev. Svc.'!M17</f>
        <v>0</v>
      </c>
      <c r="N106" s="159"/>
      <c r="O106" s="93"/>
      <c r="P106" s="93"/>
      <c r="Q106" s="109"/>
      <c r="R106" s="124"/>
      <c r="S106" s="142"/>
    </row>
    <row r="107" spans="1:19" s="19" customFormat="1" x14ac:dyDescent="0.25">
      <c r="A107" s="107" t="s">
        <v>93</v>
      </c>
      <c r="B107" s="416">
        <f>+'Dev. Svc.'!B18</f>
        <v>0</v>
      </c>
      <c r="C107" s="93">
        <f>+'Dev. Svc.'!C18</f>
        <v>0</v>
      </c>
      <c r="D107" s="93">
        <f>+'Dev. Svc.'!D18</f>
        <v>0</v>
      </c>
      <c r="E107" s="93">
        <f>+'Dev. Svc.'!E18</f>
        <v>0</v>
      </c>
      <c r="F107" s="93">
        <f>+'Dev. Svc.'!F18</f>
        <v>0</v>
      </c>
      <c r="G107" s="93">
        <f>+'Dev. Svc.'!G18</f>
        <v>0</v>
      </c>
      <c r="H107" s="93">
        <f>+'Dev. Svc.'!H18</f>
        <v>0</v>
      </c>
      <c r="I107" s="93">
        <f>+'Dev. Svc.'!I18</f>
        <v>0</v>
      </c>
      <c r="J107" s="417">
        <f>+'Dev. Svc.'!J18</f>
        <v>0</v>
      </c>
      <c r="K107" s="93">
        <f>+'Dev. Svc.'!K18</f>
        <v>0</v>
      </c>
      <c r="L107" s="109">
        <f>+'Dev. Svc.'!L18</f>
        <v>0</v>
      </c>
      <c r="M107" s="109">
        <f>+'Dev. Svc.'!M18</f>
        <v>0</v>
      </c>
      <c r="N107" s="159"/>
      <c r="O107" s="93"/>
      <c r="P107" s="93"/>
      <c r="Q107" s="109"/>
      <c r="R107" s="124"/>
      <c r="S107" s="142"/>
    </row>
    <row r="108" spans="1:19" s="19" customFormat="1" ht="16.5" thickBot="1" x14ac:dyDescent="0.3">
      <c r="A108" s="354" t="s">
        <v>78</v>
      </c>
      <c r="B108" s="416">
        <f>+'Dev. Svc.'!B19</f>
        <v>0</v>
      </c>
      <c r="C108" s="93">
        <f>+'Dev. Svc.'!C19</f>
        <v>0</v>
      </c>
      <c r="D108" s="93">
        <f>+'Dev. Svc.'!D19</f>
        <v>0</v>
      </c>
      <c r="E108" s="93">
        <f>+'Dev. Svc.'!E19</f>
        <v>0</v>
      </c>
      <c r="F108" s="93">
        <f>+'Dev. Svc.'!F19</f>
        <v>0</v>
      </c>
      <c r="G108" s="93">
        <f>+'Dev. Svc.'!G19</f>
        <v>0</v>
      </c>
      <c r="H108" s="93">
        <f>+'Dev. Svc.'!H19</f>
        <v>0</v>
      </c>
      <c r="I108" s="93">
        <f>+'Dev. Svc.'!I19</f>
        <v>0</v>
      </c>
      <c r="J108" s="417">
        <f>+'Dev. Svc.'!J19</f>
        <v>0</v>
      </c>
      <c r="K108" s="93">
        <f>+'Dev. Svc.'!K19</f>
        <v>0</v>
      </c>
      <c r="L108" s="109">
        <f>+'Dev. Svc.'!L19</f>
        <v>0</v>
      </c>
      <c r="M108" s="109">
        <f>+'Dev. Svc.'!M19</f>
        <v>0</v>
      </c>
      <c r="N108" s="159"/>
      <c r="O108" s="93"/>
      <c r="P108" s="93"/>
      <c r="Q108" s="109"/>
      <c r="R108" s="124"/>
      <c r="S108" s="142"/>
    </row>
    <row r="109" spans="1:19" s="278" customFormat="1" ht="17.25" thickTop="1" thickBot="1" x14ac:dyDescent="0.3">
      <c r="A109" s="761" t="s">
        <v>346</v>
      </c>
      <c r="B109" s="785">
        <f t="shared" ref="B109:M109" si="37">SUM(B105:B108)</f>
        <v>2419353</v>
      </c>
      <c r="C109" s="701">
        <f t="shared" si="37"/>
        <v>2548898</v>
      </c>
      <c r="D109" s="701">
        <f t="shared" si="37"/>
        <v>2526055</v>
      </c>
      <c r="E109" s="701">
        <f t="shared" si="37"/>
        <v>2025999</v>
      </c>
      <c r="F109" s="701">
        <f t="shared" si="37"/>
        <v>2403192</v>
      </c>
      <c r="G109" s="701">
        <f t="shared" si="37"/>
        <v>3074904</v>
      </c>
      <c r="H109" s="701">
        <f t="shared" si="37"/>
        <v>4228418</v>
      </c>
      <c r="I109" s="701">
        <f t="shared" si="37"/>
        <v>3414725</v>
      </c>
      <c r="J109" s="702">
        <f t="shared" si="37"/>
        <v>3625112</v>
      </c>
      <c r="K109" s="701">
        <f t="shared" si="37"/>
        <v>4040885</v>
      </c>
      <c r="L109" s="703">
        <f t="shared" si="37"/>
        <v>3135765</v>
      </c>
      <c r="M109" s="433">
        <f t="shared" si="37"/>
        <v>3878480</v>
      </c>
      <c r="N109" s="692"/>
      <c r="O109" s="2"/>
      <c r="Q109" s="163"/>
      <c r="R109" s="124"/>
      <c r="S109" s="142"/>
    </row>
    <row r="110" spans="1:19" s="278" customFormat="1" ht="16.5" thickBot="1" x14ac:dyDescent="0.3">
      <c r="A110" s="762" t="s">
        <v>140</v>
      </c>
      <c r="B110" s="786">
        <f>'Dev. Svc.'!B29</f>
        <v>29.25</v>
      </c>
      <c r="C110" s="698">
        <f>'Dev. Svc.'!C29</f>
        <v>23.75</v>
      </c>
      <c r="D110" s="698">
        <f>'Dev. Svc.'!D29</f>
        <v>23.75</v>
      </c>
      <c r="E110" s="698">
        <f>'Dev. Svc.'!E29</f>
        <v>23.75</v>
      </c>
      <c r="F110" s="698">
        <f>'Dev. Svc.'!F29</f>
        <v>23.43</v>
      </c>
      <c r="G110" s="698">
        <f>'Dev. Svc.'!G29</f>
        <v>23.98</v>
      </c>
      <c r="H110" s="698">
        <f>'Dev. Svc.'!H29</f>
        <v>26.43</v>
      </c>
      <c r="I110" s="698">
        <f>'Dev. Svc.'!I29</f>
        <v>29.18</v>
      </c>
      <c r="J110" s="699">
        <f>'Dev. Svc.'!J29</f>
        <v>28.375</v>
      </c>
      <c r="K110" s="698">
        <f>'Dev. Svc.'!K29</f>
        <v>29.375</v>
      </c>
      <c r="L110" s="700">
        <f>'Dev. Svc.'!L29</f>
        <v>29.375</v>
      </c>
      <c r="M110" s="433">
        <f>'Dev. Svc.'!M29</f>
        <v>29.375</v>
      </c>
      <c r="N110" s="692"/>
      <c r="O110" s="2"/>
      <c r="Q110" s="163"/>
      <c r="R110" s="124"/>
      <c r="S110" s="142"/>
    </row>
    <row r="111" spans="1:19" s="19" customFormat="1" x14ac:dyDescent="0.25">
      <c r="A111" s="179"/>
      <c r="B111" s="423"/>
      <c r="C111" s="112"/>
      <c r="D111" s="112"/>
      <c r="E111" s="112"/>
      <c r="F111" s="112"/>
      <c r="G111" s="112"/>
      <c r="H111" s="112"/>
      <c r="I111" s="112"/>
      <c r="J111" s="424"/>
      <c r="K111" s="112"/>
      <c r="L111" s="113"/>
      <c r="M111" s="113"/>
      <c r="N111" s="159"/>
      <c r="O111" s="112"/>
      <c r="P111" s="112"/>
      <c r="Q111" s="113"/>
      <c r="R111" s="124"/>
      <c r="S111" s="142"/>
    </row>
    <row r="112" spans="1:19" ht="18.75" x14ac:dyDescent="0.3">
      <c r="A112" s="763" t="s">
        <v>35</v>
      </c>
      <c r="B112" s="423"/>
      <c r="C112" s="112"/>
      <c r="D112" s="112"/>
      <c r="E112" s="112"/>
      <c r="F112" s="112"/>
      <c r="G112" s="112"/>
      <c r="H112" s="112"/>
      <c r="I112" s="112"/>
      <c r="J112" s="424"/>
      <c r="K112" s="112"/>
      <c r="L112" s="113"/>
      <c r="M112" s="113"/>
      <c r="N112" s="159"/>
      <c r="O112" s="112"/>
      <c r="P112" s="112"/>
      <c r="Q112" s="113"/>
    </row>
    <row r="113" spans="1:19" x14ac:dyDescent="0.25">
      <c r="A113" s="106" t="s">
        <v>92</v>
      </c>
      <c r="B113" s="416">
        <f>+'Econ Dev'!B16</f>
        <v>138175</v>
      </c>
      <c r="C113" s="93">
        <f>+'Econ Dev'!C16</f>
        <v>492384</v>
      </c>
      <c r="D113" s="93">
        <f>+'Econ Dev'!D16</f>
        <v>968122</v>
      </c>
      <c r="E113" s="93">
        <f>+'Econ Dev'!E16</f>
        <v>1275952</v>
      </c>
      <c r="F113" s="93">
        <f>+'Econ Dev'!F16</f>
        <v>1824776</v>
      </c>
      <c r="G113" s="93">
        <f>+'Econ Dev'!G16</f>
        <v>5071156</v>
      </c>
      <c r="H113" s="93">
        <f>+'Econ Dev'!H16</f>
        <v>1288691</v>
      </c>
      <c r="I113" s="93">
        <f>+'Econ Dev'!I16</f>
        <v>2627052</v>
      </c>
      <c r="J113" s="417">
        <f>+'Econ Dev'!J16</f>
        <v>1186619</v>
      </c>
      <c r="K113" s="93">
        <f>+'Econ Dev'!K16</f>
        <v>1325468</v>
      </c>
      <c r="L113" s="109">
        <f>+'Econ Dev'!L16</f>
        <v>1007419</v>
      </c>
      <c r="M113" s="109">
        <f>+'Econ Dev'!M16</f>
        <v>1301029</v>
      </c>
      <c r="N113" s="159"/>
      <c r="O113" s="93"/>
      <c r="P113" s="93"/>
      <c r="Q113" s="109"/>
    </row>
    <row r="114" spans="1:19" x14ac:dyDescent="0.25">
      <c r="A114" s="760" t="s">
        <v>88</v>
      </c>
      <c r="B114" s="416">
        <f>+'Econ Dev'!B17</f>
        <v>0</v>
      </c>
      <c r="C114" s="93">
        <f>+'Econ Dev'!C17</f>
        <v>0</v>
      </c>
      <c r="D114" s="93">
        <f>+'Econ Dev'!D17</f>
        <v>0</v>
      </c>
      <c r="E114" s="93">
        <f>+'Econ Dev'!E17</f>
        <v>0</v>
      </c>
      <c r="F114" s="93">
        <f>+'Econ Dev'!F17</f>
        <v>0</v>
      </c>
      <c r="G114" s="93">
        <f>+'Econ Dev'!G17</f>
        <v>0</v>
      </c>
      <c r="H114" s="93">
        <f>+'Econ Dev'!H17</f>
        <v>0</v>
      </c>
      <c r="I114" s="93">
        <f>+'Econ Dev'!I17</f>
        <v>0</v>
      </c>
      <c r="J114" s="417">
        <f>+'Econ Dev'!J17</f>
        <v>0</v>
      </c>
      <c r="K114" s="93">
        <f>+'Econ Dev'!K17</f>
        <v>0</v>
      </c>
      <c r="L114" s="109">
        <f>+'Econ Dev'!L17</f>
        <v>0</v>
      </c>
      <c r="M114" s="109">
        <f>+'Econ Dev'!M17</f>
        <v>0</v>
      </c>
      <c r="N114" s="159"/>
      <c r="O114" s="93"/>
      <c r="P114" s="93"/>
      <c r="Q114" s="109"/>
    </row>
    <row r="115" spans="1:19" x14ac:dyDescent="0.25">
      <c r="A115" s="107" t="s">
        <v>93</v>
      </c>
      <c r="B115" s="416">
        <f>+'Econ Dev'!B18</f>
        <v>0</v>
      </c>
      <c r="C115" s="93">
        <f>+'Econ Dev'!C18</f>
        <v>0</v>
      </c>
      <c r="D115" s="93">
        <f>+'Econ Dev'!D18</f>
        <v>0</v>
      </c>
      <c r="E115" s="93">
        <f>+'Econ Dev'!E18</f>
        <v>0</v>
      </c>
      <c r="F115" s="93">
        <f>+'Econ Dev'!F18</f>
        <v>0</v>
      </c>
      <c r="G115" s="93">
        <f>+'Econ Dev'!G18</f>
        <v>0</v>
      </c>
      <c r="H115" s="93">
        <f>+'Econ Dev'!H18</f>
        <v>0</v>
      </c>
      <c r="I115" s="93">
        <f>+'Econ Dev'!I18</f>
        <v>0</v>
      </c>
      <c r="J115" s="417">
        <f>+'Econ Dev'!J18</f>
        <v>0</v>
      </c>
      <c r="K115" s="93">
        <f>+'Econ Dev'!K18</f>
        <v>0</v>
      </c>
      <c r="L115" s="109">
        <f>+'Econ Dev'!L18</f>
        <v>0</v>
      </c>
      <c r="M115" s="109">
        <f>+'Econ Dev'!M18</f>
        <v>0</v>
      </c>
      <c r="N115" s="159"/>
      <c r="O115" s="93"/>
      <c r="P115" s="93"/>
      <c r="Q115" s="109"/>
    </row>
    <row r="116" spans="1:19" ht="16.5" thickBot="1" x14ac:dyDescent="0.3">
      <c r="A116" s="354" t="s">
        <v>78</v>
      </c>
      <c r="B116" s="416">
        <f>+'Econ Dev'!B19</f>
        <v>0</v>
      </c>
      <c r="C116" s="93">
        <f>+'Econ Dev'!C19</f>
        <v>117129</v>
      </c>
      <c r="D116" s="93">
        <f>+'Econ Dev'!D19</f>
        <v>277274</v>
      </c>
      <c r="E116" s="93">
        <f>+'Econ Dev'!E19</f>
        <v>494701</v>
      </c>
      <c r="F116" s="93">
        <f>+'Econ Dev'!F19</f>
        <v>759006</v>
      </c>
      <c r="G116" s="93">
        <f>+'Econ Dev'!G19</f>
        <v>1824347</v>
      </c>
      <c r="H116" s="93">
        <f>+'Econ Dev'!H19</f>
        <v>4149754</v>
      </c>
      <c r="I116" s="93">
        <f>+'Econ Dev'!I19</f>
        <v>2062438</v>
      </c>
      <c r="J116" s="417">
        <f>+'Econ Dev'!J19</f>
        <v>1917813</v>
      </c>
      <c r="K116" s="93">
        <f>+'Econ Dev'!K19</f>
        <v>1901235</v>
      </c>
      <c r="L116" s="109">
        <f>+'Econ Dev'!L19</f>
        <v>1502444</v>
      </c>
      <c r="M116" s="109">
        <f>+'Econ Dev'!M19</f>
        <v>1452408</v>
      </c>
      <c r="N116" s="159"/>
      <c r="O116" s="93"/>
      <c r="P116" s="93"/>
      <c r="Q116" s="109"/>
    </row>
    <row r="117" spans="1:19" s="278" customFormat="1" ht="17.25" thickTop="1" thickBot="1" x14ac:dyDescent="0.3">
      <c r="A117" s="761" t="s">
        <v>346</v>
      </c>
      <c r="B117" s="785">
        <f t="shared" ref="B117:M117" si="38">B113+B116</f>
        <v>138175</v>
      </c>
      <c r="C117" s="701">
        <f t="shared" si="38"/>
        <v>609513</v>
      </c>
      <c r="D117" s="701">
        <f t="shared" si="38"/>
        <v>1245396</v>
      </c>
      <c r="E117" s="701">
        <f t="shared" si="38"/>
        <v>1770653</v>
      </c>
      <c r="F117" s="701">
        <f t="shared" si="38"/>
        <v>2583782</v>
      </c>
      <c r="G117" s="701">
        <f t="shared" si="38"/>
        <v>6895503</v>
      </c>
      <c r="H117" s="701">
        <f t="shared" si="38"/>
        <v>5438445</v>
      </c>
      <c r="I117" s="701">
        <f t="shared" si="38"/>
        <v>4689490</v>
      </c>
      <c r="J117" s="702">
        <f t="shared" si="38"/>
        <v>3104432</v>
      </c>
      <c r="K117" s="701">
        <f t="shared" si="38"/>
        <v>3226703</v>
      </c>
      <c r="L117" s="703">
        <f t="shared" si="38"/>
        <v>2509863</v>
      </c>
      <c r="M117" s="433">
        <f t="shared" si="38"/>
        <v>2753437</v>
      </c>
      <c r="N117" s="692"/>
      <c r="O117" s="2"/>
      <c r="Q117" s="163"/>
      <c r="R117" s="124"/>
      <c r="S117" s="142"/>
    </row>
    <row r="118" spans="1:19" s="278" customFormat="1" ht="16.5" thickBot="1" x14ac:dyDescent="0.3">
      <c r="A118" s="762" t="s">
        <v>140</v>
      </c>
      <c r="B118" s="786">
        <f>'Econ Dev'!B29</f>
        <v>1.5</v>
      </c>
      <c r="C118" s="698">
        <f>'Econ Dev'!C29</f>
        <v>1</v>
      </c>
      <c r="D118" s="698">
        <f>'Econ Dev'!D29</f>
        <v>3.63</v>
      </c>
      <c r="E118" s="698">
        <f>'Econ Dev'!E29</f>
        <v>3.63</v>
      </c>
      <c r="F118" s="698">
        <f>'Econ Dev'!F29</f>
        <v>4.13</v>
      </c>
      <c r="G118" s="698">
        <f>'Econ Dev'!G29</f>
        <v>4.5</v>
      </c>
      <c r="H118" s="698">
        <f>'Econ Dev'!H29</f>
        <v>4.5</v>
      </c>
      <c r="I118" s="698">
        <f>'Econ Dev'!I29</f>
        <v>4</v>
      </c>
      <c r="J118" s="699">
        <f>'Econ Dev'!J29</f>
        <v>4</v>
      </c>
      <c r="K118" s="698">
        <f>'Econ Dev'!K29</f>
        <v>4</v>
      </c>
      <c r="L118" s="700">
        <f>'Econ Dev'!L29</f>
        <v>4</v>
      </c>
      <c r="M118" s="433">
        <f>'Econ Dev'!M29</f>
        <v>4</v>
      </c>
      <c r="N118" s="692"/>
      <c r="O118" s="2"/>
      <c r="Q118" s="163"/>
      <c r="R118" s="124"/>
      <c r="S118" s="142"/>
    </row>
    <row r="119" spans="1:19" x14ac:dyDescent="0.25">
      <c r="A119" s="764"/>
      <c r="B119" s="423"/>
      <c r="C119" s="112"/>
      <c r="D119" s="112"/>
      <c r="E119" s="112"/>
      <c r="F119" s="112"/>
      <c r="G119" s="112"/>
      <c r="H119" s="112"/>
      <c r="I119" s="112"/>
      <c r="J119" s="424"/>
      <c r="K119" s="112"/>
      <c r="L119" s="113"/>
      <c r="M119" s="113"/>
      <c r="N119" s="159"/>
      <c r="O119" s="112"/>
      <c r="P119" s="112"/>
      <c r="Q119" s="113"/>
    </row>
    <row r="120" spans="1:19" ht="18.75" x14ac:dyDescent="0.3">
      <c r="A120" s="763" t="s">
        <v>33</v>
      </c>
      <c r="B120" s="423"/>
      <c r="C120" s="112"/>
      <c r="D120" s="112"/>
      <c r="E120" s="112"/>
      <c r="F120" s="112"/>
      <c r="G120" s="112"/>
      <c r="H120" s="112"/>
      <c r="I120" s="112"/>
      <c r="J120" s="424"/>
      <c r="K120" s="112"/>
      <c r="L120" s="113"/>
      <c r="M120" s="113"/>
      <c r="N120" s="159"/>
      <c r="O120" s="112"/>
      <c r="P120" s="112"/>
      <c r="Q120" s="113"/>
    </row>
    <row r="121" spans="1:19" x14ac:dyDescent="0.25">
      <c r="A121" s="106" t="s">
        <v>92</v>
      </c>
      <c r="B121" s="416">
        <f>+Finance!B16</f>
        <v>1730611</v>
      </c>
      <c r="C121" s="93">
        <f>+Finance!C16</f>
        <v>1670286</v>
      </c>
      <c r="D121" s="93">
        <f>+Finance!D16</f>
        <v>3607144</v>
      </c>
      <c r="E121" s="93">
        <f>+Finance!E16</f>
        <v>3728933</v>
      </c>
      <c r="F121" s="93">
        <f>+Finance!F16</f>
        <v>4221458</v>
      </c>
      <c r="G121" s="93">
        <f>+Finance!G16</f>
        <v>4730495</v>
      </c>
      <c r="H121" s="93">
        <f>+Finance!H16</f>
        <v>4677190</v>
      </c>
      <c r="I121" s="93">
        <f>+Finance!I16</f>
        <v>5095909</v>
      </c>
      <c r="J121" s="417">
        <f>+Finance!J16</f>
        <v>5963225</v>
      </c>
      <c r="K121" s="93">
        <f>+Finance!K16</f>
        <v>6881917</v>
      </c>
      <c r="L121" s="109">
        <f>+Finance!L16</f>
        <v>5795486</v>
      </c>
      <c r="M121" s="109">
        <f>+Finance!M16</f>
        <v>6913073</v>
      </c>
      <c r="N121" s="159"/>
      <c r="O121" s="93"/>
      <c r="P121" s="93"/>
      <c r="Q121" s="109"/>
    </row>
    <row r="122" spans="1:19" x14ac:dyDescent="0.25">
      <c r="A122" s="760" t="s">
        <v>88</v>
      </c>
      <c r="B122" s="416">
        <f>+Finance!B17</f>
        <v>0</v>
      </c>
      <c r="C122" s="93">
        <f>+Finance!C17</f>
        <v>0</v>
      </c>
      <c r="D122" s="93">
        <f>+Finance!D17</f>
        <v>0</v>
      </c>
      <c r="E122" s="93">
        <f>+Finance!E17</f>
        <v>0</v>
      </c>
      <c r="F122" s="93">
        <f>+Finance!F17</f>
        <v>0</v>
      </c>
      <c r="G122" s="93">
        <f>+Finance!G17</f>
        <v>0</v>
      </c>
      <c r="H122" s="93">
        <f>+Finance!H17</f>
        <v>0</v>
      </c>
      <c r="I122" s="93">
        <f>+Finance!I17</f>
        <v>0</v>
      </c>
      <c r="J122" s="417">
        <f>+Finance!J17</f>
        <v>0</v>
      </c>
      <c r="K122" s="93">
        <f>+Finance!K17</f>
        <v>0</v>
      </c>
      <c r="L122" s="109">
        <f>+Finance!L17</f>
        <v>0</v>
      </c>
      <c r="M122" s="109">
        <f>+Finance!M17</f>
        <v>0</v>
      </c>
      <c r="N122" s="159"/>
      <c r="O122" s="93"/>
      <c r="P122" s="93"/>
      <c r="Q122" s="109"/>
    </row>
    <row r="123" spans="1:19" x14ac:dyDescent="0.25">
      <c r="A123" s="107" t="s">
        <v>93</v>
      </c>
      <c r="B123" s="416">
        <f>+Finance!B18</f>
        <v>1969045</v>
      </c>
      <c r="C123" s="93">
        <f>+Finance!C18</f>
        <v>1851784</v>
      </c>
      <c r="D123" s="93">
        <f>+Finance!D18</f>
        <v>0</v>
      </c>
      <c r="E123" s="93">
        <f>+Finance!E18</f>
        <v>0</v>
      </c>
      <c r="F123" s="93">
        <f>+Finance!F18</f>
        <v>0</v>
      </c>
      <c r="G123" s="93">
        <f>+Finance!G18</f>
        <v>0</v>
      </c>
      <c r="H123" s="93">
        <f>+Finance!H18</f>
        <v>0</v>
      </c>
      <c r="I123" s="93">
        <f>+Finance!I18</f>
        <v>0</v>
      </c>
      <c r="J123" s="417">
        <f>+Finance!J18</f>
        <v>0</v>
      </c>
      <c r="K123" s="93">
        <f>+Finance!K18</f>
        <v>0</v>
      </c>
      <c r="L123" s="109">
        <f>+Finance!L18</f>
        <v>0</v>
      </c>
      <c r="M123" s="109">
        <f>+Finance!M18</f>
        <v>0</v>
      </c>
      <c r="N123" s="159"/>
      <c r="O123" s="93"/>
      <c r="P123" s="93"/>
      <c r="Q123" s="109"/>
    </row>
    <row r="124" spans="1:19" ht="16.5" thickBot="1" x14ac:dyDescent="0.3">
      <c r="A124" s="354" t="s">
        <v>78</v>
      </c>
      <c r="B124" s="416">
        <f>+Finance!B19</f>
        <v>0</v>
      </c>
      <c r="C124" s="93">
        <f>+Finance!C19</f>
        <v>0</v>
      </c>
      <c r="D124" s="93">
        <f>+Finance!D19</f>
        <v>0</v>
      </c>
      <c r="E124" s="93">
        <f>+Finance!E19</f>
        <v>0</v>
      </c>
      <c r="F124" s="93">
        <f>+Finance!F19</f>
        <v>0</v>
      </c>
      <c r="G124" s="93">
        <f>+Finance!G19</f>
        <v>0</v>
      </c>
      <c r="H124" s="93">
        <f>+Finance!H19</f>
        <v>0</v>
      </c>
      <c r="I124" s="93">
        <f>+Finance!I19</f>
        <v>0</v>
      </c>
      <c r="J124" s="417">
        <f>+Finance!J19</f>
        <v>0</v>
      </c>
      <c r="K124" s="93">
        <f>+Finance!K19</f>
        <v>0</v>
      </c>
      <c r="L124" s="109">
        <f>+Finance!L19</f>
        <v>0</v>
      </c>
      <c r="M124" s="109">
        <f>+Finance!M19</f>
        <v>0</v>
      </c>
      <c r="N124" s="159"/>
      <c r="O124" s="93"/>
      <c r="P124" s="93"/>
      <c r="Q124" s="109"/>
    </row>
    <row r="125" spans="1:19" s="278" customFormat="1" ht="17.25" thickTop="1" thickBot="1" x14ac:dyDescent="0.3">
      <c r="A125" s="761" t="s">
        <v>346</v>
      </c>
      <c r="B125" s="785">
        <f t="shared" ref="B125:M125" si="39">SUM(B121:B123)</f>
        <v>3699656</v>
      </c>
      <c r="C125" s="701">
        <f t="shared" si="39"/>
        <v>3522070</v>
      </c>
      <c r="D125" s="701">
        <f t="shared" si="39"/>
        <v>3607144</v>
      </c>
      <c r="E125" s="701">
        <f t="shared" si="39"/>
        <v>3728933</v>
      </c>
      <c r="F125" s="701">
        <f t="shared" si="39"/>
        <v>4221458</v>
      </c>
      <c r="G125" s="701">
        <f t="shared" si="39"/>
        <v>4730495</v>
      </c>
      <c r="H125" s="701">
        <f t="shared" si="39"/>
        <v>4677190</v>
      </c>
      <c r="I125" s="701">
        <f t="shared" si="39"/>
        <v>5095909</v>
      </c>
      <c r="J125" s="702">
        <f t="shared" si="39"/>
        <v>5963225</v>
      </c>
      <c r="K125" s="701">
        <f t="shared" si="39"/>
        <v>6881917</v>
      </c>
      <c r="L125" s="703">
        <f t="shared" si="39"/>
        <v>5795486</v>
      </c>
      <c r="M125" s="433">
        <f t="shared" si="39"/>
        <v>6913073</v>
      </c>
      <c r="N125" s="692"/>
      <c r="O125" s="2"/>
      <c r="Q125" s="163"/>
      <c r="R125" s="124"/>
      <c r="S125" s="142"/>
    </row>
    <row r="126" spans="1:19" s="278" customFormat="1" ht="16.5" thickBot="1" x14ac:dyDescent="0.3">
      <c r="A126" s="762" t="s">
        <v>140</v>
      </c>
      <c r="B126" s="786">
        <f>Finance!B29</f>
        <v>44.849999999999994</v>
      </c>
      <c r="C126" s="698">
        <f>Finance!C29</f>
        <v>44.15</v>
      </c>
      <c r="D126" s="698">
        <f>Finance!D29</f>
        <v>43.65</v>
      </c>
      <c r="E126" s="698">
        <f>Finance!E29</f>
        <v>43.9</v>
      </c>
      <c r="F126" s="698">
        <f>Finance!F29</f>
        <v>44.73</v>
      </c>
      <c r="G126" s="698">
        <f>Finance!G29</f>
        <v>44.9</v>
      </c>
      <c r="H126" s="698">
        <f>Finance!H29</f>
        <v>44.78</v>
      </c>
      <c r="I126" s="698">
        <f>Finance!I29</f>
        <v>45.78</v>
      </c>
      <c r="J126" s="699">
        <f>Finance!J29</f>
        <v>40.75</v>
      </c>
      <c r="K126" s="698">
        <f>Finance!K29</f>
        <v>42.75</v>
      </c>
      <c r="L126" s="700">
        <f>Finance!L29</f>
        <v>42.75</v>
      </c>
      <c r="M126" s="433">
        <f>Finance!M29</f>
        <v>42.75</v>
      </c>
      <c r="N126" s="692"/>
      <c r="O126" s="2"/>
      <c r="Q126" s="163"/>
      <c r="R126" s="124"/>
      <c r="S126" s="142"/>
    </row>
    <row r="127" spans="1:19" s="19" customFormat="1" x14ac:dyDescent="0.25">
      <c r="A127" s="764"/>
      <c r="B127" s="423"/>
      <c r="C127" s="112"/>
      <c r="D127" s="112"/>
      <c r="E127" s="112"/>
      <c r="F127" s="112"/>
      <c r="G127" s="112"/>
      <c r="H127" s="112"/>
      <c r="I127" s="112"/>
      <c r="J127" s="424"/>
      <c r="K127" s="112"/>
      <c r="L127" s="113"/>
      <c r="M127" s="113"/>
      <c r="N127" s="159"/>
      <c r="O127" s="112"/>
      <c r="P127" s="112"/>
      <c r="Q127" s="113"/>
      <c r="R127" s="124"/>
      <c r="S127" s="142"/>
    </row>
    <row r="128" spans="1:19" ht="18.75" x14ac:dyDescent="0.3">
      <c r="A128" s="763" t="s">
        <v>31</v>
      </c>
      <c r="B128" s="423"/>
      <c r="C128" s="112"/>
      <c r="D128" s="112"/>
      <c r="E128" s="112"/>
      <c r="F128" s="112"/>
      <c r="G128" s="112"/>
      <c r="H128" s="112"/>
      <c r="I128" s="112"/>
      <c r="J128" s="424"/>
      <c r="K128" s="112"/>
      <c r="L128" s="113"/>
      <c r="M128" s="113"/>
      <c r="N128" s="159"/>
      <c r="O128" s="112"/>
      <c r="P128" s="112"/>
      <c r="Q128" s="113"/>
    </row>
    <row r="129" spans="1:19" x14ac:dyDescent="0.25">
      <c r="A129" s="106" t="s">
        <v>92</v>
      </c>
      <c r="B129" s="416">
        <f>+'Human Res'!B16</f>
        <v>1054627</v>
      </c>
      <c r="C129" s="93">
        <f>+'Human Res'!C16</f>
        <v>865256</v>
      </c>
      <c r="D129" s="93">
        <f>+'Human Res'!D16</f>
        <v>743474</v>
      </c>
      <c r="E129" s="93">
        <f>+'Human Res'!E16</f>
        <v>859665</v>
      </c>
      <c r="F129" s="93">
        <f>+'Human Res'!F16</f>
        <v>962311</v>
      </c>
      <c r="G129" s="93">
        <f>+'Human Res'!G16</f>
        <v>1108001</v>
      </c>
      <c r="H129" s="93">
        <f>+'Human Res'!H16</f>
        <v>1136292</v>
      </c>
      <c r="I129" s="93">
        <f>+'Human Res'!I16</f>
        <v>1193313</v>
      </c>
      <c r="J129" s="417">
        <f>+'Human Res'!J16</f>
        <v>1414939</v>
      </c>
      <c r="K129" s="93">
        <f>+'Human Res'!K16</f>
        <v>1813328</v>
      </c>
      <c r="L129" s="109">
        <f>+'Human Res'!L16</f>
        <v>1839400</v>
      </c>
      <c r="M129" s="109">
        <f>+'Human Res'!M16</f>
        <v>1813328</v>
      </c>
      <c r="N129" s="159"/>
      <c r="O129" s="93"/>
      <c r="P129" s="93"/>
      <c r="Q129" s="109"/>
    </row>
    <row r="130" spans="1:19" x14ac:dyDescent="0.25">
      <c r="A130" s="760" t="s">
        <v>88</v>
      </c>
      <c r="B130" s="416">
        <f>+'Human Res'!B17</f>
        <v>11116066</v>
      </c>
      <c r="C130" s="93">
        <f>+'Human Res'!C17</f>
        <v>11075298</v>
      </c>
      <c r="D130" s="93">
        <f>+'Human Res'!D17</f>
        <v>11778659</v>
      </c>
      <c r="E130" s="93">
        <f>+'Human Res'!E17</f>
        <v>10540253</v>
      </c>
      <c r="F130" s="93">
        <f>+'Human Res'!F17</f>
        <v>12678270</v>
      </c>
      <c r="G130" s="93">
        <f>+'Human Res'!G17</f>
        <v>14080963</v>
      </c>
      <c r="H130" s="93">
        <f>+'Human Res'!H17</f>
        <v>17722972</v>
      </c>
      <c r="I130" s="93">
        <f>+'Human Res'!I17</f>
        <v>15894286</v>
      </c>
      <c r="J130" s="417">
        <f>+'Human Res'!J17</f>
        <v>14351941</v>
      </c>
      <c r="K130" s="93">
        <f>+'Human Res'!K17</f>
        <v>19015038</v>
      </c>
      <c r="L130" s="109">
        <f>+'Human Res'!L17</f>
        <v>20299627</v>
      </c>
      <c r="M130" s="109">
        <f>+'Human Res'!M17</f>
        <v>18900387</v>
      </c>
      <c r="N130" s="159"/>
      <c r="O130" s="93"/>
      <c r="P130" s="93"/>
      <c r="Q130" s="109"/>
    </row>
    <row r="131" spans="1:19" x14ac:dyDescent="0.25">
      <c r="A131" s="107" t="s">
        <v>93</v>
      </c>
      <c r="B131" s="416">
        <f>+'Human Res'!B18</f>
        <v>0</v>
      </c>
      <c r="C131" s="93">
        <f>+'Human Res'!C18</f>
        <v>0</v>
      </c>
      <c r="D131" s="93">
        <f>+'Human Res'!D18</f>
        <v>0</v>
      </c>
      <c r="E131" s="93">
        <f>+'Human Res'!E18</f>
        <v>0</v>
      </c>
      <c r="F131" s="93">
        <f>+'Human Res'!F18</f>
        <v>0</v>
      </c>
      <c r="G131" s="93">
        <f>+'Human Res'!G18</f>
        <v>0</v>
      </c>
      <c r="H131" s="93">
        <f>+'Human Res'!H18</f>
        <v>0</v>
      </c>
      <c r="I131" s="93">
        <f>+'Human Res'!I18</f>
        <v>0</v>
      </c>
      <c r="J131" s="417">
        <f>+'Human Res'!J18</f>
        <v>0</v>
      </c>
      <c r="K131" s="93">
        <f>+'Human Res'!K18</f>
        <v>0</v>
      </c>
      <c r="L131" s="109">
        <f>+'Human Res'!L18</f>
        <v>0</v>
      </c>
      <c r="M131" s="109">
        <f>+'Human Res'!M18</f>
        <v>0</v>
      </c>
      <c r="N131" s="159"/>
      <c r="O131" s="93"/>
      <c r="P131" s="93"/>
      <c r="Q131" s="109"/>
    </row>
    <row r="132" spans="1:19" ht="16.5" thickBot="1" x14ac:dyDescent="0.3">
      <c r="A132" s="354" t="s">
        <v>78</v>
      </c>
      <c r="B132" s="416">
        <f>+'Human Res'!B19</f>
        <v>0</v>
      </c>
      <c r="C132" s="93">
        <f>+'Human Res'!C19</f>
        <v>0</v>
      </c>
      <c r="D132" s="93">
        <f>+'Human Res'!D19</f>
        <v>0</v>
      </c>
      <c r="E132" s="93">
        <f>+'Human Res'!E19</f>
        <v>0</v>
      </c>
      <c r="F132" s="93">
        <f>+'Human Res'!F19</f>
        <v>0</v>
      </c>
      <c r="G132" s="93">
        <f>+'Human Res'!G19</f>
        <v>0</v>
      </c>
      <c r="H132" s="93">
        <f>+'Human Res'!H19</f>
        <v>0</v>
      </c>
      <c r="I132" s="93">
        <f>+'Human Res'!I19</f>
        <v>0</v>
      </c>
      <c r="J132" s="417">
        <f>+'Human Res'!J19</f>
        <v>0</v>
      </c>
      <c r="K132" s="93">
        <f>+'Human Res'!K19</f>
        <v>0</v>
      </c>
      <c r="L132" s="109">
        <f>+'Human Res'!L19</f>
        <v>0</v>
      </c>
      <c r="M132" s="109">
        <f>+'Human Res'!M19</f>
        <v>0</v>
      </c>
      <c r="N132" s="159"/>
      <c r="O132" s="93"/>
      <c r="P132" s="93"/>
      <c r="Q132" s="109"/>
    </row>
    <row r="133" spans="1:19" s="278" customFormat="1" ht="17.25" thickTop="1" thickBot="1" x14ac:dyDescent="0.3">
      <c r="A133" s="761" t="s">
        <v>346</v>
      </c>
      <c r="B133" s="785">
        <f t="shared" ref="B133:M133" si="40">B129+B130</f>
        <v>12170693</v>
      </c>
      <c r="C133" s="701">
        <f t="shared" si="40"/>
        <v>11940554</v>
      </c>
      <c r="D133" s="701">
        <f t="shared" si="40"/>
        <v>12522133</v>
      </c>
      <c r="E133" s="701">
        <f t="shared" si="40"/>
        <v>11399918</v>
      </c>
      <c r="F133" s="701">
        <f t="shared" si="40"/>
        <v>13640581</v>
      </c>
      <c r="G133" s="701">
        <f t="shared" si="40"/>
        <v>15188964</v>
      </c>
      <c r="H133" s="701">
        <f t="shared" si="40"/>
        <v>18859264</v>
      </c>
      <c r="I133" s="701">
        <f t="shared" si="40"/>
        <v>17087599</v>
      </c>
      <c r="J133" s="702">
        <f t="shared" si="40"/>
        <v>15766880</v>
      </c>
      <c r="K133" s="701">
        <f t="shared" si="40"/>
        <v>20828366</v>
      </c>
      <c r="L133" s="703">
        <f t="shared" si="40"/>
        <v>22139027</v>
      </c>
      <c r="M133" s="433">
        <f t="shared" si="40"/>
        <v>20713715</v>
      </c>
      <c r="N133" s="692"/>
      <c r="O133" s="2"/>
      <c r="Q133" s="163"/>
      <c r="R133" s="124"/>
      <c r="S133" s="142"/>
    </row>
    <row r="134" spans="1:19" s="278" customFormat="1" ht="16.5" thickBot="1" x14ac:dyDescent="0.3">
      <c r="A134" s="762" t="s">
        <v>140</v>
      </c>
      <c r="B134" s="786">
        <f>'Human Res'!B42</f>
        <v>14</v>
      </c>
      <c r="C134" s="698">
        <f>'Human Res'!C42</f>
        <v>14</v>
      </c>
      <c r="D134" s="698">
        <f>'Human Res'!D42</f>
        <v>13.75</v>
      </c>
      <c r="E134" s="698">
        <f>'Human Res'!E42</f>
        <v>13</v>
      </c>
      <c r="F134" s="698">
        <f>'Human Res'!F42</f>
        <v>13</v>
      </c>
      <c r="G134" s="698">
        <f>'Human Res'!G42</f>
        <v>13</v>
      </c>
      <c r="H134" s="698">
        <f>'Human Res'!H42</f>
        <v>13</v>
      </c>
      <c r="I134" s="698">
        <f>'Human Res'!I42</f>
        <v>13</v>
      </c>
      <c r="J134" s="699">
        <f>'Human Res'!J42</f>
        <v>13</v>
      </c>
      <c r="K134" s="698">
        <f>'Human Res'!K42</f>
        <v>14</v>
      </c>
      <c r="L134" s="700">
        <f>'Human Res'!L42</f>
        <v>14</v>
      </c>
      <c r="M134" s="433">
        <f>'Human Res'!M42</f>
        <v>14</v>
      </c>
      <c r="N134" s="726"/>
      <c r="O134" s="727"/>
      <c r="P134" s="728"/>
      <c r="Q134" s="729"/>
      <c r="R134" s="730"/>
      <c r="S134" s="731"/>
    </row>
    <row r="135" spans="1:19" x14ac:dyDescent="0.25">
      <c r="A135" s="764"/>
      <c r="B135" s="423"/>
      <c r="C135" s="112"/>
      <c r="D135" s="112"/>
      <c r="E135" s="112"/>
      <c r="F135" s="112"/>
      <c r="G135" s="112"/>
      <c r="H135" s="112"/>
      <c r="I135" s="112"/>
      <c r="J135" s="424"/>
      <c r="K135" s="112"/>
      <c r="L135" s="113"/>
      <c r="M135" s="113"/>
      <c r="N135" s="159"/>
      <c r="O135" s="112"/>
      <c r="P135" s="112"/>
      <c r="Q135" s="113"/>
    </row>
    <row r="136" spans="1:19" ht="18.75" x14ac:dyDescent="0.3">
      <c r="A136" s="763" t="s">
        <v>34</v>
      </c>
      <c r="B136" s="423"/>
      <c r="C136" s="112"/>
      <c r="D136" s="112"/>
      <c r="E136" s="112"/>
      <c r="F136" s="112"/>
      <c r="G136" s="112"/>
      <c r="H136" s="112"/>
      <c r="I136" s="112"/>
      <c r="J136" s="424"/>
      <c r="K136" s="112"/>
      <c r="L136" s="113"/>
      <c r="M136" s="113"/>
      <c r="N136" s="159"/>
      <c r="O136" s="112"/>
      <c r="P136" s="112"/>
      <c r="Q136" s="113"/>
    </row>
    <row r="137" spans="1:19" x14ac:dyDescent="0.25">
      <c r="A137" s="106" t="s">
        <v>92</v>
      </c>
      <c r="B137" s="416">
        <f>+IT!B16</f>
        <v>3150350</v>
      </c>
      <c r="C137" s="93">
        <f>+IT!C16</f>
        <v>2931210</v>
      </c>
      <c r="D137" s="93">
        <f>+IT!D16</f>
        <v>3188644</v>
      </c>
      <c r="E137" s="93">
        <f>+IT!E16</f>
        <v>3125625</v>
      </c>
      <c r="F137" s="93">
        <f>+IT!F16</f>
        <v>3516179</v>
      </c>
      <c r="G137" s="93">
        <f>+IT!G16</f>
        <v>3464762</v>
      </c>
      <c r="H137" s="93">
        <f>+IT!H16</f>
        <v>3851712</v>
      </c>
      <c r="I137" s="93">
        <f>+IT!I16</f>
        <v>3971864</v>
      </c>
      <c r="J137" s="417">
        <f>+IT!J16</f>
        <v>4665671</v>
      </c>
      <c r="K137" s="93">
        <f>+IT!K16</f>
        <v>5718302</v>
      </c>
      <c r="L137" s="109">
        <f>+IT!L16</f>
        <v>4821194</v>
      </c>
      <c r="M137" s="109">
        <f>+IT!M16</f>
        <v>5416696</v>
      </c>
      <c r="N137" s="159"/>
      <c r="O137" s="93"/>
      <c r="P137" s="93"/>
      <c r="Q137" s="109"/>
    </row>
    <row r="138" spans="1:19" x14ac:dyDescent="0.25">
      <c r="A138" s="760" t="s">
        <v>88</v>
      </c>
      <c r="B138" s="416">
        <f>+IT!B17</f>
        <v>0</v>
      </c>
      <c r="C138" s="93">
        <f>+IT!C17</f>
        <v>0</v>
      </c>
      <c r="D138" s="93">
        <f>+IT!D17</f>
        <v>0</v>
      </c>
      <c r="E138" s="93">
        <f>+IT!E17</f>
        <v>0</v>
      </c>
      <c r="F138" s="93">
        <f>+IT!F17</f>
        <v>0</v>
      </c>
      <c r="G138" s="93">
        <f>+IT!G17</f>
        <v>0</v>
      </c>
      <c r="H138" s="93">
        <f>+IT!H17</f>
        <v>0</v>
      </c>
      <c r="I138" s="93">
        <f>+IT!I17</f>
        <v>0</v>
      </c>
      <c r="J138" s="417">
        <f>+IT!J17</f>
        <v>0</v>
      </c>
      <c r="K138" s="93">
        <f>+IT!K17</f>
        <v>0</v>
      </c>
      <c r="L138" s="109">
        <f>+IT!L17</f>
        <v>0</v>
      </c>
      <c r="M138" s="109">
        <f>+IT!M17</f>
        <v>0</v>
      </c>
      <c r="N138" s="159"/>
      <c r="O138" s="93"/>
      <c r="P138" s="93"/>
      <c r="Q138" s="109"/>
    </row>
    <row r="139" spans="1:19" x14ac:dyDescent="0.25">
      <c r="A139" s="107" t="s">
        <v>93</v>
      </c>
      <c r="B139" s="416">
        <f>+IT!B18</f>
        <v>0</v>
      </c>
      <c r="C139" s="93">
        <f>+IT!C18</f>
        <v>0</v>
      </c>
      <c r="D139" s="93">
        <f>+IT!D18</f>
        <v>0</v>
      </c>
      <c r="E139" s="93">
        <f>+IT!E18</f>
        <v>0</v>
      </c>
      <c r="F139" s="93">
        <f>+IT!F18</f>
        <v>0</v>
      </c>
      <c r="G139" s="93">
        <f>+IT!G18</f>
        <v>0</v>
      </c>
      <c r="H139" s="93">
        <f>+IT!H18</f>
        <v>0</v>
      </c>
      <c r="I139" s="93">
        <f>+IT!I18</f>
        <v>0</v>
      </c>
      <c r="J139" s="417">
        <f>+IT!J18</f>
        <v>0</v>
      </c>
      <c r="K139" s="93">
        <f>+IT!K18</f>
        <v>0</v>
      </c>
      <c r="L139" s="109">
        <f>+IT!L18</f>
        <v>0</v>
      </c>
      <c r="M139" s="109">
        <f>+IT!M18</f>
        <v>0</v>
      </c>
      <c r="N139" s="159"/>
      <c r="O139" s="93"/>
      <c r="P139" s="93"/>
      <c r="Q139" s="109"/>
    </row>
    <row r="140" spans="1:19" ht="16.5" thickBot="1" x14ac:dyDescent="0.3">
      <c r="A140" s="354" t="s">
        <v>78</v>
      </c>
      <c r="B140" s="416">
        <f>+IT!B19</f>
        <v>0</v>
      </c>
      <c r="C140" s="93">
        <f>+IT!C19</f>
        <v>29256</v>
      </c>
      <c r="D140" s="93">
        <f>+IT!D19</f>
        <v>2444</v>
      </c>
      <c r="E140" s="93">
        <f>+IT!E19</f>
        <v>55913</v>
      </c>
      <c r="F140" s="93">
        <f>+IT!F19</f>
        <v>21418</v>
      </c>
      <c r="G140" s="93">
        <f>+IT!G19</f>
        <v>2873</v>
      </c>
      <c r="H140" s="93">
        <f>+IT!H19</f>
        <v>7138</v>
      </c>
      <c r="I140" s="93">
        <f>+IT!I19</f>
        <v>123233</v>
      </c>
      <c r="J140" s="417">
        <f>+IT!J19</f>
        <v>324471</v>
      </c>
      <c r="K140" s="93">
        <f>+IT!K19</f>
        <v>404435</v>
      </c>
      <c r="L140" s="109">
        <f>+IT!L19</f>
        <v>389000</v>
      </c>
      <c r="M140" s="109">
        <f>+IT!M19</f>
        <v>290000</v>
      </c>
      <c r="N140" s="159"/>
      <c r="O140" s="93"/>
      <c r="P140" s="93"/>
      <c r="Q140" s="109"/>
    </row>
    <row r="141" spans="1:19" s="278" customFormat="1" ht="17.25" thickTop="1" thickBot="1" x14ac:dyDescent="0.3">
      <c r="A141" s="761" t="s">
        <v>346</v>
      </c>
      <c r="B141" s="785">
        <f t="shared" ref="B141:M141" si="41">B137+B140</f>
        <v>3150350</v>
      </c>
      <c r="C141" s="701">
        <f t="shared" si="41"/>
        <v>2960466</v>
      </c>
      <c r="D141" s="701">
        <f t="shared" si="41"/>
        <v>3191088</v>
      </c>
      <c r="E141" s="701">
        <f t="shared" si="41"/>
        <v>3181538</v>
      </c>
      <c r="F141" s="701">
        <f t="shared" si="41"/>
        <v>3537597</v>
      </c>
      <c r="G141" s="701">
        <f t="shared" si="41"/>
        <v>3467635</v>
      </c>
      <c r="H141" s="701">
        <f t="shared" si="41"/>
        <v>3858850</v>
      </c>
      <c r="I141" s="701">
        <f t="shared" si="41"/>
        <v>4095097</v>
      </c>
      <c r="J141" s="702">
        <f t="shared" si="41"/>
        <v>4990142</v>
      </c>
      <c r="K141" s="701">
        <f t="shared" si="41"/>
        <v>6122737</v>
      </c>
      <c r="L141" s="703">
        <f t="shared" si="41"/>
        <v>5210194</v>
      </c>
      <c r="M141" s="433">
        <f t="shared" si="41"/>
        <v>5706696</v>
      </c>
      <c r="N141" s="692"/>
      <c r="O141" s="2"/>
      <c r="Q141" s="163"/>
      <c r="R141" s="124"/>
      <c r="S141" s="142"/>
    </row>
    <row r="142" spans="1:19" s="278" customFormat="1" ht="16.5" thickBot="1" x14ac:dyDescent="0.3">
      <c r="A142" s="762" t="s">
        <v>140</v>
      </c>
      <c r="B142" s="786">
        <f>IT!B29</f>
        <v>24.5</v>
      </c>
      <c r="C142" s="698">
        <f>IT!C29</f>
        <v>17.5</v>
      </c>
      <c r="D142" s="698">
        <f>IT!D29</f>
        <v>20.5</v>
      </c>
      <c r="E142" s="698">
        <f>IT!E29</f>
        <v>20.5</v>
      </c>
      <c r="F142" s="698">
        <f>IT!F29</f>
        <v>20.5</v>
      </c>
      <c r="G142" s="698">
        <f>IT!G29</f>
        <v>20.5</v>
      </c>
      <c r="H142" s="698">
        <f>IT!H29</f>
        <v>22.5</v>
      </c>
      <c r="I142" s="698">
        <f>IT!I29</f>
        <v>22.5</v>
      </c>
      <c r="J142" s="699">
        <f>IT!J29</f>
        <v>22.5</v>
      </c>
      <c r="K142" s="698">
        <f>IT!K29</f>
        <v>23</v>
      </c>
      <c r="L142" s="700">
        <f>IT!L29</f>
        <v>23</v>
      </c>
      <c r="M142" s="433">
        <f>IT!M29</f>
        <v>23</v>
      </c>
      <c r="N142" s="692"/>
      <c r="O142" s="2"/>
      <c r="Q142" s="163"/>
      <c r="R142" s="124"/>
      <c r="S142" s="142"/>
    </row>
    <row r="143" spans="1:19" x14ac:dyDescent="0.25">
      <c r="A143" s="764"/>
      <c r="B143" s="423"/>
      <c r="C143" s="112"/>
      <c r="D143" s="112"/>
      <c r="E143" s="112"/>
      <c r="F143" s="112"/>
      <c r="G143" s="112"/>
      <c r="H143" s="112"/>
      <c r="I143" s="112"/>
      <c r="J143" s="424"/>
      <c r="K143" s="112"/>
      <c r="L143" s="113"/>
      <c r="M143" s="113"/>
      <c r="N143" s="159"/>
      <c r="O143" s="112"/>
      <c r="P143" s="112"/>
      <c r="Q143" s="113"/>
    </row>
    <row r="144" spans="1:19" ht="18.75" x14ac:dyDescent="0.3">
      <c r="A144" s="763" t="s">
        <v>40</v>
      </c>
      <c r="B144" s="423"/>
      <c r="C144" s="112"/>
      <c r="D144" s="112"/>
      <c r="E144" s="112"/>
      <c r="F144" s="112"/>
      <c r="G144" s="112"/>
      <c r="H144" s="112"/>
      <c r="I144" s="112"/>
      <c r="J144" s="424"/>
      <c r="K144" s="112"/>
      <c r="L144" s="113"/>
      <c r="M144" s="113"/>
      <c r="N144" s="159"/>
      <c r="O144" s="112"/>
      <c r="P144" s="112"/>
      <c r="Q144" s="113"/>
    </row>
    <row r="145" spans="1:19" x14ac:dyDescent="0.25">
      <c r="A145" s="106" t="s">
        <v>92</v>
      </c>
      <c r="B145" s="416">
        <f>Library!B16</f>
        <v>2705755</v>
      </c>
      <c r="C145" s="93">
        <f>+Library!C16</f>
        <v>2394183</v>
      </c>
      <c r="D145" s="93">
        <f>+Library!D16</f>
        <v>2318491</v>
      </c>
      <c r="E145" s="93">
        <f>+Library!E16</f>
        <v>2408997</v>
      </c>
      <c r="F145" s="93">
        <f>+Library!F16</f>
        <v>2799235</v>
      </c>
      <c r="G145" s="93">
        <f>+Library!G16</f>
        <v>3065549</v>
      </c>
      <c r="H145" s="93">
        <f>+Library!H16</f>
        <v>3158826</v>
      </c>
      <c r="I145" s="93">
        <f>+Library!I16</f>
        <v>3283976</v>
      </c>
      <c r="J145" s="417">
        <f>+Library!J16</f>
        <v>3762506</v>
      </c>
      <c r="K145" s="93">
        <f>+Library!K16</f>
        <v>4389757</v>
      </c>
      <c r="L145" s="109">
        <f>+Library!L16</f>
        <v>3230341</v>
      </c>
      <c r="M145" s="109">
        <f>+Library!M16</f>
        <v>4278817</v>
      </c>
      <c r="N145" s="159"/>
      <c r="O145" s="93"/>
      <c r="P145" s="93"/>
      <c r="Q145" s="109"/>
    </row>
    <row r="146" spans="1:19" x14ac:dyDescent="0.25">
      <c r="A146" s="760" t="s">
        <v>88</v>
      </c>
      <c r="B146" s="416">
        <f>Library!B17</f>
        <v>0</v>
      </c>
      <c r="C146" s="93">
        <f>+Library!C17</f>
        <v>0</v>
      </c>
      <c r="D146" s="93">
        <f>+Library!D17</f>
        <v>0</v>
      </c>
      <c r="E146" s="93">
        <f>+Library!E17</f>
        <v>0</v>
      </c>
      <c r="F146" s="93">
        <f>+Library!F17</f>
        <v>0</v>
      </c>
      <c r="G146" s="93">
        <f>+Library!G17</f>
        <v>0</v>
      </c>
      <c r="H146" s="93">
        <f>+Library!H17</f>
        <v>0</v>
      </c>
      <c r="I146" s="93">
        <f>+Library!I17</f>
        <v>0</v>
      </c>
      <c r="J146" s="417">
        <f>+Library!J17</f>
        <v>0</v>
      </c>
      <c r="K146" s="93">
        <f>+Library!K17</f>
        <v>0</v>
      </c>
      <c r="L146" s="109">
        <f>+Library!L17</f>
        <v>0</v>
      </c>
      <c r="M146" s="109">
        <f>+Library!M17</f>
        <v>0</v>
      </c>
      <c r="N146" s="159"/>
      <c r="O146" s="93"/>
      <c r="P146" s="93"/>
      <c r="Q146" s="109"/>
    </row>
    <row r="147" spans="1:19" x14ac:dyDescent="0.25">
      <c r="A147" s="107" t="s">
        <v>93</v>
      </c>
      <c r="B147" s="416">
        <f>Library!B18</f>
        <v>0</v>
      </c>
      <c r="C147" s="93">
        <f>+Library!C18</f>
        <v>0</v>
      </c>
      <c r="D147" s="93">
        <f>+Library!D18</f>
        <v>0</v>
      </c>
      <c r="E147" s="93">
        <f>+Library!E18</f>
        <v>0</v>
      </c>
      <c r="F147" s="93">
        <f>+Library!F18</f>
        <v>0</v>
      </c>
      <c r="G147" s="93">
        <f>+Library!G18</f>
        <v>0</v>
      </c>
      <c r="H147" s="93">
        <f>+Library!H18</f>
        <v>0</v>
      </c>
      <c r="I147" s="93">
        <f>+Library!I18</f>
        <v>0</v>
      </c>
      <c r="J147" s="417">
        <f>+Library!J18</f>
        <v>0</v>
      </c>
      <c r="K147" s="93">
        <f>+Library!K18</f>
        <v>0</v>
      </c>
      <c r="L147" s="109">
        <f>+Library!L18</f>
        <v>0</v>
      </c>
      <c r="M147" s="109">
        <f>+Library!M18</f>
        <v>0</v>
      </c>
      <c r="N147" s="159"/>
      <c r="O147" s="93"/>
      <c r="P147" s="93"/>
      <c r="Q147" s="109"/>
    </row>
    <row r="148" spans="1:19" ht="16.5" thickBot="1" x14ac:dyDescent="0.3">
      <c r="A148" s="354" t="s">
        <v>78</v>
      </c>
      <c r="B148" s="416">
        <f>Library!B19</f>
        <v>199904</v>
      </c>
      <c r="C148" s="93">
        <f>+Library!C19</f>
        <v>1329251</v>
      </c>
      <c r="D148" s="93">
        <f>+Library!D19</f>
        <v>2594910</v>
      </c>
      <c r="E148" s="93">
        <f>+Library!E19</f>
        <v>250000</v>
      </c>
      <c r="F148" s="93">
        <f>+Library!F19</f>
        <v>10690</v>
      </c>
      <c r="G148" s="93">
        <f>+Library!G19</f>
        <v>3276</v>
      </c>
      <c r="H148" s="93">
        <f>+Library!H19</f>
        <v>0</v>
      </c>
      <c r="I148" s="93">
        <f>+Library!I19</f>
        <v>0</v>
      </c>
      <c r="J148" s="417">
        <f>+Library!J19</f>
        <v>0</v>
      </c>
      <c r="K148" s="93">
        <f>+Library!K19</f>
        <v>75000</v>
      </c>
      <c r="L148" s="109">
        <f>+Library!L19</f>
        <v>0</v>
      </c>
      <c r="M148" s="109">
        <f>+Library!M19</f>
        <v>0</v>
      </c>
      <c r="N148" s="159"/>
      <c r="O148" s="93"/>
      <c r="P148" s="93"/>
      <c r="Q148" s="109"/>
    </row>
    <row r="149" spans="1:19" s="278" customFormat="1" ht="17.25" thickTop="1" thickBot="1" x14ac:dyDescent="0.3">
      <c r="A149" s="761" t="s">
        <v>346</v>
      </c>
      <c r="B149" s="785">
        <f t="shared" ref="B149:L149" si="42">B145+B148</f>
        <v>2905659</v>
      </c>
      <c r="C149" s="701">
        <f t="shared" si="42"/>
        <v>3723434</v>
      </c>
      <c r="D149" s="701">
        <f t="shared" si="42"/>
        <v>4913401</v>
      </c>
      <c r="E149" s="701">
        <f t="shared" si="42"/>
        <v>2658997</v>
      </c>
      <c r="F149" s="701">
        <f t="shared" si="42"/>
        <v>2809925</v>
      </c>
      <c r="G149" s="701">
        <f t="shared" si="42"/>
        <v>3068825</v>
      </c>
      <c r="H149" s="701">
        <f t="shared" si="42"/>
        <v>3158826</v>
      </c>
      <c r="I149" s="701">
        <f t="shared" si="42"/>
        <v>3283976</v>
      </c>
      <c r="J149" s="702">
        <f t="shared" si="42"/>
        <v>3762506</v>
      </c>
      <c r="K149" s="701">
        <f t="shared" si="42"/>
        <v>4464757</v>
      </c>
      <c r="L149" s="703">
        <f t="shared" si="42"/>
        <v>3230341</v>
      </c>
      <c r="M149" s="433">
        <f>SUM(M145:M148)</f>
        <v>4278817</v>
      </c>
      <c r="N149" s="692"/>
      <c r="O149" s="2"/>
      <c r="Q149" s="163"/>
      <c r="R149" s="124"/>
      <c r="S149" s="142"/>
    </row>
    <row r="150" spans="1:19" s="278" customFormat="1" ht="16.5" thickBot="1" x14ac:dyDescent="0.3">
      <c r="A150" s="762" t="s">
        <v>140</v>
      </c>
      <c r="B150" s="786">
        <f>Library!B29</f>
        <v>27.54</v>
      </c>
      <c r="C150" s="698">
        <f>Library!C29</f>
        <v>27.54</v>
      </c>
      <c r="D150" s="698">
        <f>Library!D29</f>
        <v>29.93</v>
      </c>
      <c r="E150" s="698">
        <f>Library!E29</f>
        <v>30.26</v>
      </c>
      <c r="F150" s="698">
        <f>Library!F29</f>
        <v>30.8</v>
      </c>
      <c r="G150" s="698">
        <f>Library!G29</f>
        <v>30.93</v>
      </c>
      <c r="H150" s="698">
        <f>Library!H29</f>
        <v>31.88</v>
      </c>
      <c r="I150" s="698">
        <f>Library!I29</f>
        <v>32.129999999999995</v>
      </c>
      <c r="J150" s="699">
        <f>Library!J29</f>
        <v>32.75</v>
      </c>
      <c r="K150" s="698">
        <f>Library!K29</f>
        <v>32.75</v>
      </c>
      <c r="L150" s="700">
        <f>Library!L29</f>
        <v>33.125</v>
      </c>
      <c r="M150" s="433">
        <f>Library!M29</f>
        <v>32.75</v>
      </c>
      <c r="N150" s="692"/>
      <c r="O150" s="2"/>
      <c r="Q150" s="163"/>
      <c r="R150" s="124"/>
      <c r="S150" s="142"/>
    </row>
    <row r="151" spans="1:19" x14ac:dyDescent="0.25">
      <c r="A151" s="764"/>
      <c r="B151" s="423"/>
      <c r="C151" s="112"/>
      <c r="D151" s="112"/>
      <c r="E151" s="112"/>
      <c r="F151" s="112"/>
      <c r="G151" s="112"/>
      <c r="H151" s="112"/>
      <c r="I151" s="112"/>
      <c r="J151" s="424"/>
      <c r="K151" s="112"/>
      <c r="L151" s="113"/>
      <c r="M151" s="113"/>
      <c r="N151" s="159"/>
      <c r="O151" s="112"/>
      <c r="P151" s="112"/>
      <c r="Q151" s="113"/>
    </row>
    <row r="152" spans="1:19" s="19" customFormat="1" ht="18.75" x14ac:dyDescent="0.3">
      <c r="A152" s="763" t="s">
        <v>39</v>
      </c>
      <c r="B152" s="423"/>
      <c r="C152" s="112"/>
      <c r="D152" s="112"/>
      <c r="E152" s="112"/>
      <c r="F152" s="112"/>
      <c r="G152" s="112"/>
      <c r="H152" s="112"/>
      <c r="I152" s="112"/>
      <c r="J152" s="424"/>
      <c r="K152" s="112"/>
      <c r="L152" s="113"/>
      <c r="M152" s="113"/>
      <c r="N152" s="159"/>
      <c r="O152" s="112"/>
      <c r="P152" s="112"/>
      <c r="Q152" s="113"/>
      <c r="R152" s="124"/>
      <c r="S152" s="142"/>
    </row>
    <row r="153" spans="1:19" s="19" customFormat="1" x14ac:dyDescent="0.25">
      <c r="A153" s="106" t="s">
        <v>92</v>
      </c>
      <c r="B153" s="416">
        <f>+'Parks &amp; Rec'!B16</f>
        <v>6924090</v>
      </c>
      <c r="C153" s="93">
        <f>+'Parks &amp; Rec'!C16</f>
        <v>7551789</v>
      </c>
      <c r="D153" s="93">
        <f>+'Parks &amp; Rec'!D16</f>
        <v>7789038</v>
      </c>
      <c r="E153" s="93">
        <f>+'Parks &amp; Rec'!E16</f>
        <v>8209400</v>
      </c>
      <c r="F153" s="93">
        <f>+'Parks &amp; Rec'!F16</f>
        <v>8639517</v>
      </c>
      <c r="G153" s="93">
        <f>+'Parks &amp; Rec'!G16</f>
        <v>11449771</v>
      </c>
      <c r="H153" s="93">
        <f>+'Parks &amp; Rec'!H16</f>
        <v>10457393</v>
      </c>
      <c r="I153" s="93">
        <f>+'Parks &amp; Rec'!I16</f>
        <v>10372472</v>
      </c>
      <c r="J153" s="417">
        <f>+'Parks &amp; Rec'!J16</f>
        <v>11803103</v>
      </c>
      <c r="K153" s="93">
        <f>+'Parks &amp; Rec'!K16</f>
        <v>13214389</v>
      </c>
      <c r="L153" s="109">
        <f>+'Parks &amp; Rec'!L16</f>
        <v>11891350</v>
      </c>
      <c r="M153" s="109">
        <f>+'Parks &amp; Rec'!M16</f>
        <v>12864910</v>
      </c>
      <c r="N153" s="159"/>
      <c r="O153" s="93"/>
      <c r="P153" s="93"/>
      <c r="Q153" s="109"/>
      <c r="R153" s="124"/>
      <c r="S153" s="142"/>
    </row>
    <row r="154" spans="1:19" s="19" customFormat="1" x14ac:dyDescent="0.25">
      <c r="A154" s="760" t="s">
        <v>88</v>
      </c>
      <c r="B154" s="416">
        <f>+'Parks &amp; Rec'!B17</f>
        <v>0</v>
      </c>
      <c r="C154" s="93">
        <f>+'Parks &amp; Rec'!C17</f>
        <v>0</v>
      </c>
      <c r="D154" s="93">
        <f>+'Parks &amp; Rec'!D17</f>
        <v>0</v>
      </c>
      <c r="E154" s="93">
        <f>+'Parks &amp; Rec'!E17</f>
        <v>0</v>
      </c>
      <c r="F154" s="93">
        <f>+'Parks &amp; Rec'!F17</f>
        <v>0</v>
      </c>
      <c r="G154" s="93">
        <f>+'Parks &amp; Rec'!G17</f>
        <v>0</v>
      </c>
      <c r="H154" s="93">
        <f>+'Parks &amp; Rec'!H17</f>
        <v>0</v>
      </c>
      <c r="I154" s="93">
        <f>+'Parks &amp; Rec'!I17</f>
        <v>0</v>
      </c>
      <c r="J154" s="417">
        <f>+'Parks &amp; Rec'!J17</f>
        <v>0</v>
      </c>
      <c r="K154" s="93">
        <f>+'Parks &amp; Rec'!K17</f>
        <v>0</v>
      </c>
      <c r="L154" s="109">
        <f>+'Parks &amp; Rec'!L17</f>
        <v>0</v>
      </c>
      <c r="M154" s="109">
        <f>+'Parks &amp; Rec'!M17</f>
        <v>0</v>
      </c>
      <c r="N154" s="159"/>
      <c r="O154" s="93"/>
      <c r="P154" s="93"/>
      <c r="Q154" s="109"/>
      <c r="R154" s="124"/>
      <c r="S154" s="142"/>
    </row>
    <row r="155" spans="1:19" s="19" customFormat="1" x14ac:dyDescent="0.25">
      <c r="A155" s="107" t="s">
        <v>93</v>
      </c>
      <c r="B155" s="416">
        <f>+'Parks &amp; Rec'!B18</f>
        <v>5241595</v>
      </c>
      <c r="C155" s="93">
        <f>+'Parks &amp; Rec'!C18</f>
        <v>3140781</v>
      </c>
      <c r="D155" s="93">
        <f>+'Parks &amp; Rec'!D18</f>
        <v>2833380</v>
      </c>
      <c r="E155" s="93">
        <f>+'Parks &amp; Rec'!E18</f>
        <v>3287046</v>
      </c>
      <c r="F155" s="93">
        <f>+'Parks &amp; Rec'!F18</f>
        <v>2806142</v>
      </c>
      <c r="G155" s="93">
        <f>+'Parks &amp; Rec'!G18</f>
        <v>3849000</v>
      </c>
      <c r="H155" s="93">
        <f>+'Parks &amp; Rec'!H18</f>
        <v>3764678</v>
      </c>
      <c r="I155" s="93">
        <f>+'Parks &amp; Rec'!I18</f>
        <v>4584652</v>
      </c>
      <c r="J155" s="417">
        <f>+'Parks &amp; Rec'!J18</f>
        <v>4185637</v>
      </c>
      <c r="K155" s="93">
        <f>+'Parks &amp; Rec'!K18</f>
        <v>4540987</v>
      </c>
      <c r="L155" s="109">
        <f>+'Parks &amp; Rec'!L18</f>
        <v>4002992</v>
      </c>
      <c r="M155" s="109">
        <f>+'Parks &amp; Rec'!M18</f>
        <v>4540987</v>
      </c>
      <c r="N155" s="159"/>
      <c r="O155" s="93"/>
      <c r="P155" s="93"/>
      <c r="Q155" s="109"/>
      <c r="R155" s="124"/>
      <c r="S155" s="142"/>
    </row>
    <row r="156" spans="1:19" s="19" customFormat="1" ht="16.5" thickBot="1" x14ac:dyDescent="0.3">
      <c r="A156" s="354" t="s">
        <v>78</v>
      </c>
      <c r="B156" s="416">
        <f>+'Parks &amp; Rec'!B19</f>
        <v>2499746</v>
      </c>
      <c r="C156" s="93">
        <f>+'Parks &amp; Rec'!C19</f>
        <v>7879453</v>
      </c>
      <c r="D156" s="93">
        <f>+'Parks &amp; Rec'!D19</f>
        <v>1611320</v>
      </c>
      <c r="E156" s="93">
        <f>+'Parks &amp; Rec'!E19</f>
        <v>1850776</v>
      </c>
      <c r="F156" s="93">
        <f>+'Parks &amp; Rec'!F19</f>
        <v>6734410</v>
      </c>
      <c r="G156" s="93">
        <f>+'Parks &amp; Rec'!G19</f>
        <v>9221992</v>
      </c>
      <c r="H156" s="93">
        <f>+'Parks &amp; Rec'!H19</f>
        <v>8238205</v>
      </c>
      <c r="I156" s="93">
        <f>+'Parks &amp; Rec'!I19</f>
        <v>8349841</v>
      </c>
      <c r="J156" s="417">
        <f>+'Parks &amp; Rec'!J19</f>
        <v>7121667</v>
      </c>
      <c r="K156" s="93">
        <f>+'Parks &amp; Rec'!K19</f>
        <v>14925815</v>
      </c>
      <c r="L156" s="109">
        <f>+'Parks &amp; Rec'!L19</f>
        <v>12193175</v>
      </c>
      <c r="M156" s="109">
        <f>+'Parks &amp; Rec'!M19</f>
        <v>9659319</v>
      </c>
      <c r="N156" s="159"/>
      <c r="O156" s="93"/>
      <c r="P156" s="93"/>
      <c r="Q156" s="109"/>
      <c r="R156" s="124"/>
      <c r="S156" s="142"/>
    </row>
    <row r="157" spans="1:19" s="278" customFormat="1" ht="17.25" thickTop="1" thickBot="1" x14ac:dyDescent="0.3">
      <c r="A157" s="761" t="s">
        <v>346</v>
      </c>
      <c r="B157" s="785">
        <f t="shared" ref="B157:M157" si="43">SUM(B153:B156)</f>
        <v>14665431</v>
      </c>
      <c r="C157" s="701">
        <f t="shared" si="43"/>
        <v>18572023</v>
      </c>
      <c r="D157" s="701">
        <f t="shared" si="43"/>
        <v>12233738</v>
      </c>
      <c r="E157" s="701">
        <f t="shared" si="43"/>
        <v>13347222</v>
      </c>
      <c r="F157" s="701">
        <f t="shared" si="43"/>
        <v>18180069</v>
      </c>
      <c r="G157" s="701">
        <f t="shared" si="43"/>
        <v>24520763</v>
      </c>
      <c r="H157" s="701">
        <f t="shared" si="43"/>
        <v>22460276</v>
      </c>
      <c r="I157" s="701">
        <f t="shared" si="43"/>
        <v>23306965</v>
      </c>
      <c r="J157" s="702">
        <f t="shared" si="43"/>
        <v>23110407</v>
      </c>
      <c r="K157" s="701">
        <f t="shared" si="43"/>
        <v>32681191</v>
      </c>
      <c r="L157" s="703">
        <f t="shared" si="43"/>
        <v>28087517</v>
      </c>
      <c r="M157" s="433">
        <f t="shared" si="43"/>
        <v>27065216</v>
      </c>
      <c r="N157" s="692"/>
      <c r="O157" s="2"/>
      <c r="Q157" s="163"/>
      <c r="R157" s="124"/>
      <c r="S157" s="142"/>
    </row>
    <row r="158" spans="1:19" s="278" customFormat="1" ht="16.5" thickBot="1" x14ac:dyDescent="0.3">
      <c r="A158" s="762" t="s">
        <v>140</v>
      </c>
      <c r="B158" s="786">
        <f>'Parks &amp; Rec'!B50</f>
        <v>83.27</v>
      </c>
      <c r="C158" s="698">
        <f>'Parks &amp; Rec'!C50</f>
        <v>78.19</v>
      </c>
      <c r="D158" s="698">
        <f>'Parks &amp; Rec'!D50</f>
        <v>78.260000000000005</v>
      </c>
      <c r="E158" s="698">
        <f>'Parks &amp; Rec'!E50</f>
        <v>78.650000000000006</v>
      </c>
      <c r="F158" s="698">
        <f>'Parks &amp; Rec'!F50</f>
        <v>77.75</v>
      </c>
      <c r="G158" s="698">
        <f>'Parks &amp; Rec'!G50</f>
        <v>78.260000000000005</v>
      </c>
      <c r="H158" s="698">
        <f>'Parks &amp; Rec'!H50</f>
        <v>78.92</v>
      </c>
      <c r="I158" s="698">
        <f>'Parks &amp; Rec'!I50</f>
        <v>82.410000000000011</v>
      </c>
      <c r="J158" s="699">
        <f>'Parks &amp; Rec'!J50</f>
        <v>83.125</v>
      </c>
      <c r="K158" s="698">
        <f>'Parks &amp; Rec'!K50</f>
        <v>85.25</v>
      </c>
      <c r="L158" s="700">
        <f>'Parks &amp; Rec'!L50</f>
        <v>84.75</v>
      </c>
      <c r="M158" s="433">
        <f>'Parks &amp; Rec'!M50</f>
        <v>84.25</v>
      </c>
      <c r="N158" s="692"/>
      <c r="O158" s="2"/>
      <c r="Q158" s="163"/>
      <c r="R158" s="124"/>
      <c r="S158" s="142"/>
    </row>
    <row r="159" spans="1:19" s="19" customFormat="1" x14ac:dyDescent="0.25">
      <c r="A159" s="764"/>
      <c r="B159" s="423"/>
      <c r="C159" s="112"/>
      <c r="D159" s="112"/>
      <c r="E159" s="112"/>
      <c r="F159" s="112"/>
      <c r="G159" s="112"/>
      <c r="H159" s="112"/>
      <c r="I159" s="112"/>
      <c r="J159" s="424"/>
      <c r="K159" s="112"/>
      <c r="L159" s="113"/>
      <c r="M159" s="113"/>
      <c r="N159" s="159"/>
      <c r="O159" s="112"/>
      <c r="P159" s="112"/>
      <c r="Q159" s="113"/>
      <c r="R159" s="124"/>
      <c r="S159" s="142"/>
    </row>
    <row r="160" spans="1:19" s="19" customFormat="1" ht="18.75" x14ac:dyDescent="0.3">
      <c r="A160" s="763" t="s">
        <v>38</v>
      </c>
      <c r="B160" s="423"/>
      <c r="C160" s="112"/>
      <c r="D160" s="112"/>
      <c r="E160" s="112"/>
      <c r="F160" s="112"/>
      <c r="G160" s="112"/>
      <c r="H160" s="112"/>
      <c r="I160" s="112"/>
      <c r="J160" s="424"/>
      <c r="K160" s="112"/>
      <c r="L160" s="113"/>
      <c r="M160" s="113"/>
      <c r="N160" s="159"/>
      <c r="O160" s="112"/>
      <c r="P160" s="112"/>
      <c r="Q160" s="113"/>
      <c r="R160" s="124"/>
      <c r="S160" s="142"/>
    </row>
    <row r="161" spans="1:19" s="19" customFormat="1" x14ac:dyDescent="0.25">
      <c r="A161" s="106" t="s">
        <v>92</v>
      </c>
      <c r="B161" s="416">
        <f>+Police!B16</f>
        <v>15281636</v>
      </c>
      <c r="C161" s="93">
        <f>+Police!C16</f>
        <v>15707233</v>
      </c>
      <c r="D161" s="93">
        <f>+Police!D16</f>
        <v>16496905</v>
      </c>
      <c r="E161" s="93">
        <f>+Police!E16</f>
        <v>16174985</v>
      </c>
      <c r="F161" s="93">
        <f>+Police!F16</f>
        <v>17097730</v>
      </c>
      <c r="G161" s="93">
        <f>+Police!G16</f>
        <v>18444764</v>
      </c>
      <c r="H161" s="93">
        <f>+Police!H16</f>
        <v>19758843</v>
      </c>
      <c r="I161" s="93">
        <f>+Police!I16</f>
        <v>20829121</v>
      </c>
      <c r="J161" s="417">
        <f>+Police!J16</f>
        <v>24480951</v>
      </c>
      <c r="K161" s="93">
        <f>+Police!K16</f>
        <v>26765644</v>
      </c>
      <c r="L161" s="109">
        <f>+Police!L16</f>
        <v>24457482</v>
      </c>
      <c r="M161" s="109">
        <f>+Police!M16</f>
        <v>26198103</v>
      </c>
      <c r="N161" s="159"/>
      <c r="O161" s="93"/>
      <c r="P161" s="93"/>
      <c r="Q161" s="109"/>
      <c r="R161" s="124"/>
      <c r="S161" s="142"/>
    </row>
    <row r="162" spans="1:19" s="19" customFormat="1" x14ac:dyDescent="0.25">
      <c r="A162" s="760" t="s">
        <v>88</v>
      </c>
      <c r="B162" s="416">
        <f>+Police!B17</f>
        <v>0</v>
      </c>
      <c r="C162" s="93">
        <f>+Police!C17</f>
        <v>0</v>
      </c>
      <c r="D162" s="93">
        <f>+Police!D17</f>
        <v>0</v>
      </c>
      <c r="E162" s="93">
        <f>+Police!E17</f>
        <v>0</v>
      </c>
      <c r="F162" s="93">
        <f>+Police!F17</f>
        <v>0</v>
      </c>
      <c r="G162" s="93">
        <f>+Police!G17</f>
        <v>0</v>
      </c>
      <c r="H162" s="93">
        <f>+Police!H17</f>
        <v>0</v>
      </c>
      <c r="I162" s="93">
        <f>+Police!I17</f>
        <v>0</v>
      </c>
      <c r="J162" s="417">
        <f>+Police!J17</f>
        <v>0</v>
      </c>
      <c r="K162" s="93">
        <f>+Police!K17</f>
        <v>0</v>
      </c>
      <c r="L162" s="109">
        <f>+Police!L17</f>
        <v>0</v>
      </c>
      <c r="M162" s="109">
        <f>+Police!M17</f>
        <v>0</v>
      </c>
      <c r="N162" s="159"/>
      <c r="O162" s="93"/>
      <c r="P162" s="93"/>
      <c r="Q162" s="109"/>
      <c r="R162" s="124"/>
      <c r="S162" s="142"/>
    </row>
    <row r="163" spans="1:19" s="19" customFormat="1" x14ac:dyDescent="0.25">
      <c r="A163" s="107" t="s">
        <v>93</v>
      </c>
      <c r="B163" s="416">
        <f>+Police!B18</f>
        <v>0</v>
      </c>
      <c r="C163" s="93">
        <f>+Police!C18</f>
        <v>0</v>
      </c>
      <c r="D163" s="93">
        <f>+Police!D18</f>
        <v>0</v>
      </c>
      <c r="E163" s="93">
        <f>+Police!E18</f>
        <v>0</v>
      </c>
      <c r="F163" s="93">
        <f>+Police!F18</f>
        <v>0</v>
      </c>
      <c r="G163" s="93">
        <f>+Police!G18</f>
        <v>0</v>
      </c>
      <c r="H163" s="93">
        <f>+Police!H18</f>
        <v>0</v>
      </c>
      <c r="I163" s="93">
        <f>+Police!I18</f>
        <v>0</v>
      </c>
      <c r="J163" s="417">
        <f>+Police!J18</f>
        <v>0</v>
      </c>
      <c r="K163" s="93">
        <f>+Police!K18</f>
        <v>0</v>
      </c>
      <c r="L163" s="109">
        <f>+Police!L18</f>
        <v>0</v>
      </c>
      <c r="M163" s="109">
        <f>+Police!M18</f>
        <v>0</v>
      </c>
      <c r="N163" s="159"/>
      <c r="O163" s="93"/>
      <c r="P163" s="93"/>
      <c r="Q163" s="109"/>
      <c r="R163" s="124"/>
      <c r="S163" s="142"/>
    </row>
    <row r="164" spans="1:19" s="19" customFormat="1" ht="16.5" thickBot="1" x14ac:dyDescent="0.3">
      <c r="A164" s="354" t="s">
        <v>78</v>
      </c>
      <c r="B164" s="416">
        <f>+Police!B19</f>
        <v>55305</v>
      </c>
      <c r="C164" s="93">
        <f>+Police!C19</f>
        <v>62013</v>
      </c>
      <c r="D164" s="93">
        <f>+Police!D19</f>
        <v>50253</v>
      </c>
      <c r="E164" s="93">
        <f>+Police!E19</f>
        <v>86915</v>
      </c>
      <c r="F164" s="93">
        <f>+Police!F19</f>
        <v>181353</v>
      </c>
      <c r="G164" s="93">
        <f>+Police!G19</f>
        <v>170829</v>
      </c>
      <c r="H164" s="93">
        <f>+Police!H19</f>
        <v>157540</v>
      </c>
      <c r="I164" s="93">
        <f>+Police!I19</f>
        <v>445147</v>
      </c>
      <c r="J164" s="417">
        <f>+Police!J19</f>
        <v>177320</v>
      </c>
      <c r="K164" s="93">
        <f>+Police!K19</f>
        <v>6804669</v>
      </c>
      <c r="L164" s="109">
        <f>+Police!L19</f>
        <v>0</v>
      </c>
      <c r="M164" s="109">
        <f>+Police!M19</f>
        <v>6010377</v>
      </c>
      <c r="N164" s="159"/>
      <c r="O164" s="93"/>
      <c r="P164" s="93"/>
      <c r="Q164" s="109"/>
      <c r="R164" s="124"/>
      <c r="S164" s="142"/>
    </row>
    <row r="165" spans="1:19" s="278" customFormat="1" ht="17.25" thickTop="1" thickBot="1" x14ac:dyDescent="0.3">
      <c r="A165" s="761" t="s">
        <v>346</v>
      </c>
      <c r="B165" s="785">
        <f t="shared" ref="B165:M165" si="44">SUM(B161:B164)</f>
        <v>15336941</v>
      </c>
      <c r="C165" s="701">
        <f t="shared" si="44"/>
        <v>15769246</v>
      </c>
      <c r="D165" s="701">
        <f t="shared" si="44"/>
        <v>16547158</v>
      </c>
      <c r="E165" s="701">
        <f t="shared" si="44"/>
        <v>16261900</v>
      </c>
      <c r="F165" s="701">
        <f t="shared" si="44"/>
        <v>17279083</v>
      </c>
      <c r="G165" s="701">
        <f t="shared" si="44"/>
        <v>18615593</v>
      </c>
      <c r="H165" s="701">
        <f t="shared" si="44"/>
        <v>19916383</v>
      </c>
      <c r="I165" s="701">
        <f t="shared" si="44"/>
        <v>21274268</v>
      </c>
      <c r="J165" s="702">
        <f t="shared" si="44"/>
        <v>24658271</v>
      </c>
      <c r="K165" s="701">
        <f t="shared" si="44"/>
        <v>33570313</v>
      </c>
      <c r="L165" s="703">
        <f t="shared" si="44"/>
        <v>24457482</v>
      </c>
      <c r="M165" s="433">
        <f t="shared" si="44"/>
        <v>32208480</v>
      </c>
      <c r="N165" s="692"/>
      <c r="O165" s="2"/>
      <c r="Q165" s="163"/>
      <c r="R165" s="124"/>
      <c r="S165" s="142"/>
    </row>
    <row r="166" spans="1:19" s="278" customFormat="1" ht="16.5" thickBot="1" x14ac:dyDescent="0.3">
      <c r="A166" s="762" t="s">
        <v>140</v>
      </c>
      <c r="B166" s="786">
        <f>Police!B29</f>
        <v>136</v>
      </c>
      <c r="C166" s="698">
        <f>Police!C29</f>
        <v>134</v>
      </c>
      <c r="D166" s="698">
        <f>Police!D29</f>
        <v>134</v>
      </c>
      <c r="E166" s="698">
        <f>Police!E29</f>
        <v>133.75</v>
      </c>
      <c r="F166" s="698">
        <f>Police!F29</f>
        <v>134.75</v>
      </c>
      <c r="G166" s="698">
        <f>Police!G29</f>
        <v>140</v>
      </c>
      <c r="H166" s="698">
        <f>Police!H29</f>
        <v>146</v>
      </c>
      <c r="I166" s="698">
        <f>Police!I29</f>
        <v>154</v>
      </c>
      <c r="J166" s="699">
        <f>Police!J29</f>
        <v>158.5</v>
      </c>
      <c r="K166" s="698">
        <f>Police!K29</f>
        <v>164.5</v>
      </c>
      <c r="L166" s="700">
        <f>Police!L29</f>
        <v>164.5</v>
      </c>
      <c r="M166" s="433">
        <f>Police!M29</f>
        <v>160.5</v>
      </c>
      <c r="N166" s="692"/>
      <c r="O166" s="2"/>
      <c r="Q166" s="163"/>
      <c r="R166" s="124"/>
      <c r="S166" s="142"/>
    </row>
    <row r="167" spans="1:19" s="19" customFormat="1" x14ac:dyDescent="0.25">
      <c r="A167" s="764"/>
      <c r="B167" s="423"/>
      <c r="C167" s="112"/>
      <c r="D167" s="112"/>
      <c r="E167" s="112"/>
      <c r="F167" s="112"/>
      <c r="G167" s="112"/>
      <c r="H167" s="112"/>
      <c r="I167" s="112"/>
      <c r="J167" s="424"/>
      <c r="K167" s="112"/>
      <c r="L167" s="113"/>
      <c r="M167" s="113"/>
      <c r="N167" s="159"/>
      <c r="O167" s="112"/>
      <c r="P167" s="112"/>
      <c r="Q167" s="113"/>
      <c r="R167" s="124"/>
      <c r="S167" s="142"/>
    </row>
    <row r="168" spans="1:19" ht="18.75" x14ac:dyDescent="0.3">
      <c r="A168" s="763" t="s">
        <v>37</v>
      </c>
      <c r="B168" s="423"/>
      <c r="C168" s="112"/>
      <c r="D168" s="112"/>
      <c r="E168" s="112"/>
      <c r="F168" s="112"/>
      <c r="G168" s="112"/>
      <c r="H168" s="112"/>
      <c r="I168" s="112"/>
      <c r="J168" s="424"/>
      <c r="K168" s="112"/>
      <c r="L168" s="113"/>
      <c r="M168" s="113"/>
      <c r="N168" s="159"/>
      <c r="O168" s="112"/>
      <c r="P168" s="112"/>
      <c r="Q168" s="113"/>
    </row>
    <row r="169" spans="1:19" x14ac:dyDescent="0.25">
      <c r="A169" s="106" t="s">
        <v>92</v>
      </c>
      <c r="B169" s="416">
        <f>+'Public Works'!B16</f>
        <v>10062502</v>
      </c>
      <c r="C169" s="93">
        <f>+'Public Works'!C16</f>
        <v>10673095</v>
      </c>
      <c r="D169" s="93">
        <f>+'Public Works'!D16</f>
        <v>4455067</v>
      </c>
      <c r="E169" s="93">
        <f>+'Public Works'!E16</f>
        <v>4619343</v>
      </c>
      <c r="F169" s="93">
        <f>+'Public Works'!F16</f>
        <v>5178065</v>
      </c>
      <c r="G169" s="93">
        <f>+'Public Works'!G16</f>
        <v>5507029</v>
      </c>
      <c r="H169" s="93">
        <f>+'Public Works'!H16</f>
        <v>5314453</v>
      </c>
      <c r="I169" s="93">
        <f>+'Public Works'!I16</f>
        <v>5437058</v>
      </c>
      <c r="J169" s="497">
        <f>+'Public Works'!J16</f>
        <v>5801294</v>
      </c>
      <c r="K169" s="93">
        <f>+'Public Works'!K16</f>
        <v>7061778</v>
      </c>
      <c r="L169" s="109">
        <f>+'Public Works'!L16</f>
        <v>5641211</v>
      </c>
      <c r="M169" s="109">
        <f>+'Public Works'!M16</f>
        <v>6967532</v>
      </c>
      <c r="N169" s="159"/>
      <c r="O169" s="93"/>
      <c r="P169" s="93"/>
      <c r="Q169" s="109"/>
    </row>
    <row r="170" spans="1:19" x14ac:dyDescent="0.25">
      <c r="A170" s="760" t="s">
        <v>88</v>
      </c>
      <c r="B170" s="416">
        <f>+'Public Works'!B17</f>
        <v>4962185</v>
      </c>
      <c r="C170" s="93">
        <f>+'Public Works'!C17</f>
        <v>4246892</v>
      </c>
      <c r="D170" s="93">
        <f>+'Public Works'!D17</f>
        <v>4160986</v>
      </c>
      <c r="E170" s="93">
        <f>+'Public Works'!E17</f>
        <v>4106438</v>
      </c>
      <c r="F170" s="93">
        <f>+'Public Works'!F17</f>
        <v>4854971</v>
      </c>
      <c r="G170" s="93">
        <f>+'Public Works'!G17</f>
        <v>7456697</v>
      </c>
      <c r="H170" s="93">
        <f>+'Public Works'!H17</f>
        <v>5029718</v>
      </c>
      <c r="I170" s="93">
        <f>+'Public Works'!I17</f>
        <v>4774416</v>
      </c>
      <c r="J170" s="497">
        <f>+'Public Works'!J17</f>
        <v>8648324</v>
      </c>
      <c r="K170" s="93">
        <f>+'Public Works'!K17</f>
        <v>8003967</v>
      </c>
      <c r="L170" s="109">
        <f>+'Public Works'!L17</f>
        <v>7653673</v>
      </c>
      <c r="M170" s="109">
        <f>+'Public Works'!M17</f>
        <v>7183005</v>
      </c>
      <c r="N170" s="159"/>
      <c r="O170" s="93"/>
      <c r="P170" s="93"/>
      <c r="Q170" s="109"/>
    </row>
    <row r="171" spans="1:19" x14ac:dyDescent="0.25">
      <c r="A171" s="107" t="s">
        <v>93</v>
      </c>
      <c r="B171" s="416">
        <f>+'Public Works'!B18</f>
        <v>9372269</v>
      </c>
      <c r="C171" s="93">
        <f>+'Public Works'!C18</f>
        <v>10890833</v>
      </c>
      <c r="D171" s="93">
        <f>+'Public Works'!D18</f>
        <v>10022460</v>
      </c>
      <c r="E171" s="93">
        <f>+'Public Works'!E18</f>
        <v>8823433</v>
      </c>
      <c r="F171" s="93">
        <f>+'Public Works'!F18</f>
        <v>11594610</v>
      </c>
      <c r="G171" s="93">
        <f>+'Public Works'!G18</f>
        <v>15637201</v>
      </c>
      <c r="H171" s="93">
        <f>+'Public Works'!H18</f>
        <v>10852994</v>
      </c>
      <c r="I171" s="93">
        <f>+'Public Works'!I18</f>
        <v>13826489</v>
      </c>
      <c r="J171" s="497">
        <f>+'Public Works'!J18</f>
        <v>14289214</v>
      </c>
      <c r="K171" s="93">
        <f>+'Public Works'!K18</f>
        <v>21678756</v>
      </c>
      <c r="L171" s="109">
        <f>+'Public Works'!L18</f>
        <v>19000299</v>
      </c>
      <c r="M171" s="109">
        <f>+'Public Works'!M18</f>
        <v>17336179</v>
      </c>
      <c r="N171" s="159"/>
      <c r="O171" s="93"/>
      <c r="P171" s="93"/>
      <c r="Q171" s="109"/>
    </row>
    <row r="172" spans="1:19" ht="16.5" thickBot="1" x14ac:dyDescent="0.3">
      <c r="A172" s="354" t="s">
        <v>78</v>
      </c>
      <c r="B172" s="416">
        <f>+'Public Works'!B19</f>
        <v>3627144</v>
      </c>
      <c r="C172" s="93">
        <f>+'Public Works'!C19</f>
        <v>3842683</v>
      </c>
      <c r="D172" s="93">
        <f>+'Public Works'!D19</f>
        <v>15790863</v>
      </c>
      <c r="E172" s="93">
        <f>+'Public Works'!E19</f>
        <v>14197544</v>
      </c>
      <c r="F172" s="93">
        <f>+'Public Works'!F19</f>
        <v>14015154</v>
      </c>
      <c r="G172" s="93">
        <f>+'Public Works'!G19</f>
        <v>16393632</v>
      </c>
      <c r="H172" s="93">
        <f>+'Public Works'!H19</f>
        <v>16828687</v>
      </c>
      <c r="I172" s="93">
        <f>+'Public Works'!I19</f>
        <v>21296351</v>
      </c>
      <c r="J172" s="417">
        <f>+'Public Works'!J19</f>
        <v>25123268</v>
      </c>
      <c r="K172" s="93">
        <f>+'Public Works'!K19</f>
        <v>55148059</v>
      </c>
      <c r="L172" s="109">
        <f>+'Public Works'!L19</f>
        <v>37536193</v>
      </c>
      <c r="M172" s="109">
        <f>+'Public Works'!M19</f>
        <v>26823090</v>
      </c>
      <c r="N172" s="159"/>
      <c r="O172" s="93"/>
      <c r="P172" s="93"/>
      <c r="Q172" s="109"/>
    </row>
    <row r="173" spans="1:19" s="278" customFormat="1" ht="17.25" thickTop="1" thickBot="1" x14ac:dyDescent="0.3">
      <c r="A173" s="761" t="s">
        <v>346</v>
      </c>
      <c r="B173" s="785">
        <f t="shared" ref="B173:M173" si="45">SUM(B169:B172)</f>
        <v>28024100</v>
      </c>
      <c r="C173" s="701">
        <f t="shared" si="45"/>
        <v>29653503</v>
      </c>
      <c r="D173" s="701">
        <f t="shared" si="45"/>
        <v>34429376</v>
      </c>
      <c r="E173" s="701">
        <f t="shared" si="45"/>
        <v>31746758</v>
      </c>
      <c r="F173" s="701">
        <f t="shared" si="45"/>
        <v>35642800</v>
      </c>
      <c r="G173" s="701">
        <f t="shared" si="45"/>
        <v>44994559</v>
      </c>
      <c r="H173" s="701">
        <f t="shared" si="45"/>
        <v>38025852</v>
      </c>
      <c r="I173" s="701">
        <f t="shared" si="45"/>
        <v>45334314</v>
      </c>
      <c r="J173" s="702">
        <f t="shared" si="45"/>
        <v>53862100</v>
      </c>
      <c r="K173" s="701">
        <f t="shared" si="45"/>
        <v>91892560</v>
      </c>
      <c r="L173" s="703">
        <f t="shared" si="45"/>
        <v>69831376</v>
      </c>
      <c r="M173" s="433">
        <f t="shared" si="45"/>
        <v>58309806</v>
      </c>
      <c r="N173" s="692"/>
      <c r="O173" s="2"/>
      <c r="Q173" s="163"/>
      <c r="R173" s="124"/>
      <c r="S173" s="142"/>
    </row>
    <row r="174" spans="1:19" s="278" customFormat="1" ht="16.5" thickBot="1" x14ac:dyDescent="0.3">
      <c r="A174" s="762" t="s">
        <v>140</v>
      </c>
      <c r="B174" s="786">
        <f>'Public Works'!B61</f>
        <v>132.33000000000001</v>
      </c>
      <c r="C174" s="698">
        <f>'Public Works'!C61</f>
        <v>131.4</v>
      </c>
      <c r="D174" s="698">
        <f>'Public Works'!D61</f>
        <v>170.08</v>
      </c>
      <c r="E174" s="698">
        <f>'Public Works'!E61</f>
        <v>169.81</v>
      </c>
      <c r="F174" s="698">
        <f>'Public Works'!F61</f>
        <v>173.25</v>
      </c>
      <c r="G174" s="698">
        <f>'Public Works'!G61</f>
        <v>173.25</v>
      </c>
      <c r="H174" s="698">
        <f>'Public Works'!H61</f>
        <v>176.29999999999998</v>
      </c>
      <c r="I174" s="698">
        <f>'Public Works'!I61</f>
        <v>177.54999999999998</v>
      </c>
      <c r="J174" s="699">
        <f>'Public Works'!J61</f>
        <v>151</v>
      </c>
      <c r="K174" s="698">
        <f>'Public Works'!K61</f>
        <v>152.625</v>
      </c>
      <c r="L174" s="700">
        <f>'Public Works'!L61</f>
        <v>152.625</v>
      </c>
      <c r="M174" s="433">
        <f>'Public Works'!M61</f>
        <v>152.5</v>
      </c>
      <c r="N174" s="692"/>
      <c r="O174" s="2"/>
      <c r="Q174" s="163"/>
      <c r="R174" s="124"/>
      <c r="S174" s="142"/>
    </row>
    <row r="175" spans="1:19" x14ac:dyDescent="0.25">
      <c r="A175" s="764"/>
      <c r="B175" s="423"/>
      <c r="C175" s="112"/>
      <c r="D175" s="112"/>
      <c r="E175" s="112"/>
      <c r="F175" s="112"/>
      <c r="G175" s="112"/>
      <c r="H175" s="112"/>
      <c r="I175" s="112"/>
      <c r="J175" s="424"/>
      <c r="K175" s="112"/>
      <c r="L175" s="113"/>
      <c r="M175" s="113"/>
      <c r="N175" s="159"/>
      <c r="O175" s="112"/>
      <c r="P175" s="112"/>
      <c r="Q175" s="113"/>
    </row>
    <row r="176" spans="1:19" ht="18.75" x14ac:dyDescent="0.3">
      <c r="A176" s="763" t="s">
        <v>89</v>
      </c>
      <c r="B176" s="423"/>
      <c r="C176" s="112"/>
      <c r="D176" s="112"/>
      <c r="E176" s="112"/>
      <c r="F176" s="112"/>
      <c r="G176" s="112"/>
      <c r="H176" s="112"/>
      <c r="I176" s="112"/>
      <c r="J176" s="424"/>
      <c r="K176" s="112"/>
      <c r="L176" s="113"/>
      <c r="M176" s="113"/>
      <c r="N176" s="159"/>
      <c r="O176" s="112"/>
      <c r="P176" s="112"/>
      <c r="Q176" s="113"/>
    </row>
    <row r="177" spans="1:19" x14ac:dyDescent="0.25">
      <c r="A177" s="106" t="s">
        <v>92</v>
      </c>
      <c r="B177" s="423">
        <f>+'Water &amp; Power'!B16</f>
        <v>0</v>
      </c>
      <c r="C177" s="112">
        <f>+'Water &amp; Power'!C16</f>
        <v>0</v>
      </c>
      <c r="D177" s="112">
        <f>+'Water &amp; Power'!D16</f>
        <v>0</v>
      </c>
      <c r="E177" s="112">
        <f>+'Water &amp; Power'!E16</f>
        <v>0</v>
      </c>
      <c r="F177" s="112">
        <f>+'Water &amp; Power'!F16</f>
        <v>0</v>
      </c>
      <c r="G177" s="112">
        <f>+'Water &amp; Power'!G16</f>
        <v>0</v>
      </c>
      <c r="H177" s="112">
        <f>+'Water &amp; Power'!H16</f>
        <v>0</v>
      </c>
      <c r="I177" s="112">
        <f>+'Water &amp; Power'!I16</f>
        <v>0</v>
      </c>
      <c r="J177" s="424">
        <f>+'Water &amp; Power'!J16</f>
        <v>0</v>
      </c>
      <c r="K177" s="112">
        <f>+'Water &amp; Power'!K16</f>
        <v>0</v>
      </c>
      <c r="L177" s="113">
        <f>+'Water &amp; Power'!L16</f>
        <v>0</v>
      </c>
      <c r="M177" s="113">
        <f>+'Water &amp; Power'!M16</f>
        <v>0</v>
      </c>
      <c r="N177" s="159"/>
      <c r="O177" s="112"/>
      <c r="P177" s="112"/>
      <c r="Q177" s="113"/>
    </row>
    <row r="178" spans="1:19" x14ac:dyDescent="0.25">
      <c r="A178" s="760" t="s">
        <v>88</v>
      </c>
      <c r="B178" s="423">
        <f>+'Water &amp; Power'!B17</f>
        <v>0</v>
      </c>
      <c r="C178" s="112">
        <f>+'Water &amp; Power'!C17</f>
        <v>0</v>
      </c>
      <c r="D178" s="112">
        <f>+'Water &amp; Power'!D17</f>
        <v>0</v>
      </c>
      <c r="E178" s="112">
        <f>+'Water &amp; Power'!E17</f>
        <v>0</v>
      </c>
      <c r="F178" s="112">
        <f>+'Water &amp; Power'!F17</f>
        <v>0</v>
      </c>
      <c r="G178" s="112">
        <f>+'Water &amp; Power'!G17</f>
        <v>0</v>
      </c>
      <c r="H178" s="112">
        <f>+'Water &amp; Power'!H17</f>
        <v>0</v>
      </c>
      <c r="I178" s="112">
        <f>+'Water &amp; Power'!I17</f>
        <v>0</v>
      </c>
      <c r="J178" s="424">
        <f>+'Water &amp; Power'!J17</f>
        <v>0</v>
      </c>
      <c r="K178" s="112">
        <f>+'Water &amp; Power'!K17</f>
        <v>0</v>
      </c>
      <c r="L178" s="113">
        <f>+'Water &amp; Power'!L17</f>
        <v>0</v>
      </c>
      <c r="M178" s="113">
        <f>+'Water &amp; Power'!M17</f>
        <v>0</v>
      </c>
      <c r="N178" s="159"/>
      <c r="O178" s="112"/>
      <c r="P178" s="112"/>
      <c r="Q178" s="113"/>
    </row>
    <row r="179" spans="1:19" x14ac:dyDescent="0.25">
      <c r="A179" s="107" t="s">
        <v>93</v>
      </c>
      <c r="B179" s="510">
        <f>+'Water &amp; Power'!B18</f>
        <v>60470566</v>
      </c>
      <c r="C179" s="180">
        <f>+'Water &amp; Power'!C18</f>
        <v>60363532</v>
      </c>
      <c r="D179" s="180">
        <f>+'Water &amp; Power'!D18</f>
        <v>79506699</v>
      </c>
      <c r="E179" s="180">
        <f>+'Water &amp; Power'!E18</f>
        <v>74895896</v>
      </c>
      <c r="F179" s="180">
        <f>+'Water &amp; Power'!F18</f>
        <v>88309308</v>
      </c>
      <c r="G179" s="180">
        <f>+'Water &amp; Power'!G18</f>
        <v>106301998</v>
      </c>
      <c r="H179" s="180">
        <f>+'Water &amp; Power'!H18</f>
        <v>129306404</v>
      </c>
      <c r="I179" s="180">
        <f>+'Water &amp; Power'!I18</f>
        <v>120190453</v>
      </c>
      <c r="J179" s="628">
        <f>+'Water &amp; Power'!J18</f>
        <v>131086189</v>
      </c>
      <c r="K179" s="180">
        <f>+'Water &amp; Power'!K18</f>
        <v>176485074</v>
      </c>
      <c r="L179" s="181">
        <f>+'Water &amp; Power'!L18</f>
        <v>176043403</v>
      </c>
      <c r="M179" s="181">
        <f>+'Water &amp; Power'!M18</f>
        <v>132729390</v>
      </c>
      <c r="N179" s="159"/>
      <c r="O179" s="180"/>
      <c r="P179" s="180"/>
      <c r="Q179" s="181"/>
    </row>
    <row r="180" spans="1:19" ht="16.5" thickBot="1" x14ac:dyDescent="0.3">
      <c r="A180" s="354" t="s">
        <v>78</v>
      </c>
      <c r="B180" s="423">
        <f>+'Water &amp; Power'!B19</f>
        <v>0</v>
      </c>
      <c r="C180" s="112">
        <f>+'Water &amp; Power'!C19</f>
        <v>0</v>
      </c>
      <c r="D180" s="112">
        <f>+'Water &amp; Power'!D19</f>
        <v>0</v>
      </c>
      <c r="E180" s="112">
        <f>+'Water &amp; Power'!E19</f>
        <v>0</v>
      </c>
      <c r="F180" s="112">
        <f>+'Water &amp; Power'!F19</f>
        <v>0</v>
      </c>
      <c r="G180" s="112">
        <f>+'Water &amp; Power'!G19</f>
        <v>0</v>
      </c>
      <c r="H180" s="112">
        <f>+'Water &amp; Power'!H19</f>
        <v>0</v>
      </c>
      <c r="I180" s="112">
        <f>+'Water &amp; Power'!I19</f>
        <v>0</v>
      </c>
      <c r="J180" s="424">
        <f>+'Water &amp; Power'!J19</f>
        <v>0</v>
      </c>
      <c r="K180" s="112">
        <f>+'Water &amp; Power'!K19</f>
        <v>0</v>
      </c>
      <c r="L180" s="113">
        <f>+'Water &amp; Power'!L19</f>
        <v>0</v>
      </c>
      <c r="M180" s="113">
        <f>+'Water &amp; Power'!M19</f>
        <v>0</v>
      </c>
      <c r="N180" s="159"/>
      <c r="O180" s="112"/>
      <c r="P180" s="112"/>
      <c r="Q180" s="113"/>
    </row>
    <row r="181" spans="1:19" s="278" customFormat="1" ht="17.25" thickTop="1" thickBot="1" x14ac:dyDescent="0.3">
      <c r="A181" s="761" t="s">
        <v>346</v>
      </c>
      <c r="B181" s="785">
        <f t="shared" ref="B181:M181" si="46">SUM(B177:B180)</f>
        <v>60470566</v>
      </c>
      <c r="C181" s="701">
        <f t="shared" si="46"/>
        <v>60363532</v>
      </c>
      <c r="D181" s="701">
        <f t="shared" si="46"/>
        <v>79506699</v>
      </c>
      <c r="E181" s="701">
        <f t="shared" si="46"/>
        <v>74895896</v>
      </c>
      <c r="F181" s="701">
        <f t="shared" si="46"/>
        <v>88309308</v>
      </c>
      <c r="G181" s="701">
        <f t="shared" si="46"/>
        <v>106301998</v>
      </c>
      <c r="H181" s="701">
        <f t="shared" si="46"/>
        <v>129306404</v>
      </c>
      <c r="I181" s="701">
        <f t="shared" si="46"/>
        <v>120190453</v>
      </c>
      <c r="J181" s="702">
        <f t="shared" si="46"/>
        <v>131086189</v>
      </c>
      <c r="K181" s="701">
        <f t="shared" si="46"/>
        <v>176485074</v>
      </c>
      <c r="L181" s="703">
        <f t="shared" si="46"/>
        <v>176043403</v>
      </c>
      <c r="M181" s="433">
        <f t="shared" si="46"/>
        <v>132729390</v>
      </c>
      <c r="N181" s="692"/>
      <c r="O181" s="2"/>
      <c r="Q181" s="163"/>
      <c r="R181" s="124"/>
      <c r="S181" s="142"/>
    </row>
    <row r="182" spans="1:19" s="278" customFormat="1" ht="16.5" thickBot="1" x14ac:dyDescent="0.3">
      <c r="A182" s="762" t="s">
        <v>140</v>
      </c>
      <c r="B182" s="786">
        <f>+'Water &amp; Power'!B29</f>
        <v>123.49999999999999</v>
      </c>
      <c r="C182" s="698">
        <f>+'Water &amp; Power'!C29</f>
        <v>113.75</v>
      </c>
      <c r="D182" s="698">
        <f>+'Water &amp; Power'!D29</f>
        <v>113.5</v>
      </c>
      <c r="E182" s="698">
        <f>+'Water &amp; Power'!E29</f>
        <v>117.33000000000001</v>
      </c>
      <c r="F182" s="698">
        <f>+'Water &amp; Power'!F29</f>
        <v>111.97999999999999</v>
      </c>
      <c r="G182" s="698">
        <f>+'Water &amp; Power'!G29</f>
        <v>121.58000000000001</v>
      </c>
      <c r="H182" s="698">
        <f>+'Water &amp; Power'!H29</f>
        <v>129.25</v>
      </c>
      <c r="I182" s="698">
        <f>+'Water &amp; Power'!I29</f>
        <v>132.25</v>
      </c>
      <c r="J182" s="699">
        <f>+'Water &amp; Power'!J29</f>
        <v>136.65</v>
      </c>
      <c r="K182" s="698">
        <f>+'Water &amp; Power'!K29</f>
        <v>143.65</v>
      </c>
      <c r="L182" s="700">
        <f>+'Water &amp; Power'!L29</f>
        <v>146.27500000000001</v>
      </c>
      <c r="M182" s="433">
        <f>+'Water &amp; Power'!M29</f>
        <v>143.65</v>
      </c>
      <c r="N182" s="692"/>
      <c r="O182" s="2"/>
      <c r="Q182" s="163"/>
      <c r="R182" s="124"/>
      <c r="S182" s="142"/>
    </row>
    <row r="183" spans="1:19" x14ac:dyDescent="0.25">
      <c r="A183" s="764"/>
      <c r="B183" s="423"/>
      <c r="C183" s="112"/>
      <c r="D183" s="112"/>
      <c r="E183" s="112"/>
      <c r="F183" s="112"/>
      <c r="G183" s="112"/>
      <c r="H183" s="112"/>
      <c r="I183" s="112"/>
      <c r="J183" s="424"/>
      <c r="K183" s="112"/>
      <c r="L183" s="113"/>
      <c r="M183" s="113"/>
      <c r="N183" s="159"/>
      <c r="O183" s="112"/>
      <c r="P183" s="112"/>
      <c r="Q183" s="113"/>
    </row>
    <row r="184" spans="1:19" ht="18.75" x14ac:dyDescent="0.3">
      <c r="A184" s="763" t="s">
        <v>59</v>
      </c>
      <c r="B184" s="423"/>
      <c r="C184" s="112"/>
      <c r="D184" s="112"/>
      <c r="E184" s="112"/>
      <c r="F184" s="112"/>
      <c r="G184" s="112"/>
      <c r="H184" s="112"/>
      <c r="I184" s="112"/>
      <c r="J184" s="424"/>
      <c r="K184" s="112"/>
      <c r="L184" s="113"/>
      <c r="M184" s="113"/>
      <c r="N184" s="159"/>
      <c r="O184" s="112"/>
      <c r="P184" s="112"/>
      <c r="Q184" s="113"/>
    </row>
    <row r="185" spans="1:19" x14ac:dyDescent="0.25">
      <c r="A185" s="106" t="s">
        <v>92</v>
      </c>
      <c r="B185" s="510">
        <f>+'Non Dept '!B17</f>
        <v>6871635</v>
      </c>
      <c r="C185" s="180">
        <f>+'Non Dept '!C17</f>
        <v>6606773</v>
      </c>
      <c r="D185" s="180">
        <f>+'Non Dept '!D17</f>
        <v>8857319</v>
      </c>
      <c r="E185" s="180">
        <f>+'Non Dept '!E17</f>
        <v>12062357</v>
      </c>
      <c r="F185" s="180">
        <f>+'Non Dept '!F17</f>
        <v>16446616</v>
      </c>
      <c r="G185" s="180">
        <f>+'Non Dept '!G17</f>
        <v>19699968</v>
      </c>
      <c r="H185" s="180">
        <f>+'Non Dept '!H17</f>
        <v>24844487</v>
      </c>
      <c r="I185" s="180">
        <f>+'Non Dept '!I17</f>
        <v>29079391</v>
      </c>
      <c r="J185" s="628">
        <f>+'Non Dept '!J17</f>
        <v>33475122</v>
      </c>
      <c r="K185" s="180">
        <f>+'Non Dept '!K17</f>
        <v>48709076</v>
      </c>
      <c r="L185" s="181">
        <f>+'Non Dept '!L17</f>
        <v>33393268</v>
      </c>
      <c r="M185" s="181">
        <f>+'Non Dept '!M17</f>
        <v>35233196</v>
      </c>
      <c r="N185" s="159"/>
      <c r="O185" s="180"/>
      <c r="P185" s="180"/>
      <c r="Q185" s="181"/>
    </row>
    <row r="186" spans="1:19" x14ac:dyDescent="0.25">
      <c r="A186" s="760" t="s">
        <v>88</v>
      </c>
      <c r="B186" s="423">
        <f>+'Non Dept '!B18</f>
        <v>0</v>
      </c>
      <c r="C186" s="112">
        <f>+'Non Dept '!C18</f>
        <v>0</v>
      </c>
      <c r="D186" s="112">
        <f>+'Non Dept '!D18</f>
        <v>0</v>
      </c>
      <c r="E186" s="112">
        <f>+'Non Dept '!E18</f>
        <v>0</v>
      </c>
      <c r="F186" s="112">
        <f>+'Non Dept '!F18</f>
        <v>0</v>
      </c>
      <c r="G186" s="112">
        <f>+'Non Dept '!G18</f>
        <v>0</v>
      </c>
      <c r="H186" s="112">
        <f>+'Non Dept '!H18</f>
        <v>0</v>
      </c>
      <c r="I186" s="112">
        <f>+'Non Dept '!I18</f>
        <v>0</v>
      </c>
      <c r="J186" s="424">
        <f>+'Non Dept '!J18</f>
        <v>0</v>
      </c>
      <c r="K186" s="112">
        <f>+'Non Dept '!K18</f>
        <v>0</v>
      </c>
      <c r="L186" s="113">
        <f>+'Non Dept '!L18</f>
        <v>0</v>
      </c>
      <c r="M186" s="113">
        <f>+'Non Dept '!M18</f>
        <v>0</v>
      </c>
      <c r="N186" s="159"/>
      <c r="O186" s="112"/>
      <c r="P186" s="112"/>
      <c r="Q186" s="113"/>
    </row>
    <row r="187" spans="1:19" x14ac:dyDescent="0.25">
      <c r="A187" s="107" t="s">
        <v>93</v>
      </c>
      <c r="B187" s="510">
        <f>+'Non Dept '!B19</f>
        <v>0</v>
      </c>
      <c r="C187" s="180">
        <f>+'Non Dept '!C19</f>
        <v>0</v>
      </c>
      <c r="D187" s="180">
        <f>+'Non Dept '!D19</f>
        <v>0</v>
      </c>
      <c r="E187" s="180">
        <f>+'Non Dept '!E19</f>
        <v>0</v>
      </c>
      <c r="F187" s="180">
        <f>+'Non Dept '!F19</f>
        <v>0</v>
      </c>
      <c r="G187" s="180">
        <f>+'Non Dept '!G19</f>
        <v>0</v>
      </c>
      <c r="H187" s="180">
        <f>+'Non Dept '!H19</f>
        <v>0</v>
      </c>
      <c r="I187" s="180">
        <f>+'Non Dept '!I19</f>
        <v>0</v>
      </c>
      <c r="J187" s="628">
        <f>+'Non Dept '!J19</f>
        <v>0</v>
      </c>
      <c r="K187" s="180">
        <f>+'Non Dept '!K19</f>
        <v>0</v>
      </c>
      <c r="L187" s="181">
        <f>+'Non Dept '!L19</f>
        <v>0</v>
      </c>
      <c r="M187" s="181">
        <f>+'Non Dept '!M19</f>
        <v>0</v>
      </c>
      <c r="N187" s="159"/>
      <c r="O187" s="180"/>
      <c r="P187" s="180"/>
      <c r="Q187" s="181"/>
    </row>
    <row r="188" spans="1:19" ht="16.5" thickBot="1" x14ac:dyDescent="0.3">
      <c r="A188" s="354" t="s">
        <v>78</v>
      </c>
      <c r="B188" s="510">
        <f>+'Non Dept '!B20</f>
        <v>359983</v>
      </c>
      <c r="C188" s="180">
        <f>+'Non Dept '!C20</f>
        <v>417107</v>
      </c>
      <c r="D188" s="180">
        <f>+'Non Dept '!D20</f>
        <v>1372402</v>
      </c>
      <c r="E188" s="180">
        <f>+'Non Dept '!E20</f>
        <v>526822</v>
      </c>
      <c r="F188" s="180">
        <f>+'Non Dept '!F20</f>
        <v>2228230</v>
      </c>
      <c r="G188" s="180">
        <f>+'Non Dept '!G20</f>
        <v>6346306</v>
      </c>
      <c r="H188" s="180">
        <f>+'Non Dept '!H20</f>
        <v>0</v>
      </c>
      <c r="I188" s="180">
        <f>+'Non Dept '!I20</f>
        <v>3910</v>
      </c>
      <c r="J188" s="628">
        <f>+'Non Dept '!J20</f>
        <v>20793626</v>
      </c>
      <c r="K188" s="180">
        <f>+'Non Dept '!K20</f>
        <v>10875049</v>
      </c>
      <c r="L188" s="181">
        <f>+'Non Dept '!L20</f>
        <v>0</v>
      </c>
      <c r="M188" s="181">
        <f>+'Non Dept '!M20</f>
        <v>429263</v>
      </c>
      <c r="N188" s="159"/>
      <c r="O188" s="180"/>
      <c r="P188" s="180"/>
      <c r="Q188" s="181"/>
    </row>
    <row r="189" spans="1:19" s="278" customFormat="1" ht="17.25" thickTop="1" thickBot="1" x14ac:dyDescent="0.3">
      <c r="A189" s="761" t="s">
        <v>346</v>
      </c>
      <c r="B189" s="785">
        <f t="shared" ref="B189:M189" si="47">SUM(B185:B188)</f>
        <v>7231618</v>
      </c>
      <c r="C189" s="701">
        <f t="shared" si="47"/>
        <v>7023880</v>
      </c>
      <c r="D189" s="701">
        <f t="shared" si="47"/>
        <v>10229721</v>
      </c>
      <c r="E189" s="701">
        <f t="shared" si="47"/>
        <v>12589179</v>
      </c>
      <c r="F189" s="701">
        <f t="shared" si="47"/>
        <v>18674846</v>
      </c>
      <c r="G189" s="701">
        <f t="shared" si="47"/>
        <v>26046274</v>
      </c>
      <c r="H189" s="701">
        <f t="shared" si="47"/>
        <v>24844487</v>
      </c>
      <c r="I189" s="701">
        <f t="shared" si="47"/>
        <v>29083301</v>
      </c>
      <c r="J189" s="702">
        <f t="shared" si="47"/>
        <v>54268748</v>
      </c>
      <c r="K189" s="701">
        <f t="shared" si="47"/>
        <v>59584125</v>
      </c>
      <c r="L189" s="703">
        <f t="shared" si="47"/>
        <v>33393268</v>
      </c>
      <c r="M189" s="433">
        <f t="shared" si="47"/>
        <v>35662459</v>
      </c>
      <c r="N189" s="692"/>
      <c r="O189" s="2"/>
      <c r="Q189" s="163"/>
      <c r="R189" s="124"/>
      <c r="S189" s="142"/>
    </row>
    <row r="190" spans="1:19" x14ac:dyDescent="0.25">
      <c r="A190" s="764"/>
      <c r="B190" s="423"/>
      <c r="C190" s="112"/>
      <c r="D190" s="112"/>
      <c r="E190" s="112"/>
      <c r="F190" s="112"/>
      <c r="G190" s="112"/>
      <c r="H190" s="112"/>
      <c r="I190" s="112"/>
      <c r="J190" s="424"/>
      <c r="K190" s="112"/>
      <c r="L190" s="113"/>
      <c r="M190" s="113"/>
      <c r="N190" s="159"/>
      <c r="O190" s="112"/>
      <c r="P190" s="112"/>
      <c r="Q190" s="113"/>
    </row>
    <row r="191" spans="1:19" ht="18.75" hidden="1" x14ac:dyDescent="0.3">
      <c r="A191" s="763" t="s">
        <v>141</v>
      </c>
      <c r="B191" s="423"/>
      <c r="C191" s="112"/>
      <c r="D191" s="112"/>
      <c r="E191" s="112"/>
      <c r="F191" s="112"/>
      <c r="G191" s="112"/>
      <c r="H191" s="112"/>
      <c r="I191" s="112"/>
      <c r="J191" s="424"/>
      <c r="K191" s="112"/>
      <c r="L191" s="113"/>
      <c r="M191" s="113"/>
      <c r="N191" s="159"/>
      <c r="O191" s="112"/>
      <c r="P191" s="112"/>
      <c r="Q191" s="113"/>
    </row>
    <row r="192" spans="1:19" hidden="1" x14ac:dyDescent="0.25">
      <c r="A192" s="765" t="s">
        <v>92</v>
      </c>
      <c r="B192" s="510"/>
      <c r="C192" s="180"/>
      <c r="D192" s="180"/>
      <c r="E192" s="180"/>
      <c r="F192" s="180"/>
      <c r="G192" s="180"/>
      <c r="H192" s="180"/>
      <c r="I192" s="180"/>
      <c r="J192" s="628"/>
      <c r="K192" s="180"/>
      <c r="L192" s="181"/>
      <c r="M192" s="181"/>
      <c r="N192" s="159"/>
      <c r="O192" s="180"/>
      <c r="P192" s="180"/>
      <c r="Q192" s="181"/>
    </row>
    <row r="193" spans="1:17" hidden="1" x14ac:dyDescent="0.25">
      <c r="A193" s="107" t="s">
        <v>88</v>
      </c>
      <c r="B193" s="423"/>
      <c r="C193" s="112"/>
      <c r="D193" s="112"/>
      <c r="E193" s="112"/>
      <c r="F193" s="112"/>
      <c r="G193" s="112"/>
      <c r="H193" s="112"/>
      <c r="I193" s="112"/>
      <c r="J193" s="424"/>
      <c r="K193" s="112"/>
      <c r="L193" s="113"/>
      <c r="M193" s="113"/>
      <c r="N193" s="159"/>
      <c r="O193" s="112"/>
      <c r="P193" s="112"/>
      <c r="Q193" s="113"/>
    </row>
    <row r="194" spans="1:17" hidden="1" x14ac:dyDescent="0.25">
      <c r="A194" s="766" t="s">
        <v>128</v>
      </c>
      <c r="B194" s="510"/>
      <c r="C194" s="180"/>
      <c r="D194" s="180"/>
      <c r="E194" s="180"/>
      <c r="F194" s="180"/>
      <c r="G194" s="180"/>
      <c r="H194" s="180"/>
      <c r="I194" s="180"/>
      <c r="J194" s="628"/>
      <c r="K194" s="180"/>
      <c r="L194" s="181"/>
      <c r="M194" s="181"/>
      <c r="N194" s="159"/>
      <c r="O194" s="180"/>
      <c r="P194" s="180"/>
      <c r="Q194" s="181"/>
    </row>
    <row r="195" spans="1:17" hidden="1" x14ac:dyDescent="0.25">
      <c r="A195" s="767" t="s">
        <v>78</v>
      </c>
      <c r="B195" s="423"/>
      <c r="C195" s="180"/>
      <c r="D195" s="180"/>
      <c r="E195" s="180"/>
      <c r="F195" s="180"/>
      <c r="G195" s="180"/>
      <c r="H195" s="180"/>
      <c r="I195" s="180"/>
      <c r="J195" s="628"/>
      <c r="K195" s="180"/>
      <c r="L195" s="181"/>
      <c r="M195" s="181"/>
      <c r="N195" s="159"/>
      <c r="O195" s="180"/>
      <c r="P195" s="180"/>
      <c r="Q195" s="181"/>
    </row>
    <row r="196" spans="1:17" ht="16.5" hidden="1" thickBot="1" x14ac:dyDescent="0.3">
      <c r="A196" s="108" t="s">
        <v>129</v>
      </c>
      <c r="B196" s="787"/>
      <c r="C196" s="131"/>
      <c r="D196" s="131"/>
      <c r="E196" s="131"/>
      <c r="F196" s="131"/>
      <c r="G196" s="131"/>
      <c r="H196" s="131"/>
      <c r="I196" s="131"/>
      <c r="J196" s="669"/>
      <c r="K196" s="131"/>
      <c r="L196" s="182"/>
      <c r="M196" s="182"/>
      <c r="N196" s="159"/>
      <c r="O196" s="131"/>
      <c r="P196" s="131"/>
      <c r="Q196" s="182"/>
    </row>
    <row r="197" spans="1:17" hidden="1" x14ac:dyDescent="0.25">
      <c r="A197" s="179" t="s">
        <v>113</v>
      </c>
      <c r="B197" s="416">
        <f t="shared" ref="B197:J197" si="48">SUM(B192:B195)</f>
        <v>0</v>
      </c>
      <c r="C197" s="93">
        <f t="shared" si="48"/>
        <v>0</v>
      </c>
      <c r="D197" s="93">
        <f t="shared" si="48"/>
        <v>0</v>
      </c>
      <c r="E197" s="93">
        <f t="shared" si="48"/>
        <v>0</v>
      </c>
      <c r="F197" s="93">
        <f t="shared" si="48"/>
        <v>0</v>
      </c>
      <c r="G197" s="93">
        <f t="shared" si="48"/>
        <v>0</v>
      </c>
      <c r="H197" s="93">
        <f t="shared" si="48"/>
        <v>0</v>
      </c>
      <c r="I197" s="93">
        <f t="shared" si="48"/>
        <v>0</v>
      </c>
      <c r="J197" s="417">
        <f t="shared" si="48"/>
        <v>0</v>
      </c>
      <c r="K197" s="93">
        <f t="shared" ref="K197" si="49">SUM(K192:K195)</f>
        <v>0</v>
      </c>
      <c r="L197" s="109">
        <f>SUM(L192:L195)</f>
        <v>0</v>
      </c>
      <c r="M197" s="109">
        <f>SUM(M192:M195)</f>
        <v>0</v>
      </c>
      <c r="N197" s="159"/>
      <c r="O197" s="93"/>
      <c r="P197" s="93"/>
      <c r="Q197" s="109"/>
    </row>
    <row r="198" spans="1:17" hidden="1" x14ac:dyDescent="0.25">
      <c r="A198" s="179"/>
      <c r="B198" s="423"/>
      <c r="C198" s="112"/>
      <c r="D198" s="112"/>
      <c r="E198" s="112"/>
      <c r="F198" s="112"/>
      <c r="G198" s="112"/>
      <c r="H198" s="112"/>
      <c r="I198" s="112"/>
      <c r="J198" s="424"/>
      <c r="K198" s="112"/>
      <c r="L198" s="113"/>
      <c r="M198" s="113"/>
      <c r="N198" s="159"/>
      <c r="O198" s="112"/>
      <c r="P198" s="112"/>
      <c r="Q198" s="113"/>
    </row>
    <row r="199" spans="1:17" ht="18.75" hidden="1" x14ac:dyDescent="0.3">
      <c r="A199" s="763" t="s">
        <v>104</v>
      </c>
      <c r="B199" s="423"/>
      <c r="C199" s="112"/>
      <c r="D199" s="112"/>
      <c r="E199" s="112"/>
      <c r="F199" s="112"/>
      <c r="G199" s="112"/>
      <c r="H199" s="112"/>
      <c r="I199" s="112"/>
      <c r="J199" s="424"/>
      <c r="K199" s="112"/>
      <c r="L199" s="113"/>
      <c r="M199" s="113"/>
      <c r="N199" s="159"/>
      <c r="O199" s="112"/>
      <c r="P199" s="112"/>
      <c r="Q199" s="113"/>
    </row>
    <row r="200" spans="1:17" hidden="1" x14ac:dyDescent="0.25">
      <c r="A200" s="765" t="s">
        <v>92</v>
      </c>
      <c r="B200" s="510"/>
      <c r="C200" s="180"/>
      <c r="D200" s="180"/>
      <c r="E200" s="180"/>
      <c r="F200" s="180"/>
      <c r="G200" s="180"/>
      <c r="H200" s="180"/>
      <c r="I200" s="180"/>
      <c r="J200" s="628"/>
      <c r="K200" s="180"/>
      <c r="L200" s="181"/>
      <c r="M200" s="181"/>
      <c r="N200" s="159"/>
      <c r="O200" s="180"/>
      <c r="P200" s="180"/>
      <c r="Q200" s="181"/>
    </row>
    <row r="201" spans="1:17" hidden="1" x14ac:dyDescent="0.25">
      <c r="A201" s="107" t="s">
        <v>88</v>
      </c>
      <c r="B201" s="423"/>
      <c r="C201" s="112"/>
      <c r="D201" s="112"/>
      <c r="E201" s="112"/>
      <c r="F201" s="112"/>
      <c r="G201" s="112"/>
      <c r="H201" s="112"/>
      <c r="I201" s="112"/>
      <c r="J201" s="424"/>
      <c r="K201" s="112"/>
      <c r="L201" s="113"/>
      <c r="M201" s="113"/>
      <c r="N201" s="159"/>
      <c r="O201" s="112"/>
      <c r="P201" s="112"/>
      <c r="Q201" s="113"/>
    </row>
    <row r="202" spans="1:17" hidden="1" x14ac:dyDescent="0.25">
      <c r="A202" s="766" t="s">
        <v>128</v>
      </c>
      <c r="B202" s="510"/>
      <c r="C202" s="180"/>
      <c r="D202" s="180"/>
      <c r="E202" s="180"/>
      <c r="F202" s="180"/>
      <c r="G202" s="180"/>
      <c r="H202" s="180"/>
      <c r="I202" s="180"/>
      <c r="J202" s="628"/>
      <c r="K202" s="180"/>
      <c r="L202" s="181"/>
      <c r="M202" s="181"/>
      <c r="N202" s="159"/>
      <c r="O202" s="180"/>
      <c r="P202" s="180"/>
      <c r="Q202" s="181"/>
    </row>
    <row r="203" spans="1:17" hidden="1" x14ac:dyDescent="0.25">
      <c r="A203" s="767" t="s">
        <v>78</v>
      </c>
      <c r="B203" s="423"/>
      <c r="C203" s="180"/>
      <c r="D203" s="180"/>
      <c r="E203" s="180"/>
      <c r="F203" s="180"/>
      <c r="G203" s="180"/>
      <c r="H203" s="180"/>
      <c r="I203" s="180"/>
      <c r="J203" s="628"/>
      <c r="K203" s="180"/>
      <c r="L203" s="181"/>
      <c r="M203" s="181"/>
      <c r="N203" s="159"/>
      <c r="O203" s="180"/>
      <c r="P203" s="180"/>
      <c r="Q203" s="181"/>
    </row>
    <row r="204" spans="1:17" ht="16.5" hidden="1" thickBot="1" x14ac:dyDescent="0.3">
      <c r="A204" s="108" t="s">
        <v>129</v>
      </c>
      <c r="B204" s="787"/>
      <c r="C204" s="131"/>
      <c r="D204" s="131"/>
      <c r="E204" s="131"/>
      <c r="F204" s="131"/>
      <c r="G204" s="131"/>
      <c r="H204" s="131"/>
      <c r="I204" s="131"/>
      <c r="J204" s="669"/>
      <c r="K204" s="131"/>
      <c r="L204" s="182"/>
      <c r="M204" s="182"/>
      <c r="N204" s="159"/>
      <c r="O204" s="131"/>
      <c r="P204" s="131"/>
      <c r="Q204" s="182"/>
    </row>
    <row r="205" spans="1:17" hidden="1" x14ac:dyDescent="0.25">
      <c r="A205" s="179" t="s">
        <v>113</v>
      </c>
      <c r="B205" s="416">
        <f t="shared" ref="B205:J205" si="50">SUM(B200:B203)</f>
        <v>0</v>
      </c>
      <c r="C205" s="93">
        <f t="shared" si="50"/>
        <v>0</v>
      </c>
      <c r="D205" s="93">
        <f t="shared" si="50"/>
        <v>0</v>
      </c>
      <c r="E205" s="93">
        <f t="shared" si="50"/>
        <v>0</v>
      </c>
      <c r="F205" s="93">
        <f t="shared" si="50"/>
        <v>0</v>
      </c>
      <c r="G205" s="93">
        <f t="shared" si="50"/>
        <v>0</v>
      </c>
      <c r="H205" s="93">
        <f t="shared" si="50"/>
        <v>0</v>
      </c>
      <c r="I205" s="93">
        <f t="shared" si="50"/>
        <v>0</v>
      </c>
      <c r="J205" s="417">
        <f t="shared" si="50"/>
        <v>0</v>
      </c>
      <c r="K205" s="93">
        <f t="shared" ref="K205" si="51">SUM(K200:K203)</f>
        <v>0</v>
      </c>
      <c r="L205" s="109">
        <f>SUM(L200:L203)</f>
        <v>0</v>
      </c>
      <c r="M205" s="109">
        <f>SUM(M200:M203)</f>
        <v>0</v>
      </c>
      <c r="N205" s="159"/>
      <c r="O205" s="93"/>
      <c r="P205" s="93"/>
      <c r="Q205" s="109"/>
    </row>
    <row r="206" spans="1:17" hidden="1" x14ac:dyDescent="0.25">
      <c r="A206" s="179"/>
      <c r="B206" s="423"/>
      <c r="C206" s="112"/>
      <c r="D206" s="112"/>
      <c r="E206" s="112"/>
      <c r="F206" s="112"/>
      <c r="G206" s="112"/>
      <c r="H206" s="112"/>
      <c r="I206" s="112"/>
      <c r="J206" s="424"/>
      <c r="K206" s="112"/>
      <c r="L206" s="113"/>
      <c r="M206" s="113"/>
      <c r="N206" s="159"/>
      <c r="O206" s="112"/>
      <c r="P206" s="112"/>
      <c r="Q206" s="113"/>
    </row>
    <row r="207" spans="1:17" ht="18.75" hidden="1" x14ac:dyDescent="0.3">
      <c r="A207" s="763" t="s">
        <v>115</v>
      </c>
      <c r="B207" s="423"/>
      <c r="C207" s="112"/>
      <c r="D207" s="112"/>
      <c r="E207" s="112"/>
      <c r="F207" s="112"/>
      <c r="G207" s="112"/>
      <c r="H207" s="112"/>
      <c r="I207" s="112"/>
      <c r="J207" s="424"/>
      <c r="K207" s="112"/>
      <c r="L207" s="113"/>
      <c r="M207" s="113"/>
      <c r="N207" s="159"/>
      <c r="O207" s="112"/>
      <c r="P207" s="112"/>
      <c r="Q207" s="113"/>
    </row>
    <row r="208" spans="1:17" hidden="1" x14ac:dyDescent="0.25">
      <c r="A208" s="765" t="s">
        <v>92</v>
      </c>
      <c r="B208" s="510">
        <f>+Airport!B15</f>
        <v>0</v>
      </c>
      <c r="C208" s="180">
        <f>+Airport!C15</f>
        <v>0</v>
      </c>
      <c r="D208" s="180">
        <f>+Airport!D15</f>
        <v>0</v>
      </c>
      <c r="E208" s="180">
        <f>+Airport!E15</f>
        <v>0</v>
      </c>
      <c r="F208" s="180">
        <f>+Airport!F15</f>
        <v>0</v>
      </c>
      <c r="G208" s="180">
        <f>+Airport!G15</f>
        <v>0</v>
      </c>
      <c r="H208" s="180">
        <f>+Airport!H15</f>
        <v>0</v>
      </c>
      <c r="I208" s="180">
        <f>+Airport!I15</f>
        <v>0</v>
      </c>
      <c r="J208" s="628">
        <f>+Airport!J15</f>
        <v>0</v>
      </c>
      <c r="K208" s="180">
        <f>+Airport!M15</f>
        <v>0</v>
      </c>
      <c r="L208" s="181">
        <f>+Airport!L15</f>
        <v>0</v>
      </c>
      <c r="M208" s="181">
        <f>+Airport!K15</f>
        <v>0</v>
      </c>
      <c r="N208" s="159"/>
      <c r="O208" s="180"/>
      <c r="P208" s="180"/>
      <c r="Q208" s="181"/>
    </row>
    <row r="209" spans="1:19" hidden="1" x14ac:dyDescent="0.25">
      <c r="A209" s="107" t="s">
        <v>88</v>
      </c>
      <c r="B209" s="423">
        <f>+Airport!B16</f>
        <v>0</v>
      </c>
      <c r="C209" s="112">
        <f>+Airport!C16</f>
        <v>0</v>
      </c>
      <c r="D209" s="112">
        <f>+Airport!D16</f>
        <v>0</v>
      </c>
      <c r="E209" s="112">
        <f>+Airport!E16</f>
        <v>0</v>
      </c>
      <c r="F209" s="112">
        <f>+Airport!F16</f>
        <v>0</v>
      </c>
      <c r="G209" s="112">
        <f>+Airport!G16</f>
        <v>0</v>
      </c>
      <c r="H209" s="112">
        <f>+Airport!H16</f>
        <v>0</v>
      </c>
      <c r="I209" s="112">
        <f>+Airport!I16</f>
        <v>0</v>
      </c>
      <c r="J209" s="424">
        <f>+Airport!J16</f>
        <v>0</v>
      </c>
      <c r="K209" s="112">
        <f>+Airport!M16</f>
        <v>0</v>
      </c>
      <c r="L209" s="113">
        <f>+Airport!L16</f>
        <v>0</v>
      </c>
      <c r="M209" s="113">
        <f>+Airport!K16</f>
        <v>0</v>
      </c>
      <c r="N209" s="159"/>
      <c r="O209" s="112"/>
      <c r="P209" s="112"/>
      <c r="Q209" s="113"/>
    </row>
    <row r="210" spans="1:19" hidden="1" x14ac:dyDescent="0.25">
      <c r="A210" s="766" t="s">
        <v>128</v>
      </c>
      <c r="B210" s="510">
        <f>+Airport!B17</f>
        <v>0</v>
      </c>
      <c r="C210" s="180">
        <f>+Airport!C17</f>
        <v>0</v>
      </c>
      <c r="D210" s="180">
        <f>+Airport!D17</f>
        <v>0</v>
      </c>
      <c r="E210" s="180">
        <f>+Airport!E17</f>
        <v>0</v>
      </c>
      <c r="F210" s="180">
        <f>+Airport!F17</f>
        <v>0</v>
      </c>
      <c r="G210" s="180">
        <f>+Airport!G17</f>
        <v>0</v>
      </c>
      <c r="H210" s="180">
        <f>+Airport!H17</f>
        <v>0</v>
      </c>
      <c r="I210" s="180">
        <f>+Airport!I17</f>
        <v>0</v>
      </c>
      <c r="J210" s="628">
        <f>+Airport!J17</f>
        <v>0</v>
      </c>
      <c r="K210" s="180">
        <f>+Airport!M17</f>
        <v>0</v>
      </c>
      <c r="L210" s="181">
        <f>+Airport!L17</f>
        <v>0</v>
      </c>
      <c r="M210" s="181">
        <f>+Airport!K17</f>
        <v>0</v>
      </c>
      <c r="N210" s="159"/>
      <c r="O210" s="180"/>
      <c r="P210" s="180"/>
      <c r="Q210" s="181"/>
    </row>
    <row r="211" spans="1:19" hidden="1" x14ac:dyDescent="0.25">
      <c r="A211" s="767" t="s">
        <v>78</v>
      </c>
      <c r="B211" s="423">
        <f>+Airport!B18</f>
        <v>0</v>
      </c>
      <c r="C211" s="180">
        <f>+Airport!C18</f>
        <v>0</v>
      </c>
      <c r="D211" s="180">
        <f>+Airport!D18</f>
        <v>0</v>
      </c>
      <c r="E211" s="180">
        <f>+Airport!E18</f>
        <v>0</v>
      </c>
      <c r="F211" s="180">
        <f>+Airport!F18</f>
        <v>0</v>
      </c>
      <c r="G211" s="180">
        <f>+Airport!G18</f>
        <v>0</v>
      </c>
      <c r="H211" s="180">
        <f>+Airport!H18</f>
        <v>0</v>
      </c>
      <c r="I211" s="180">
        <f>+Airport!I18</f>
        <v>0</v>
      </c>
      <c r="J211" s="628">
        <f>+Airport!J18</f>
        <v>0</v>
      </c>
      <c r="K211" s="180">
        <f>+Airport!M18</f>
        <v>0</v>
      </c>
      <c r="L211" s="181">
        <f>+Airport!L18</f>
        <v>0</v>
      </c>
      <c r="M211" s="181">
        <f>+Airport!K18</f>
        <v>0</v>
      </c>
      <c r="N211" s="159"/>
      <c r="O211" s="180"/>
      <c r="P211" s="180"/>
      <c r="Q211" s="181"/>
    </row>
    <row r="212" spans="1:19" ht="16.5" hidden="1" thickBot="1" x14ac:dyDescent="0.3">
      <c r="A212" s="108" t="s">
        <v>129</v>
      </c>
      <c r="B212" s="787">
        <f>+Airport!B19</f>
        <v>0</v>
      </c>
      <c r="C212" s="131">
        <f>+Airport!C19</f>
        <v>0</v>
      </c>
      <c r="D212" s="131">
        <f>+Airport!D19</f>
        <v>0</v>
      </c>
      <c r="E212" s="131">
        <f>+Airport!E19</f>
        <v>0</v>
      </c>
      <c r="F212" s="131">
        <f>+Airport!F19</f>
        <v>0</v>
      </c>
      <c r="G212" s="131">
        <f>+Airport!G19</f>
        <v>0</v>
      </c>
      <c r="H212" s="131">
        <f>+Airport!H19</f>
        <v>0</v>
      </c>
      <c r="I212" s="131">
        <f>+Airport!I26</f>
        <v>0</v>
      </c>
      <c r="J212" s="669">
        <f>+Airport!J26</f>
        <v>0</v>
      </c>
      <c r="K212" s="131">
        <f>+Airport!M26</f>
        <v>0</v>
      </c>
      <c r="L212" s="182">
        <f>+Airport!L26</f>
        <v>0</v>
      </c>
      <c r="M212" s="182">
        <f>+Airport!K26</f>
        <v>0</v>
      </c>
      <c r="N212" s="159"/>
      <c r="O212" s="131"/>
      <c r="P212" s="131"/>
      <c r="Q212" s="182"/>
    </row>
    <row r="213" spans="1:19" hidden="1" x14ac:dyDescent="0.25">
      <c r="A213" s="179" t="s">
        <v>113</v>
      </c>
      <c r="B213" s="416">
        <f t="shared" ref="B213:J213" si="52">SUM(B208:B211)</f>
        <v>0</v>
      </c>
      <c r="C213" s="93">
        <f t="shared" si="52"/>
        <v>0</v>
      </c>
      <c r="D213" s="93">
        <f t="shared" si="52"/>
        <v>0</v>
      </c>
      <c r="E213" s="93">
        <f t="shared" si="52"/>
        <v>0</v>
      </c>
      <c r="F213" s="93">
        <f t="shared" si="52"/>
        <v>0</v>
      </c>
      <c r="G213" s="93">
        <f t="shared" si="52"/>
        <v>0</v>
      </c>
      <c r="H213" s="93">
        <f t="shared" si="52"/>
        <v>0</v>
      </c>
      <c r="I213" s="93">
        <f t="shared" si="52"/>
        <v>0</v>
      </c>
      <c r="J213" s="417">
        <f t="shared" si="52"/>
        <v>0</v>
      </c>
      <c r="K213" s="93">
        <f t="shared" ref="K213" si="53">SUM(K208:K211)</f>
        <v>0</v>
      </c>
      <c r="L213" s="109">
        <f>SUM(L208:L211)</f>
        <v>0</v>
      </c>
      <c r="M213" s="109">
        <f>SUM(M208:M211)</f>
        <v>0</v>
      </c>
      <c r="N213" s="159"/>
      <c r="O213" s="93"/>
      <c r="P213" s="93"/>
      <c r="Q213" s="109"/>
    </row>
    <row r="214" spans="1:19" hidden="1" x14ac:dyDescent="0.25">
      <c r="A214" s="179"/>
      <c r="B214" s="423"/>
      <c r="C214" s="112"/>
      <c r="D214" s="112"/>
      <c r="E214" s="112"/>
      <c r="F214" s="112"/>
      <c r="G214" s="112"/>
      <c r="H214" s="112"/>
      <c r="I214" s="112"/>
      <c r="J214" s="424"/>
      <c r="K214" s="112"/>
      <c r="L214" s="113"/>
      <c r="M214" s="113"/>
      <c r="N214" s="159"/>
      <c r="O214" s="112"/>
      <c r="P214" s="112"/>
      <c r="Q214" s="113"/>
    </row>
    <row r="215" spans="1:19" ht="18.75" x14ac:dyDescent="0.3">
      <c r="A215" s="763" t="s">
        <v>136</v>
      </c>
      <c r="B215" s="423"/>
      <c r="C215" s="112"/>
      <c r="D215" s="112"/>
      <c r="E215" s="112"/>
      <c r="F215" s="112"/>
      <c r="G215" s="112"/>
      <c r="H215" s="112"/>
      <c r="I215" s="112"/>
      <c r="J215" s="424"/>
      <c r="K215" s="112"/>
      <c r="L215" s="113"/>
      <c r="M215" s="113"/>
      <c r="N215" s="159"/>
      <c r="O215" s="112"/>
      <c r="P215" s="112"/>
      <c r="Q215" s="113"/>
    </row>
    <row r="216" spans="1:19" x14ac:dyDescent="0.25">
      <c r="A216" s="106" t="s">
        <v>92</v>
      </c>
      <c r="B216" s="510">
        <v>0</v>
      </c>
      <c r="C216" s="319">
        <v>0</v>
      </c>
      <c r="D216" s="319">
        <v>0</v>
      </c>
      <c r="E216" s="319">
        <v>0</v>
      </c>
      <c r="F216" s="319">
        <v>0</v>
      </c>
      <c r="G216" s="319">
        <v>0</v>
      </c>
      <c r="H216" s="319">
        <v>0</v>
      </c>
      <c r="I216" s="319">
        <v>0</v>
      </c>
      <c r="J216" s="628">
        <v>0</v>
      </c>
      <c r="K216" s="319">
        <v>0</v>
      </c>
      <c r="L216" s="181">
        <v>0</v>
      </c>
      <c r="M216" s="181">
        <v>0</v>
      </c>
      <c r="N216" s="159"/>
      <c r="O216" s="180"/>
      <c r="P216" s="180"/>
      <c r="Q216" s="181"/>
    </row>
    <row r="217" spans="1:19" x14ac:dyDescent="0.25">
      <c r="A217" s="760" t="s">
        <v>88</v>
      </c>
      <c r="B217" s="423">
        <v>0</v>
      </c>
      <c r="C217" s="112">
        <v>0</v>
      </c>
      <c r="D217" s="112">
        <v>0</v>
      </c>
      <c r="E217" s="112">
        <v>0</v>
      </c>
      <c r="F217" s="112">
        <v>0</v>
      </c>
      <c r="G217" s="112">
        <v>0</v>
      </c>
      <c r="H217" s="112">
        <v>0</v>
      </c>
      <c r="I217" s="112">
        <v>0</v>
      </c>
      <c r="J217" s="424">
        <v>0</v>
      </c>
      <c r="K217" s="112">
        <v>0</v>
      </c>
      <c r="L217" s="113">
        <v>0</v>
      </c>
      <c r="M217" s="113">
        <v>0</v>
      </c>
      <c r="N217" s="159"/>
      <c r="O217" s="112"/>
      <c r="P217" s="112"/>
      <c r="Q217" s="113"/>
    </row>
    <row r="218" spans="1:19" x14ac:dyDescent="0.25">
      <c r="A218" s="107" t="s">
        <v>334</v>
      </c>
      <c r="B218" s="510">
        <v>0</v>
      </c>
      <c r="C218" s="319">
        <v>0</v>
      </c>
      <c r="D218" s="319">
        <v>0</v>
      </c>
      <c r="E218" s="319">
        <v>0</v>
      </c>
      <c r="F218" s="319">
        <v>0</v>
      </c>
      <c r="G218" s="319">
        <v>0</v>
      </c>
      <c r="H218" s="319">
        <v>0</v>
      </c>
      <c r="I218" s="319">
        <v>0</v>
      </c>
      <c r="J218" s="628">
        <v>0</v>
      </c>
      <c r="K218" s="319">
        <v>0</v>
      </c>
      <c r="L218" s="181">
        <v>0</v>
      </c>
      <c r="M218" s="181">
        <v>0</v>
      </c>
      <c r="N218" s="159"/>
      <c r="O218" s="180"/>
      <c r="P218" s="180"/>
      <c r="Q218" s="181"/>
    </row>
    <row r="219" spans="1:19" ht="16.5" thickBot="1" x14ac:dyDescent="0.3">
      <c r="A219" s="354" t="s">
        <v>78</v>
      </c>
      <c r="B219" s="423">
        <f>+'Non Dept '!B21</f>
        <v>12380996</v>
      </c>
      <c r="C219" s="112">
        <f>+'Non Dept '!C21</f>
        <v>22343692</v>
      </c>
      <c r="D219" s="112">
        <f>+'Non Dept '!D21</f>
        <v>14053997</v>
      </c>
      <c r="E219" s="112">
        <f>+'Non Dept '!E21</f>
        <v>4598556</v>
      </c>
      <c r="F219" s="112">
        <f>+'Non Dept '!F21</f>
        <v>7542067</v>
      </c>
      <c r="G219" s="112">
        <f>+'Non Dept '!G21</f>
        <v>14838850</v>
      </c>
      <c r="H219" s="112">
        <f>+'Non Dept '!H21</f>
        <v>5579346</v>
      </c>
      <c r="I219" s="112">
        <f>+'Non Dept '!I21</f>
        <v>2931288</v>
      </c>
      <c r="J219" s="424">
        <f>+'Non Dept '!J21</f>
        <v>9599330</v>
      </c>
      <c r="K219" s="112">
        <f>+'Non Dept '!K21</f>
        <v>34921705</v>
      </c>
      <c r="L219" s="113">
        <f>+'Non Dept '!L21</f>
        <v>3293000</v>
      </c>
      <c r="M219" s="113">
        <f>+'Non Dept '!M21</f>
        <v>21010600</v>
      </c>
      <c r="N219" s="159"/>
      <c r="O219" s="180"/>
      <c r="P219" s="180"/>
      <c r="Q219" s="181"/>
    </row>
    <row r="220" spans="1:19" s="278" customFormat="1" ht="17.25" thickTop="1" thickBot="1" x14ac:dyDescent="0.3">
      <c r="A220" s="761" t="s">
        <v>346</v>
      </c>
      <c r="B220" s="785">
        <f t="shared" ref="B220:M220" si="54">SUM(B216:B219)</f>
        <v>12380996</v>
      </c>
      <c r="C220" s="701">
        <f t="shared" si="54"/>
        <v>22343692</v>
      </c>
      <c r="D220" s="701">
        <f t="shared" si="54"/>
        <v>14053997</v>
      </c>
      <c r="E220" s="701">
        <f t="shared" si="54"/>
        <v>4598556</v>
      </c>
      <c r="F220" s="701">
        <f t="shared" si="54"/>
        <v>7542067</v>
      </c>
      <c r="G220" s="701">
        <f t="shared" si="54"/>
        <v>14838850</v>
      </c>
      <c r="H220" s="701">
        <f t="shared" si="54"/>
        <v>5579346</v>
      </c>
      <c r="I220" s="701">
        <f t="shared" si="54"/>
        <v>2931288</v>
      </c>
      <c r="J220" s="702">
        <f t="shared" si="54"/>
        <v>9599330</v>
      </c>
      <c r="K220" s="701">
        <f t="shared" si="54"/>
        <v>34921705</v>
      </c>
      <c r="L220" s="701">
        <f t="shared" si="54"/>
        <v>3293000</v>
      </c>
      <c r="M220" s="433">
        <f t="shared" si="54"/>
        <v>21010600</v>
      </c>
      <c r="N220" s="726"/>
      <c r="O220" s="727"/>
      <c r="P220" s="728"/>
      <c r="Q220" s="729"/>
      <c r="R220" s="730"/>
      <c r="S220" s="731"/>
    </row>
    <row r="221" spans="1:19" x14ac:dyDescent="0.25">
      <c r="A221" s="179"/>
      <c r="B221" s="423"/>
      <c r="C221" s="112"/>
      <c r="D221" s="112"/>
      <c r="E221" s="112"/>
      <c r="F221" s="112"/>
      <c r="G221" s="112"/>
      <c r="H221" s="112"/>
      <c r="I221" s="112"/>
      <c r="J221" s="424"/>
      <c r="K221" s="112"/>
      <c r="L221" s="113"/>
      <c r="M221" s="113"/>
      <c r="N221" s="159"/>
      <c r="O221" s="112"/>
      <c r="P221" s="112"/>
      <c r="Q221" s="113"/>
    </row>
    <row r="222" spans="1:19" ht="18.75" hidden="1" x14ac:dyDescent="0.3">
      <c r="A222" s="763" t="s">
        <v>153</v>
      </c>
      <c r="B222" s="423"/>
      <c r="C222" s="112"/>
      <c r="D222" s="112"/>
      <c r="E222" s="112"/>
      <c r="F222" s="112"/>
      <c r="G222" s="112"/>
      <c r="H222" s="112"/>
      <c r="I222" s="112"/>
      <c r="J222" s="424"/>
      <c r="K222" s="112"/>
      <c r="L222" s="113"/>
      <c r="M222" s="113"/>
      <c r="N222" s="159"/>
      <c r="O222" s="112"/>
      <c r="P222" s="112"/>
      <c r="Q222" s="113"/>
    </row>
    <row r="223" spans="1:19" hidden="1" x14ac:dyDescent="0.25">
      <c r="A223" s="765" t="s">
        <v>92</v>
      </c>
      <c r="B223" s="510" t="e">
        <f>+#REF!</f>
        <v>#REF!</v>
      </c>
      <c r="C223" s="180" t="e">
        <f>+#REF!</f>
        <v>#REF!</v>
      </c>
      <c r="D223" s="180" t="e">
        <f>+#REF!</f>
        <v>#REF!</v>
      </c>
      <c r="E223" s="180" t="e">
        <f>+#REF!</f>
        <v>#REF!</v>
      </c>
      <c r="F223" s="180" t="e">
        <f>+#REF!</f>
        <v>#REF!</v>
      </c>
      <c r="G223" s="180" t="e">
        <f>+#REF!</f>
        <v>#REF!</v>
      </c>
      <c r="H223" s="180" t="e">
        <f>+#REF!</f>
        <v>#REF!</v>
      </c>
      <c r="I223" s="180" t="e">
        <f>+#REF!</f>
        <v>#REF!</v>
      </c>
      <c r="J223" s="628" t="e">
        <f>+#REF!</f>
        <v>#REF!</v>
      </c>
      <c r="K223" s="180" t="e">
        <f>+#REF!</f>
        <v>#REF!</v>
      </c>
      <c r="L223" s="181" t="e">
        <f>+#REF!</f>
        <v>#REF!</v>
      </c>
      <c r="M223" s="181" t="e">
        <f>+#REF!</f>
        <v>#REF!</v>
      </c>
      <c r="N223" s="159"/>
      <c r="O223" s="180"/>
      <c r="P223" s="180"/>
      <c r="Q223" s="181"/>
    </row>
    <row r="224" spans="1:19" hidden="1" x14ac:dyDescent="0.25">
      <c r="A224" s="107" t="s">
        <v>88</v>
      </c>
      <c r="B224" s="423" t="e">
        <f>+#REF!</f>
        <v>#REF!</v>
      </c>
      <c r="C224" s="112" t="e">
        <f>+#REF!</f>
        <v>#REF!</v>
      </c>
      <c r="D224" s="112" t="e">
        <f>+#REF!</f>
        <v>#REF!</v>
      </c>
      <c r="E224" s="112" t="e">
        <f>+#REF!</f>
        <v>#REF!</v>
      </c>
      <c r="F224" s="112" t="e">
        <f>+#REF!</f>
        <v>#REF!</v>
      </c>
      <c r="G224" s="112" t="e">
        <f>+#REF!</f>
        <v>#REF!</v>
      </c>
      <c r="H224" s="112" t="e">
        <f>+#REF!</f>
        <v>#REF!</v>
      </c>
      <c r="I224" s="112" t="e">
        <f>+#REF!</f>
        <v>#REF!</v>
      </c>
      <c r="J224" s="424" t="e">
        <f>+#REF!</f>
        <v>#REF!</v>
      </c>
      <c r="K224" s="112" t="e">
        <f>+#REF!</f>
        <v>#REF!</v>
      </c>
      <c r="L224" s="113" t="e">
        <f>+#REF!</f>
        <v>#REF!</v>
      </c>
      <c r="M224" s="113" t="e">
        <f>+#REF!</f>
        <v>#REF!</v>
      </c>
      <c r="N224" s="159"/>
      <c r="O224" s="112"/>
      <c r="P224" s="112"/>
      <c r="Q224" s="113"/>
    </row>
    <row r="225" spans="1:29" hidden="1" x14ac:dyDescent="0.25">
      <c r="A225" s="766" t="s">
        <v>128</v>
      </c>
      <c r="B225" s="510" t="e">
        <f>+#REF!</f>
        <v>#REF!</v>
      </c>
      <c r="C225" s="180" t="e">
        <f>+#REF!</f>
        <v>#REF!</v>
      </c>
      <c r="D225" s="180" t="e">
        <f>+#REF!</f>
        <v>#REF!</v>
      </c>
      <c r="E225" s="180" t="e">
        <f>+#REF!</f>
        <v>#REF!</v>
      </c>
      <c r="F225" s="180" t="e">
        <f>+#REF!</f>
        <v>#REF!</v>
      </c>
      <c r="G225" s="180" t="e">
        <f>+#REF!</f>
        <v>#REF!</v>
      </c>
      <c r="H225" s="180" t="e">
        <f>+#REF!</f>
        <v>#REF!</v>
      </c>
      <c r="I225" s="180" t="e">
        <f>+#REF!</f>
        <v>#REF!</v>
      </c>
      <c r="J225" s="628" t="e">
        <f>+#REF!</f>
        <v>#REF!</v>
      </c>
      <c r="K225" s="180" t="e">
        <f>+#REF!</f>
        <v>#REF!</v>
      </c>
      <c r="L225" s="181" t="e">
        <f>+#REF!</f>
        <v>#REF!</v>
      </c>
      <c r="M225" s="181" t="e">
        <f>+#REF!</f>
        <v>#REF!</v>
      </c>
      <c r="N225" s="159"/>
      <c r="O225" s="180"/>
      <c r="P225" s="180"/>
      <c r="Q225" s="181"/>
    </row>
    <row r="226" spans="1:29" hidden="1" x14ac:dyDescent="0.25">
      <c r="A226" s="767" t="s">
        <v>78</v>
      </c>
      <c r="B226" s="423" t="e">
        <f>+#REF!</f>
        <v>#REF!</v>
      </c>
      <c r="C226" s="180" t="e">
        <f>+#REF!</f>
        <v>#REF!</v>
      </c>
      <c r="D226" s="180" t="e">
        <f>+#REF!</f>
        <v>#REF!</v>
      </c>
      <c r="E226" s="180" t="e">
        <f>+#REF!</f>
        <v>#REF!</v>
      </c>
      <c r="F226" s="180" t="e">
        <f>+#REF!</f>
        <v>#REF!</v>
      </c>
      <c r="G226" s="180" t="e">
        <f>+#REF!</f>
        <v>#REF!</v>
      </c>
      <c r="H226" s="180" t="e">
        <f>+#REF!</f>
        <v>#REF!</v>
      </c>
      <c r="I226" s="180" t="e">
        <f>+#REF!</f>
        <v>#REF!</v>
      </c>
      <c r="J226" s="628">
        <f>+'Other Spec Revenue'!J24</f>
        <v>0</v>
      </c>
      <c r="K226" s="180" t="e">
        <f>+#REF!</f>
        <v>#REF!</v>
      </c>
      <c r="L226" s="181" t="e">
        <f>+#REF!</f>
        <v>#REF!</v>
      </c>
      <c r="M226" s="181" t="e">
        <f>+#REF!</f>
        <v>#REF!</v>
      </c>
      <c r="N226" s="159"/>
      <c r="O226" s="180"/>
      <c r="P226" s="180"/>
      <c r="Q226" s="181"/>
    </row>
    <row r="227" spans="1:29" ht="16.5" hidden="1" thickBot="1" x14ac:dyDescent="0.3">
      <c r="A227" s="108" t="s">
        <v>129</v>
      </c>
      <c r="B227" s="787" t="e">
        <f>+#REF!</f>
        <v>#REF!</v>
      </c>
      <c r="C227" s="131" t="e">
        <f>+#REF!</f>
        <v>#REF!</v>
      </c>
      <c r="D227" s="131" t="e">
        <f>+#REF!</f>
        <v>#REF!</v>
      </c>
      <c r="E227" s="131" t="e">
        <f>+#REF!</f>
        <v>#REF!</v>
      </c>
      <c r="F227" s="131" t="e">
        <f>+#REF!</f>
        <v>#REF!</v>
      </c>
      <c r="G227" s="131" t="e">
        <f>+#REF!</f>
        <v>#REF!</v>
      </c>
      <c r="H227" s="131" t="e">
        <f>+#REF!</f>
        <v>#REF!</v>
      </c>
      <c r="I227" s="131" t="e">
        <f>+#REF!</f>
        <v>#REF!</v>
      </c>
      <c r="J227" s="669">
        <v>0</v>
      </c>
      <c r="K227" s="131">
        <v>0</v>
      </c>
      <c r="L227" s="182">
        <v>0</v>
      </c>
      <c r="M227" s="182">
        <v>0</v>
      </c>
      <c r="N227" s="159"/>
      <c r="O227" s="131"/>
      <c r="P227" s="131"/>
      <c r="Q227" s="182"/>
    </row>
    <row r="228" spans="1:29" hidden="1" x14ac:dyDescent="0.25">
      <c r="A228" s="179" t="s">
        <v>113</v>
      </c>
      <c r="B228" s="416" t="e">
        <f t="shared" ref="B228:J228" si="55">SUM(B223:B226)</f>
        <v>#REF!</v>
      </c>
      <c r="C228" s="93" t="e">
        <f t="shared" si="55"/>
        <v>#REF!</v>
      </c>
      <c r="D228" s="93" t="e">
        <f t="shared" si="55"/>
        <v>#REF!</v>
      </c>
      <c r="E228" s="93" t="e">
        <f t="shared" si="55"/>
        <v>#REF!</v>
      </c>
      <c r="F228" s="93" t="e">
        <f t="shared" si="55"/>
        <v>#REF!</v>
      </c>
      <c r="G228" s="93" t="e">
        <f t="shared" si="55"/>
        <v>#REF!</v>
      </c>
      <c r="H228" s="93" t="e">
        <f t="shared" si="55"/>
        <v>#REF!</v>
      </c>
      <c r="I228" s="93" t="e">
        <f t="shared" si="55"/>
        <v>#REF!</v>
      </c>
      <c r="J228" s="417" t="e">
        <f t="shared" si="55"/>
        <v>#REF!</v>
      </c>
      <c r="K228" s="93" t="e">
        <f t="shared" ref="K228" si="56">SUM(K223:K226)</f>
        <v>#REF!</v>
      </c>
      <c r="L228" s="109" t="e">
        <f>SUM(L223:L226)</f>
        <v>#REF!</v>
      </c>
      <c r="M228" s="109" t="e">
        <f>SUM(M223:M226)</f>
        <v>#REF!</v>
      </c>
      <c r="N228" s="159"/>
      <c r="O228" s="93"/>
      <c r="P228" s="93"/>
      <c r="Q228" s="109"/>
    </row>
    <row r="229" spans="1:29" hidden="1" x14ac:dyDescent="0.25">
      <c r="A229" s="179"/>
      <c r="B229" s="423"/>
      <c r="C229" s="112"/>
      <c r="D229" s="112"/>
      <c r="E229" s="112"/>
      <c r="F229" s="112"/>
      <c r="G229" s="112"/>
      <c r="H229" s="112"/>
      <c r="I229" s="112"/>
      <c r="J229" s="424"/>
      <c r="K229" s="112"/>
      <c r="L229" s="113"/>
      <c r="M229" s="113"/>
      <c r="N229" s="159"/>
      <c r="O229" s="112"/>
      <c r="P229" s="112"/>
      <c r="Q229" s="113"/>
    </row>
    <row r="230" spans="1:29" ht="18.75" x14ac:dyDescent="0.3">
      <c r="A230" s="763" t="s">
        <v>361</v>
      </c>
      <c r="B230" s="423"/>
      <c r="C230" s="112"/>
      <c r="D230" s="112"/>
      <c r="E230" s="112"/>
      <c r="F230" s="112"/>
      <c r="G230" s="112"/>
      <c r="H230" s="112"/>
      <c r="I230" s="112"/>
      <c r="J230" s="424"/>
      <c r="K230" s="112"/>
      <c r="L230" s="113"/>
      <c r="M230" s="113"/>
      <c r="N230" s="159"/>
      <c r="O230" s="112"/>
      <c r="P230" s="112"/>
      <c r="Q230" s="113"/>
    </row>
    <row r="231" spans="1:29" x14ac:dyDescent="0.25">
      <c r="A231" s="106" t="s">
        <v>92</v>
      </c>
      <c r="B231" s="510">
        <f>+LFRA!B17</f>
        <v>7946453</v>
      </c>
      <c r="C231" s="180">
        <f>+LFRA!C17</f>
        <v>7788379</v>
      </c>
      <c r="D231" s="180">
        <f>+LFRA!D18</f>
        <v>7957074</v>
      </c>
      <c r="E231" s="180">
        <f>+LFRA!E17</f>
        <v>652049</v>
      </c>
      <c r="F231" s="180">
        <f>+LFRA!F17</f>
        <v>21868</v>
      </c>
      <c r="G231" s="180">
        <f>+LFRA!G17</f>
        <v>0</v>
      </c>
      <c r="H231" s="180">
        <f>+LFRA!H17</f>
        <v>0</v>
      </c>
      <c r="I231" s="180">
        <f>+LFRA!I17</f>
        <v>0</v>
      </c>
      <c r="J231" s="628">
        <f>+LFRA!J17</f>
        <v>0</v>
      </c>
      <c r="K231" s="180">
        <f>+LFRA!K17</f>
        <v>0</v>
      </c>
      <c r="L231" s="181">
        <f>+LFRA!L17</f>
        <v>0</v>
      </c>
      <c r="M231" s="181">
        <f>+LFRA!M17</f>
        <v>0</v>
      </c>
      <c r="N231" s="159"/>
      <c r="O231" s="180"/>
      <c r="P231" s="180"/>
      <c r="Q231" s="181"/>
    </row>
    <row r="232" spans="1:29" x14ac:dyDescent="0.25">
      <c r="A232" s="760" t="s">
        <v>88</v>
      </c>
      <c r="B232" s="423">
        <f>+LFRA!B52</f>
        <v>0</v>
      </c>
      <c r="C232" s="112">
        <f>+LFRA!C52</f>
        <v>0</v>
      </c>
      <c r="D232" s="180">
        <f>+LFRA!B18</f>
        <v>0</v>
      </c>
      <c r="E232" s="112">
        <f>+LFRA!E52</f>
        <v>0</v>
      </c>
      <c r="F232" s="112">
        <f>+LFRA!F52</f>
        <v>0</v>
      </c>
      <c r="G232" s="112">
        <f>+LFRA!G52</f>
        <v>0</v>
      </c>
      <c r="H232" s="112">
        <f>+LFRA!H52</f>
        <v>0</v>
      </c>
      <c r="I232" s="112">
        <f>+LFRA!I52</f>
        <v>0</v>
      </c>
      <c r="J232" s="424">
        <f>+LFRA!J52</f>
        <v>0</v>
      </c>
      <c r="K232" s="112">
        <f>+LFRA!K52</f>
        <v>0</v>
      </c>
      <c r="L232" s="113">
        <f>+LFRA!L52</f>
        <v>0</v>
      </c>
      <c r="M232" s="113">
        <f>+LFRA!M52</f>
        <v>0</v>
      </c>
      <c r="N232" s="159"/>
      <c r="O232" s="112"/>
      <c r="P232" s="112"/>
      <c r="Q232" s="113"/>
    </row>
    <row r="233" spans="1:29" x14ac:dyDescent="0.25">
      <c r="A233" s="107" t="s">
        <v>93</v>
      </c>
      <c r="B233" s="510">
        <f>+LFRA!B53</f>
        <v>0</v>
      </c>
      <c r="C233" s="180">
        <f>+LFRA!C53</f>
        <v>0</v>
      </c>
      <c r="D233" s="180">
        <f>+LFRA!B19</f>
        <v>0</v>
      </c>
      <c r="E233" s="180">
        <f>+LFRA!E53</f>
        <v>0</v>
      </c>
      <c r="F233" s="180">
        <f>+LFRA!F53</f>
        <v>0</v>
      </c>
      <c r="G233" s="180">
        <f>+LFRA!G53</f>
        <v>0</v>
      </c>
      <c r="H233" s="180">
        <f>+LFRA!H53</f>
        <v>0</v>
      </c>
      <c r="I233" s="180">
        <f>+LFRA!I53</f>
        <v>0</v>
      </c>
      <c r="J233" s="628">
        <f>+LFRA!J53</f>
        <v>0</v>
      </c>
      <c r="K233" s="180">
        <f>+LFRA!K53</f>
        <v>0</v>
      </c>
      <c r="L233" s="181">
        <f>+LFRA!L53</f>
        <v>0</v>
      </c>
      <c r="M233" s="181">
        <f>+LFRA!M53</f>
        <v>0</v>
      </c>
      <c r="N233" s="159"/>
      <c r="O233" s="180"/>
      <c r="P233" s="180"/>
      <c r="Q233" s="181"/>
    </row>
    <row r="234" spans="1:29" ht="16.5" thickBot="1" x14ac:dyDescent="0.3">
      <c r="A234" s="354" t="s">
        <v>78</v>
      </c>
      <c r="B234" s="423">
        <f>+LFRA!B21</f>
        <v>0</v>
      </c>
      <c r="C234" s="112">
        <f>+LFRA!C21</f>
        <v>0</v>
      </c>
      <c r="D234" s="112">
        <f>+LFRA!D21</f>
        <v>0</v>
      </c>
      <c r="E234" s="180">
        <f>+LFRA!E21</f>
        <v>916296</v>
      </c>
      <c r="F234" s="112">
        <f>+LFRA!F21</f>
        <v>933848</v>
      </c>
      <c r="G234" s="112">
        <f>+LFRA!G21</f>
        <v>4378093</v>
      </c>
      <c r="H234" s="112">
        <f>+LFRA!H21</f>
        <v>10688</v>
      </c>
      <c r="I234" s="112">
        <f>+LFRA!I21</f>
        <v>65531</v>
      </c>
      <c r="J234" s="424">
        <f>+LFRA!J21</f>
        <v>36822</v>
      </c>
      <c r="K234" s="112">
        <f>+LFRA!K21</f>
        <v>1966572</v>
      </c>
      <c r="L234" s="113">
        <f>+LFRA!L21</f>
        <v>0</v>
      </c>
      <c r="M234" s="113">
        <f>+LFRA!M21</f>
        <v>0</v>
      </c>
      <c r="N234" s="159"/>
      <c r="O234" s="180"/>
      <c r="P234" s="180"/>
      <c r="Q234" s="181"/>
    </row>
    <row r="235" spans="1:29" s="278" customFormat="1" ht="17.25" thickTop="1" thickBot="1" x14ac:dyDescent="0.3">
      <c r="A235" s="761" t="s">
        <v>346</v>
      </c>
      <c r="B235" s="785">
        <f t="shared" ref="B235:M235" si="57">SUM(B231:B234)</f>
        <v>7946453</v>
      </c>
      <c r="C235" s="701">
        <f t="shared" si="57"/>
        <v>7788379</v>
      </c>
      <c r="D235" s="701">
        <f t="shared" si="57"/>
        <v>7957074</v>
      </c>
      <c r="E235" s="701">
        <f t="shared" si="57"/>
        <v>1568345</v>
      </c>
      <c r="F235" s="701">
        <f t="shared" si="57"/>
        <v>955716</v>
      </c>
      <c r="G235" s="701">
        <f t="shared" si="57"/>
        <v>4378093</v>
      </c>
      <c r="H235" s="701">
        <f t="shared" si="57"/>
        <v>10688</v>
      </c>
      <c r="I235" s="701">
        <f t="shared" si="57"/>
        <v>65531</v>
      </c>
      <c r="J235" s="702">
        <f t="shared" si="57"/>
        <v>36822</v>
      </c>
      <c r="K235" s="701">
        <f t="shared" si="57"/>
        <v>1966572</v>
      </c>
      <c r="L235" s="703">
        <f t="shared" si="57"/>
        <v>0</v>
      </c>
      <c r="M235" s="433">
        <f t="shared" si="57"/>
        <v>0</v>
      </c>
      <c r="N235" s="692"/>
      <c r="O235" s="2"/>
      <c r="Q235" s="163"/>
      <c r="R235" s="124"/>
      <c r="S235" s="142"/>
    </row>
    <row r="236" spans="1:29" s="278" customFormat="1" ht="16.5" thickBot="1" x14ac:dyDescent="0.3">
      <c r="A236" s="762" t="s">
        <v>140</v>
      </c>
      <c r="B236" s="786">
        <f>+LFRA!B32</f>
        <v>68</v>
      </c>
      <c r="C236" s="698">
        <f>+LFRA!C32</f>
        <v>66</v>
      </c>
      <c r="D236" s="698">
        <f>+LFRA!D32</f>
        <v>66</v>
      </c>
      <c r="E236" s="698">
        <f>+LFRA!E32</f>
        <v>66</v>
      </c>
      <c r="F236" s="698">
        <f>+LFRA!F32</f>
        <v>73</v>
      </c>
      <c r="G236" s="698">
        <f>+LFRA!G32</f>
        <v>81</v>
      </c>
      <c r="H236" s="698">
        <f>+LFRA!H32</f>
        <v>83</v>
      </c>
      <c r="I236" s="698">
        <f>+LFRA!I32</f>
        <v>84</v>
      </c>
      <c r="J236" s="699">
        <f>+LFRA!J32</f>
        <v>92</v>
      </c>
      <c r="K236" s="698">
        <f>+LFRA!K32</f>
        <v>93</v>
      </c>
      <c r="L236" s="700">
        <f>+LFRA!L32</f>
        <v>93</v>
      </c>
      <c r="M236" s="433">
        <f>+LFRA!M32</f>
        <v>93</v>
      </c>
      <c r="N236" s="692"/>
      <c r="O236" s="2"/>
      <c r="Q236" s="163"/>
      <c r="R236" s="124"/>
      <c r="S236" s="142"/>
    </row>
    <row r="237" spans="1:29" ht="16.5" thickBot="1" x14ac:dyDescent="0.3">
      <c r="A237" s="179"/>
      <c r="B237" s="423"/>
      <c r="C237" s="112"/>
      <c r="D237" s="112"/>
      <c r="E237" s="112"/>
      <c r="F237" s="112"/>
      <c r="G237" s="112"/>
      <c r="H237" s="112"/>
      <c r="I237" s="112"/>
      <c r="J237" s="424"/>
      <c r="K237" s="112"/>
      <c r="L237" s="113"/>
      <c r="M237" s="113"/>
      <c r="N237" s="159"/>
      <c r="O237" s="155"/>
      <c r="P237" s="155"/>
      <c r="Q237" s="156"/>
    </row>
    <row r="238" spans="1:29" s="278" customFormat="1" ht="24.75" customHeight="1" x14ac:dyDescent="0.3">
      <c r="A238" s="376" t="s">
        <v>359</v>
      </c>
      <c r="B238" s="521">
        <v>2009</v>
      </c>
      <c r="C238" s="522">
        <v>2010</v>
      </c>
      <c r="D238" s="522">
        <v>2011</v>
      </c>
      <c r="E238" s="522">
        <v>2012</v>
      </c>
      <c r="F238" s="690">
        <v>2013</v>
      </c>
      <c r="G238" s="559">
        <v>2014</v>
      </c>
      <c r="H238" s="559">
        <v>2015</v>
      </c>
      <c r="I238" s="522">
        <v>2016</v>
      </c>
      <c r="J238" s="691">
        <v>2017</v>
      </c>
      <c r="K238" s="559">
        <v>2018</v>
      </c>
      <c r="L238" s="560">
        <v>2019</v>
      </c>
      <c r="M238" s="671">
        <v>2018</v>
      </c>
      <c r="N238" s="157" t="s">
        <v>126</v>
      </c>
      <c r="O238" s="170">
        <v>2017</v>
      </c>
      <c r="P238" s="170">
        <v>2018</v>
      </c>
      <c r="Q238" s="171" t="s">
        <v>159</v>
      </c>
      <c r="R238" s="124"/>
      <c r="S238" s="142"/>
      <c r="AC238" s="19"/>
    </row>
    <row r="239" spans="1:29" x14ac:dyDescent="0.25">
      <c r="A239" s="765" t="s">
        <v>92</v>
      </c>
      <c r="B239" s="780">
        <f>+B71+B81+B89+B97+B105+B113+B121+B129+B137+B145+B153+B161+B169+B177+B192+B200+B208+B216+B231+B185</f>
        <v>62642769</v>
      </c>
      <c r="C239" s="294">
        <f t="shared" ref="C239:M239" si="58">+C71+C81+C89+C97+C105+C113+C121+C129+C137+C145+C153+C161+C169+C177+C185+C192+C200+C208+C216+C231</f>
        <v>63403954</v>
      </c>
      <c r="D239" s="294">
        <f t="shared" si="58"/>
        <v>63080977</v>
      </c>
      <c r="E239" s="294">
        <f t="shared" si="58"/>
        <v>59343409</v>
      </c>
      <c r="F239" s="294">
        <f t="shared" si="58"/>
        <v>67908891</v>
      </c>
      <c r="G239" s="294">
        <f t="shared" si="58"/>
        <v>81211392</v>
      </c>
      <c r="H239" s="294">
        <f t="shared" si="58"/>
        <v>83844314</v>
      </c>
      <c r="I239" s="294">
        <f t="shared" si="58"/>
        <v>91440245</v>
      </c>
      <c r="J239" s="667">
        <f t="shared" si="58"/>
        <v>103990135</v>
      </c>
      <c r="K239" s="294">
        <f t="shared" si="58"/>
        <v>128815229</v>
      </c>
      <c r="L239" s="657">
        <f t="shared" si="58"/>
        <v>102049571</v>
      </c>
      <c r="M239" s="672">
        <f t="shared" si="58"/>
        <v>113315604</v>
      </c>
      <c r="N239" s="159">
        <v>55</v>
      </c>
      <c r="O239" s="279">
        <v>103990136</v>
      </c>
      <c r="P239" s="279">
        <v>113315604</v>
      </c>
      <c r="Q239" s="672">
        <v>102049572</v>
      </c>
    </row>
    <row r="240" spans="1:29" x14ac:dyDescent="0.25">
      <c r="A240" s="752" t="s">
        <v>88</v>
      </c>
      <c r="B240" s="780">
        <f>+B72+B82+B90+B98+B106+B114+B122+B130+B138+B146+B154+B162+B170+B178+B186+B193+B201+B209+B217+B232</f>
        <v>16078251</v>
      </c>
      <c r="C240" s="294">
        <f t="shared" ref="C240:M240" si="59">+C72+C82+C90+C98+C106+C114+C122+C130+C138+C146+C154+C162+C170+C178+C186+C193+C201+C209+C217+C232</f>
        <v>15322190</v>
      </c>
      <c r="D240" s="294">
        <f t="shared" si="59"/>
        <v>15939645</v>
      </c>
      <c r="E240" s="294">
        <f t="shared" si="59"/>
        <v>14646691</v>
      </c>
      <c r="F240" s="294">
        <f t="shared" si="59"/>
        <v>17533241</v>
      </c>
      <c r="G240" s="294">
        <f t="shared" si="59"/>
        <v>21537660</v>
      </c>
      <c r="H240" s="294">
        <f t="shared" si="59"/>
        <v>22752690</v>
      </c>
      <c r="I240" s="294">
        <f t="shared" si="59"/>
        <v>20668702</v>
      </c>
      <c r="J240" s="667">
        <f t="shared" si="59"/>
        <v>23000265</v>
      </c>
      <c r="K240" s="294">
        <f t="shared" si="59"/>
        <v>27019005</v>
      </c>
      <c r="L240" s="657">
        <f t="shared" si="59"/>
        <v>27953300</v>
      </c>
      <c r="M240" s="672">
        <f t="shared" si="59"/>
        <v>26083392</v>
      </c>
      <c r="N240" s="168">
        <v>82</v>
      </c>
      <c r="O240" s="279">
        <v>23000265</v>
      </c>
      <c r="P240" s="279">
        <v>26083392</v>
      </c>
      <c r="Q240" s="672">
        <v>27953300</v>
      </c>
    </row>
    <row r="241" spans="1:19" x14ac:dyDescent="0.25">
      <c r="A241" s="753" t="s">
        <v>93</v>
      </c>
      <c r="B241" s="780">
        <f>+B73+B83+B91+B99+B107+B115+B123+B131+B139+B147+B155+B163+B171+B179+B187+B194+B202+B210+B218+B233</f>
        <v>77053475</v>
      </c>
      <c r="C241" s="294">
        <f t="shared" ref="C241:M241" si="60">+C73+C83+C91+C99+C107+C115+C123+C131+C139+C147+C155+C163+C171+C179+C187+C194+C202+C210+C218+C233</f>
        <v>76246930</v>
      </c>
      <c r="D241" s="294">
        <f t="shared" si="60"/>
        <v>92362539</v>
      </c>
      <c r="E241" s="294">
        <f t="shared" si="60"/>
        <v>87006375</v>
      </c>
      <c r="F241" s="294">
        <f t="shared" si="60"/>
        <v>102710060</v>
      </c>
      <c r="G241" s="294">
        <f t="shared" si="60"/>
        <v>125788199</v>
      </c>
      <c r="H241" s="294">
        <f t="shared" si="60"/>
        <v>143924076</v>
      </c>
      <c r="I241" s="294">
        <f t="shared" si="60"/>
        <v>138601594</v>
      </c>
      <c r="J241" s="667">
        <f t="shared" si="60"/>
        <v>149561040</v>
      </c>
      <c r="K241" s="294">
        <f t="shared" si="60"/>
        <v>202704817</v>
      </c>
      <c r="L241" s="657">
        <f t="shared" si="60"/>
        <v>199046694</v>
      </c>
      <c r="M241" s="672">
        <f t="shared" si="60"/>
        <v>154606556</v>
      </c>
      <c r="N241" s="159">
        <v>73</v>
      </c>
      <c r="O241" s="279">
        <v>149561038</v>
      </c>
      <c r="P241" s="279">
        <v>154606556</v>
      </c>
      <c r="Q241" s="672">
        <v>199046693</v>
      </c>
    </row>
    <row r="242" spans="1:19" ht="16.5" thickBot="1" x14ac:dyDescent="0.3">
      <c r="A242" s="768" t="s">
        <v>78</v>
      </c>
      <c r="B242" s="780">
        <f>+B74+B84+B92+B100+B108+B116+B124+B132+B140+B148+B156+B164+B172+B180+B188+B195+B203+B211+B219+B234</f>
        <v>20131676</v>
      </c>
      <c r="C242" s="294">
        <f t="shared" ref="C242:M242" si="61">+C74+C84+C92+C100+C108+C116+C124+C132+C140+C148+C156+C164+C172+C180+C188+C195+C203+C211+C219+C234</f>
        <v>36528746</v>
      </c>
      <c r="D242" s="294">
        <f t="shared" si="61"/>
        <v>36972962</v>
      </c>
      <c r="E242" s="294">
        <f t="shared" si="61"/>
        <v>23648549</v>
      </c>
      <c r="F242" s="294">
        <f t="shared" si="61"/>
        <v>33003645</v>
      </c>
      <c r="G242" s="294">
        <f t="shared" si="61"/>
        <v>54199760</v>
      </c>
      <c r="H242" s="294">
        <f t="shared" si="61"/>
        <v>35454838</v>
      </c>
      <c r="I242" s="294">
        <f t="shared" si="61"/>
        <v>37932162</v>
      </c>
      <c r="J242" s="667">
        <f t="shared" si="61"/>
        <v>65785531</v>
      </c>
      <c r="K242" s="294">
        <f t="shared" si="61"/>
        <v>129687606</v>
      </c>
      <c r="L242" s="657">
        <f t="shared" si="61"/>
        <v>56174434</v>
      </c>
      <c r="M242" s="672">
        <f t="shared" si="61"/>
        <v>66753646</v>
      </c>
      <c r="N242" s="309" t="s">
        <v>271</v>
      </c>
      <c r="O242" s="279">
        <f>32748950+33036581</f>
        <v>65785531</v>
      </c>
      <c r="P242" s="279">
        <v>66753646</v>
      </c>
      <c r="Q242" s="672">
        <v>56174434</v>
      </c>
    </row>
    <row r="243" spans="1:19" s="278" customFormat="1" ht="17.25" thickTop="1" thickBot="1" x14ac:dyDescent="0.3">
      <c r="A243" s="761" t="s">
        <v>113</v>
      </c>
      <c r="B243" s="785">
        <f t="shared" ref="B243:M243" si="62">SUM(B239:B242)</f>
        <v>175906171</v>
      </c>
      <c r="C243" s="701">
        <f t="shared" si="62"/>
        <v>191501820</v>
      </c>
      <c r="D243" s="701">
        <f t="shared" si="62"/>
        <v>208356123</v>
      </c>
      <c r="E243" s="701">
        <f t="shared" si="62"/>
        <v>184645024</v>
      </c>
      <c r="F243" s="701">
        <f t="shared" si="62"/>
        <v>221155837</v>
      </c>
      <c r="G243" s="701">
        <f t="shared" si="62"/>
        <v>282737011</v>
      </c>
      <c r="H243" s="701">
        <f t="shared" si="62"/>
        <v>285975918</v>
      </c>
      <c r="I243" s="701">
        <f t="shared" si="62"/>
        <v>288642703</v>
      </c>
      <c r="J243" s="702">
        <f t="shared" si="62"/>
        <v>342336971</v>
      </c>
      <c r="K243" s="701">
        <f t="shared" si="62"/>
        <v>488226657</v>
      </c>
      <c r="L243" s="703">
        <f t="shared" si="62"/>
        <v>385223999</v>
      </c>
      <c r="M243" s="433">
        <f t="shared" si="62"/>
        <v>360759198</v>
      </c>
      <c r="N243" s="692"/>
      <c r="O243" s="12">
        <f>SUM(O239:O242)</f>
        <v>342336970</v>
      </c>
      <c r="P243" s="278">
        <f>SUM(P239:P242)</f>
        <v>360759198</v>
      </c>
      <c r="Q243" s="163">
        <f>SUM(Q239:Q242)</f>
        <v>385223999</v>
      </c>
      <c r="R243" s="124"/>
      <c r="S243" s="142"/>
    </row>
    <row r="244" spans="1:19" s="19" customFormat="1" x14ac:dyDescent="0.25">
      <c r="A244" s="769"/>
      <c r="B244" s="788"/>
      <c r="C244" s="112"/>
      <c r="D244" s="112"/>
      <c r="E244" s="112"/>
      <c r="F244" s="112"/>
      <c r="G244" s="112"/>
      <c r="H244" s="112"/>
      <c r="I244" s="112"/>
      <c r="J244" s="704"/>
      <c r="K244" s="112"/>
      <c r="L244" s="705"/>
      <c r="M244" s="112"/>
      <c r="N244" s="155"/>
      <c r="O244" s="155"/>
      <c r="P244" s="155"/>
      <c r="Q244" s="156"/>
      <c r="R244" s="124"/>
      <c r="S244" s="142"/>
    </row>
    <row r="245" spans="1:19" s="19" customFormat="1" ht="16.5" hidden="1" thickTop="1" x14ac:dyDescent="0.25">
      <c r="A245" s="179"/>
      <c r="B245" s="789">
        <f t="shared" ref="B245:M245" si="63">+B56</f>
        <v>175906170</v>
      </c>
      <c r="C245" s="674">
        <f t="shared" si="63"/>
        <v>191501817</v>
      </c>
      <c r="D245" s="674">
        <f t="shared" si="63"/>
        <v>208356123</v>
      </c>
      <c r="E245" s="674">
        <f t="shared" si="63"/>
        <v>184645024</v>
      </c>
      <c r="F245" s="674">
        <f t="shared" si="63"/>
        <v>221155835</v>
      </c>
      <c r="G245" s="674">
        <f t="shared" si="63"/>
        <v>282737010</v>
      </c>
      <c r="H245" s="674">
        <f t="shared" si="63"/>
        <v>285975924</v>
      </c>
      <c r="I245" s="674">
        <f t="shared" si="63"/>
        <v>288642706</v>
      </c>
      <c r="J245" s="675">
        <f t="shared" si="63"/>
        <v>342336970</v>
      </c>
      <c r="K245" s="674">
        <f t="shared" si="63"/>
        <v>488226657</v>
      </c>
      <c r="L245" s="181">
        <f t="shared" si="63"/>
        <v>385223999</v>
      </c>
      <c r="M245" s="676">
        <f t="shared" si="63"/>
        <v>360759198</v>
      </c>
      <c r="N245" s="102"/>
      <c r="O245" s="102"/>
      <c r="P245" s="102"/>
      <c r="Q245" s="156"/>
      <c r="R245" s="124"/>
      <c r="S245" s="142"/>
    </row>
    <row r="246" spans="1:19" s="19" customFormat="1" x14ac:dyDescent="0.25">
      <c r="A246" s="770"/>
      <c r="B246" s="790"/>
      <c r="C246" s="185"/>
      <c r="D246" s="185"/>
      <c r="E246" s="185"/>
      <c r="F246" s="185"/>
      <c r="G246" s="185"/>
      <c r="H246" s="185"/>
      <c r="I246" s="185"/>
      <c r="J246" s="670"/>
      <c r="K246" s="185"/>
      <c r="L246" s="659"/>
      <c r="M246" s="659"/>
      <c r="N246" s="186"/>
      <c r="O246" s="186"/>
      <c r="P246" s="186"/>
      <c r="Q246" s="706"/>
      <c r="R246" s="124"/>
      <c r="S246" s="142"/>
    </row>
    <row r="247" spans="1:19" s="19" customFormat="1" x14ac:dyDescent="0.25">
      <c r="A247" s="770"/>
      <c r="B247" s="790"/>
      <c r="C247" s="185"/>
      <c r="D247" s="185"/>
      <c r="E247" s="185"/>
      <c r="F247" s="185"/>
      <c r="G247" s="185"/>
      <c r="H247" s="185"/>
      <c r="I247" s="185"/>
      <c r="J247" s="670"/>
      <c r="K247" s="185"/>
      <c r="L247" s="659"/>
      <c r="M247" s="659"/>
      <c r="N247" s="186"/>
      <c r="O247" s="186"/>
      <c r="P247" s="186"/>
      <c r="Q247" s="706"/>
      <c r="R247" s="124"/>
      <c r="S247" s="142"/>
    </row>
    <row r="248" spans="1:19" s="19" customFormat="1" hidden="1" x14ac:dyDescent="0.25">
      <c r="A248" s="132"/>
      <c r="B248" s="27">
        <f>+B245-B243</f>
        <v>-1</v>
      </c>
      <c r="C248" s="28">
        <f t="shared" ref="C248:J248" si="64">+C245-C243</f>
        <v>-3</v>
      </c>
      <c r="D248" s="28">
        <f t="shared" si="64"/>
        <v>0</v>
      </c>
      <c r="E248" s="28">
        <f t="shared" si="64"/>
        <v>0</v>
      </c>
      <c r="F248" s="28">
        <f t="shared" si="64"/>
        <v>-2</v>
      </c>
      <c r="G248" s="28">
        <f t="shared" si="64"/>
        <v>-1</v>
      </c>
      <c r="H248" s="28">
        <f t="shared" si="64"/>
        <v>6</v>
      </c>
      <c r="I248" s="28">
        <f t="shared" si="64"/>
        <v>3</v>
      </c>
      <c r="J248" s="28">
        <f t="shared" si="64"/>
        <v>-1</v>
      </c>
      <c r="K248" s="28">
        <f t="shared" ref="K248" si="65">+K245-K243</f>
        <v>0</v>
      </c>
      <c r="L248" s="28">
        <f>+L245-L243</f>
        <v>0</v>
      </c>
      <c r="M248" s="28">
        <f>+M245-M243</f>
        <v>0</v>
      </c>
      <c r="N248" s="102"/>
      <c r="O248" s="102"/>
      <c r="P248" s="102"/>
      <c r="Q248" s="102"/>
      <c r="S248" s="71"/>
    </row>
    <row r="249" spans="1:19" s="19" customFormat="1" x14ac:dyDescent="0.25">
      <c r="A249" s="203"/>
      <c r="B249" s="112"/>
      <c r="C249" s="112"/>
      <c r="D249" s="112"/>
      <c r="E249" s="112"/>
      <c r="F249" s="112"/>
      <c r="G249" s="112"/>
      <c r="H249" s="112"/>
      <c r="I249" s="112"/>
      <c r="J249" s="112"/>
      <c r="K249" s="112"/>
      <c r="L249" s="112"/>
      <c r="M249" s="112"/>
      <c r="N249" s="155"/>
      <c r="O249" s="155"/>
      <c r="P249" s="155"/>
      <c r="Q249" s="155"/>
      <c r="S249" s="71"/>
    </row>
    <row r="250" spans="1:19" s="19" customFormat="1" x14ac:dyDescent="0.25">
      <c r="A250" s="203"/>
      <c r="B250" s="112"/>
      <c r="C250" s="112"/>
      <c r="D250" s="112"/>
      <c r="E250" s="112"/>
      <c r="F250" s="112"/>
      <c r="G250" s="112"/>
      <c r="H250" s="112"/>
      <c r="I250" s="112"/>
      <c r="J250" s="112"/>
      <c r="K250" s="112"/>
      <c r="L250" s="112"/>
      <c r="M250" s="112"/>
      <c r="N250" s="155"/>
      <c r="O250" s="155"/>
      <c r="P250" s="155"/>
      <c r="Q250" s="155"/>
      <c r="S250" s="71"/>
    </row>
    <row r="251" spans="1:19" s="19" customFormat="1" x14ac:dyDescent="0.25">
      <c r="A251" s="203"/>
      <c r="B251" s="112"/>
      <c r="C251" s="112"/>
      <c r="D251" s="112"/>
      <c r="E251" s="112"/>
      <c r="F251" s="112"/>
      <c r="G251" s="112"/>
      <c r="H251" s="112"/>
      <c r="I251" s="112"/>
      <c r="J251" s="112"/>
      <c r="K251" s="112"/>
      <c r="L251" s="112"/>
      <c r="M251" s="112"/>
      <c r="N251" s="155"/>
      <c r="O251" s="155"/>
      <c r="P251" s="155"/>
      <c r="Q251" s="155"/>
      <c r="S251" s="71"/>
    </row>
    <row r="252" spans="1:19" s="19" customFormat="1" x14ac:dyDescent="0.25">
      <c r="A252" s="203"/>
      <c r="B252" s="112"/>
      <c r="C252" s="112"/>
      <c r="D252" s="112"/>
      <c r="E252" s="112"/>
      <c r="F252" s="112"/>
      <c r="G252" s="112"/>
      <c r="H252" s="112"/>
      <c r="I252" s="112"/>
      <c r="J252" s="112"/>
      <c r="K252" s="112"/>
      <c r="L252" s="112"/>
      <c r="M252" s="112"/>
      <c r="N252" s="155"/>
      <c r="O252" s="155"/>
      <c r="P252" s="155"/>
      <c r="Q252" s="155"/>
      <c r="R252" s="102"/>
      <c r="S252" s="71"/>
    </row>
    <row r="253" spans="1:19" s="19" customFormat="1" x14ac:dyDescent="0.25">
      <c r="A253" s="249"/>
      <c r="B253" s="112"/>
      <c r="C253" s="112"/>
      <c r="D253" s="112"/>
      <c r="E253" s="112"/>
      <c r="F253" s="112"/>
      <c r="G253" s="112"/>
      <c r="H253" s="112"/>
      <c r="I253" s="112"/>
      <c r="J253" s="112"/>
      <c r="K253" s="112"/>
      <c r="L253" s="112"/>
      <c r="M253" s="112"/>
      <c r="N253" s="155"/>
      <c r="O253" s="155"/>
      <c r="P253" s="155"/>
      <c r="Q253" s="155"/>
      <c r="R253" s="102"/>
      <c r="S253" s="71"/>
    </row>
    <row r="254" spans="1:19" s="19" customFormat="1" x14ac:dyDescent="0.25">
      <c r="A254" s="249"/>
      <c r="B254" s="112"/>
      <c r="C254" s="112"/>
      <c r="D254" s="112"/>
      <c r="E254" s="112"/>
      <c r="F254" s="112"/>
      <c r="G254" s="112"/>
      <c r="H254" s="112"/>
      <c r="I254" s="112"/>
      <c r="J254" s="112"/>
      <c r="K254" s="112"/>
      <c r="L254" s="112"/>
      <c r="M254" s="112"/>
      <c r="N254" s="155"/>
      <c r="O254" s="155"/>
      <c r="P254" s="155"/>
      <c r="Q254" s="155"/>
      <c r="R254" s="102"/>
      <c r="S254" s="71"/>
    </row>
    <row r="255" spans="1:19" s="19" customFormat="1" x14ac:dyDescent="0.25">
      <c r="A255" s="249"/>
      <c r="B255" s="112"/>
      <c r="C255" s="112"/>
      <c r="D255" s="112"/>
      <c r="E255" s="112"/>
      <c r="F255" s="112"/>
      <c r="G255" s="112"/>
      <c r="H255" s="112"/>
      <c r="I255" s="112"/>
      <c r="J255" s="112"/>
      <c r="K255" s="112"/>
      <c r="L255" s="112"/>
      <c r="M255" s="112"/>
      <c r="N255" s="155"/>
      <c r="O255" s="155"/>
      <c r="P255" s="155"/>
      <c r="Q255" s="155"/>
      <c r="R255" s="102"/>
      <c r="S255" s="71"/>
    </row>
    <row r="256" spans="1:19" s="19" customFormat="1" x14ac:dyDescent="0.25">
      <c r="A256" s="249"/>
      <c r="B256" s="112"/>
      <c r="C256" s="112"/>
      <c r="D256" s="112"/>
      <c r="E256" s="112"/>
      <c r="F256" s="112"/>
      <c r="G256" s="112"/>
      <c r="H256" s="112"/>
      <c r="I256" s="112"/>
      <c r="J256" s="112"/>
      <c r="K256" s="112"/>
      <c r="L256" s="112"/>
      <c r="M256" s="112"/>
      <c r="N256" s="155"/>
      <c r="O256" s="155"/>
      <c r="P256" s="155"/>
      <c r="Q256" s="155"/>
      <c r="R256" s="102"/>
      <c r="S256" s="71"/>
    </row>
    <row r="257" spans="1:19" s="19" customFormat="1" x14ac:dyDescent="0.25">
      <c r="A257" s="249"/>
      <c r="B257" s="112"/>
      <c r="C257" s="112"/>
      <c r="D257" s="112"/>
      <c r="E257" s="112"/>
      <c r="F257" s="112"/>
      <c r="G257" s="112"/>
      <c r="H257" s="112"/>
      <c r="I257" s="112"/>
      <c r="J257" s="112"/>
      <c r="K257" s="112"/>
      <c r="L257" s="112"/>
      <c r="M257" s="112"/>
      <c r="N257" s="155"/>
      <c r="O257" s="155"/>
      <c r="P257" s="155"/>
      <c r="Q257" s="155"/>
      <c r="R257" s="102"/>
      <c r="S257" s="71"/>
    </row>
    <row r="258" spans="1:19" s="19" customFormat="1" x14ac:dyDescent="0.25">
      <c r="A258" s="141"/>
      <c r="B258" s="112"/>
      <c r="C258" s="112"/>
      <c r="D258" s="112"/>
      <c r="E258" s="112"/>
      <c r="F258" s="112"/>
      <c r="G258" s="112"/>
      <c r="H258" s="112"/>
      <c r="I258" s="112"/>
      <c r="J258" s="112"/>
      <c r="K258" s="112"/>
      <c r="L258" s="112"/>
      <c r="M258" s="112"/>
      <c r="N258" s="155"/>
      <c r="O258" s="155"/>
      <c r="P258" s="155"/>
      <c r="Q258" s="155"/>
      <c r="S258" s="71"/>
    </row>
    <row r="259" spans="1:19" s="19" customFormat="1" x14ac:dyDescent="0.25">
      <c r="A259" s="141"/>
      <c r="B259" s="112"/>
      <c r="C259" s="112"/>
      <c r="D259" s="112"/>
      <c r="E259" s="112"/>
      <c r="F259" s="112"/>
      <c r="G259" s="112"/>
      <c r="H259" s="112"/>
      <c r="I259" s="112"/>
      <c r="J259" s="118"/>
      <c r="K259" s="112"/>
      <c r="L259" s="112"/>
      <c r="M259" s="112"/>
      <c r="N259" s="155"/>
      <c r="O259" s="155"/>
      <c r="P259" s="155"/>
      <c r="Q259" s="155"/>
      <c r="S259" s="71"/>
    </row>
    <row r="260" spans="1:19" s="19" customFormat="1" ht="18.75" x14ac:dyDescent="0.3">
      <c r="A260" s="218"/>
      <c r="B260" s="112"/>
      <c r="C260" s="112"/>
      <c r="D260" s="112"/>
      <c r="E260" s="112"/>
      <c r="F260" s="112"/>
      <c r="G260" s="112"/>
      <c r="H260" s="112"/>
      <c r="I260" s="112"/>
      <c r="J260" s="112"/>
      <c r="K260" s="112"/>
      <c r="L260" s="112"/>
      <c r="M260" s="112"/>
      <c r="N260" s="155"/>
      <c r="O260" s="155"/>
      <c r="P260" s="155"/>
      <c r="Q260" s="155"/>
      <c r="S260" s="71"/>
    </row>
    <row r="261" spans="1:19" s="19" customFormat="1" x14ac:dyDescent="0.25">
      <c r="A261" s="141"/>
      <c r="B261" s="112"/>
      <c r="C261" s="112"/>
      <c r="D261" s="112"/>
      <c r="E261" s="112"/>
      <c r="F261" s="112"/>
      <c r="G261" s="112"/>
      <c r="H261" s="112"/>
      <c r="I261" s="112"/>
      <c r="J261" s="112"/>
      <c r="K261" s="112"/>
      <c r="L261" s="112"/>
      <c r="M261" s="112"/>
      <c r="N261" s="155"/>
      <c r="O261" s="155"/>
      <c r="P261" s="155"/>
      <c r="Q261" s="155"/>
      <c r="S261" s="71"/>
    </row>
    <row r="262" spans="1:19" s="19" customFormat="1" x14ac:dyDescent="0.25">
      <c r="A262" s="114"/>
      <c r="B262" s="114"/>
      <c r="C262" s="114"/>
      <c r="D262" s="114"/>
      <c r="E262" s="114"/>
      <c r="F262" s="114"/>
      <c r="G262" s="114"/>
      <c r="H262" s="114"/>
      <c r="I262" s="114"/>
      <c r="J262" s="114"/>
      <c r="K262" s="114"/>
      <c r="L262" s="114"/>
      <c r="M262" s="316"/>
      <c r="N262" s="155"/>
      <c r="O262" s="155"/>
      <c r="P262" s="155"/>
      <c r="Q262" s="155"/>
      <c r="S262" s="71"/>
    </row>
    <row r="263" spans="1:19" s="19" customFormat="1" x14ac:dyDescent="0.25">
      <c r="A263" s="224"/>
      <c r="B263" s="93"/>
      <c r="C263" s="112"/>
      <c r="D263" s="112"/>
      <c r="E263" s="112"/>
      <c r="F263" s="112"/>
      <c r="G263" s="112"/>
      <c r="H263" s="112"/>
      <c r="I263" s="112"/>
      <c r="J263" s="93"/>
      <c r="K263" s="112"/>
      <c r="L263" s="112"/>
      <c r="M263" s="112"/>
      <c r="N263" s="155"/>
      <c r="O263" s="155"/>
      <c r="P263" s="155"/>
      <c r="Q263" s="155"/>
      <c r="S263" s="71"/>
    </row>
    <row r="264" spans="1:19" s="19" customFormat="1" ht="18.75" x14ac:dyDescent="0.3">
      <c r="A264" s="250"/>
      <c r="B264" s="114"/>
      <c r="C264" s="114"/>
      <c r="D264" s="114"/>
      <c r="E264" s="114"/>
      <c r="F264" s="114"/>
      <c r="G264" s="114"/>
      <c r="H264" s="114"/>
      <c r="I264" s="141"/>
      <c r="J264" s="93"/>
      <c r="K264" s="114"/>
      <c r="L264" s="114"/>
      <c r="M264" s="316"/>
      <c r="N264" s="155"/>
      <c r="O264" s="155"/>
      <c r="P264" s="155"/>
      <c r="Q264" s="155"/>
      <c r="S264" s="71"/>
    </row>
    <row r="265" spans="1:19" s="19" customFormat="1" x14ac:dyDescent="0.25">
      <c r="A265" s="199"/>
      <c r="B265" s="93"/>
      <c r="C265" s="93"/>
      <c r="D265" s="93"/>
      <c r="E265" s="93"/>
      <c r="F265" s="93"/>
      <c r="G265" s="93"/>
      <c r="H265" s="93"/>
      <c r="I265" s="93"/>
      <c r="J265" s="93"/>
      <c r="K265" s="93"/>
      <c r="L265" s="93"/>
      <c r="M265" s="93"/>
      <c r="N265" s="155"/>
      <c r="O265" s="155"/>
      <c r="P265" s="155"/>
      <c r="Q265" s="155"/>
      <c r="S265" s="71"/>
    </row>
    <row r="266" spans="1:19" s="19" customFormat="1" x14ac:dyDescent="0.25">
      <c r="A266" s="225"/>
      <c r="B266" s="93"/>
      <c r="C266" s="93"/>
      <c r="D266" s="93"/>
      <c r="E266" s="93"/>
      <c r="F266" s="93"/>
      <c r="G266" s="93"/>
      <c r="H266" s="93"/>
      <c r="I266" s="93"/>
      <c r="J266" s="93"/>
      <c r="K266" s="93"/>
      <c r="L266" s="93"/>
      <c r="M266" s="93"/>
      <c r="N266" s="155"/>
      <c r="O266" s="155"/>
      <c r="P266" s="155"/>
      <c r="Q266" s="155"/>
      <c r="R266" s="102">
        <f>+R238-R259</f>
        <v>0</v>
      </c>
      <c r="S266" s="71"/>
    </row>
    <row r="267" spans="1:19" s="19" customFormat="1" x14ac:dyDescent="0.25">
      <c r="A267" s="211"/>
      <c r="B267" s="93"/>
      <c r="C267" s="93"/>
      <c r="D267" s="93"/>
      <c r="E267" s="93"/>
      <c r="F267" s="93"/>
      <c r="G267" s="93"/>
      <c r="H267" s="93"/>
      <c r="I267" s="93"/>
      <c r="J267" s="93"/>
      <c r="K267" s="93"/>
      <c r="L267" s="93"/>
      <c r="M267" s="93"/>
      <c r="N267" s="155"/>
      <c r="O267" s="155"/>
      <c r="P267" s="155"/>
      <c r="Q267" s="155"/>
      <c r="R267" s="102">
        <f>+R239-R260</f>
        <v>0</v>
      </c>
      <c r="S267" s="71"/>
    </row>
    <row r="268" spans="1:19" s="19" customFormat="1" x14ac:dyDescent="0.25">
      <c r="A268" s="199"/>
      <c r="B268" s="93"/>
      <c r="C268" s="93"/>
      <c r="D268" s="93"/>
      <c r="E268" s="93"/>
      <c r="F268" s="93"/>
      <c r="G268" s="93"/>
      <c r="H268" s="93"/>
      <c r="I268" s="93"/>
      <c r="J268" s="93"/>
      <c r="K268" s="93"/>
      <c r="L268" s="93"/>
      <c r="M268" s="93"/>
      <c r="N268" s="155"/>
      <c r="O268" s="155"/>
      <c r="P268" s="155"/>
      <c r="Q268" s="155"/>
      <c r="R268" s="102">
        <f>+R240-R261</f>
        <v>0</v>
      </c>
      <c r="S268" s="71"/>
    </row>
    <row r="269" spans="1:19" s="19" customFormat="1" ht="18.75" x14ac:dyDescent="0.3">
      <c r="A269" s="251"/>
      <c r="B269" s="93"/>
      <c r="C269" s="93"/>
      <c r="D269" s="93"/>
      <c r="E269" s="93"/>
      <c r="F269" s="93"/>
      <c r="G269" s="93"/>
      <c r="H269" s="93"/>
      <c r="I269" s="93"/>
      <c r="J269" s="93"/>
      <c r="K269" s="93"/>
      <c r="L269" s="93"/>
      <c r="M269" s="93"/>
      <c r="N269" s="155"/>
      <c r="O269" s="155"/>
      <c r="P269" s="155"/>
      <c r="Q269" s="155"/>
      <c r="R269" s="102">
        <f>+R241-R262</f>
        <v>0</v>
      </c>
      <c r="S269" s="71"/>
    </row>
    <row r="270" spans="1:19" s="19" customFormat="1" x14ac:dyDescent="0.25">
      <c r="A270" s="114"/>
      <c r="B270" s="114"/>
      <c r="C270" s="114"/>
      <c r="D270" s="114"/>
      <c r="E270" s="114"/>
      <c r="F270" s="114"/>
      <c r="G270" s="114"/>
      <c r="H270" s="114"/>
      <c r="I270" s="114"/>
      <c r="J270" s="93"/>
      <c r="K270" s="114"/>
      <c r="L270" s="114"/>
      <c r="M270" s="316"/>
      <c r="N270" s="155"/>
      <c r="O270" s="155"/>
      <c r="P270" s="155"/>
      <c r="Q270" s="155"/>
      <c r="R270" s="102">
        <f>+R242-R263</f>
        <v>0</v>
      </c>
      <c r="S270" s="71"/>
    </row>
    <row r="271" spans="1:19" s="19" customFormat="1" x14ac:dyDescent="0.25">
      <c r="A271" s="252"/>
      <c r="B271" s="93"/>
      <c r="C271" s="93"/>
      <c r="D271" s="93"/>
      <c r="E271" s="93"/>
      <c r="F271" s="93"/>
      <c r="G271" s="93"/>
      <c r="H271" s="93"/>
      <c r="I271" s="93"/>
      <c r="J271" s="93"/>
      <c r="K271" s="93"/>
      <c r="L271" s="93"/>
      <c r="M271" s="93"/>
      <c r="N271" s="155"/>
      <c r="O271" s="155"/>
      <c r="P271" s="155"/>
      <c r="Q271" s="155"/>
      <c r="R271" s="102" t="e">
        <f>+#REF!-R264</f>
        <v>#REF!</v>
      </c>
      <c r="S271" s="71"/>
    </row>
    <row r="272" spans="1:19" s="19" customFormat="1" x14ac:dyDescent="0.25">
      <c r="A272" s="242"/>
      <c r="B272" s="93"/>
      <c r="C272" s="93"/>
      <c r="D272" s="93"/>
      <c r="E272" s="93"/>
      <c r="F272" s="93"/>
      <c r="G272" s="93"/>
      <c r="H272" s="93"/>
      <c r="I272" s="93"/>
      <c r="J272" s="93"/>
      <c r="K272" s="93"/>
      <c r="L272" s="93"/>
      <c r="M272" s="93"/>
      <c r="N272" s="155"/>
      <c r="O272" s="155"/>
      <c r="P272" s="155"/>
      <c r="Q272" s="155"/>
      <c r="S272" s="71"/>
    </row>
    <row r="273" spans="1:19" s="19" customFormat="1" x14ac:dyDescent="0.25">
      <c r="A273" s="253"/>
      <c r="B273" s="93"/>
      <c r="C273" s="93"/>
      <c r="D273" s="93"/>
      <c r="E273" s="93"/>
      <c r="F273" s="93"/>
      <c r="G273" s="93"/>
      <c r="H273" s="93"/>
      <c r="I273" s="93"/>
      <c r="J273" s="93"/>
      <c r="K273" s="93"/>
      <c r="L273" s="93"/>
      <c r="M273" s="93"/>
      <c r="N273" s="155"/>
      <c r="O273" s="155"/>
      <c r="P273" s="155"/>
      <c r="Q273" s="155"/>
      <c r="S273" s="71"/>
    </row>
    <row r="274" spans="1:19" s="19" customFormat="1" x14ac:dyDescent="0.25">
      <c r="A274" s="114"/>
      <c r="B274" s="114"/>
      <c r="C274" s="114"/>
      <c r="D274" s="114"/>
      <c r="E274" s="114"/>
      <c r="F274" s="114"/>
      <c r="G274" s="114"/>
      <c r="H274" s="114"/>
      <c r="I274" s="114"/>
      <c r="J274" s="114"/>
      <c r="K274" s="135"/>
      <c r="L274" s="135"/>
      <c r="M274" s="135"/>
      <c r="N274" s="155"/>
      <c r="O274" s="155"/>
      <c r="P274" s="155"/>
      <c r="Q274" s="155"/>
      <c r="S274" s="71"/>
    </row>
    <row r="275" spans="1:19" s="19" customFormat="1" x14ac:dyDescent="0.25">
      <c r="A275" s="199"/>
      <c r="B275" s="93"/>
      <c r="C275" s="93"/>
      <c r="D275" s="93"/>
      <c r="E275" s="93"/>
      <c r="F275" s="93"/>
      <c r="G275" s="93"/>
      <c r="H275" s="93"/>
      <c r="I275" s="93"/>
      <c r="J275" s="216"/>
      <c r="K275" s="93"/>
      <c r="L275" s="93"/>
      <c r="M275" s="93"/>
      <c r="N275" s="155"/>
      <c r="O275" s="155"/>
      <c r="P275" s="155"/>
      <c r="Q275" s="155"/>
      <c r="S275" s="71"/>
    </row>
    <row r="276" spans="1:19" s="19" customFormat="1" x14ac:dyDescent="0.25">
      <c r="A276" s="114"/>
      <c r="B276" s="93"/>
      <c r="C276" s="93"/>
      <c r="D276" s="93"/>
      <c r="E276" s="93"/>
      <c r="F276" s="93"/>
      <c r="G276" s="93"/>
      <c r="H276" s="93"/>
      <c r="I276" s="93"/>
      <c r="J276" s="141"/>
      <c r="K276" s="93"/>
      <c r="L276" s="93"/>
      <c r="M276" s="93"/>
      <c r="N276" s="155"/>
      <c r="O276" s="155"/>
      <c r="P276" s="155"/>
      <c r="Q276" s="155"/>
      <c r="S276" s="71"/>
    </row>
    <row r="277" spans="1:19" s="19" customFormat="1" x14ac:dyDescent="0.25">
      <c r="A277" s="199"/>
      <c r="B277" s="93"/>
      <c r="C277" s="93"/>
      <c r="D277" s="93"/>
      <c r="E277" s="93"/>
      <c r="F277" s="93"/>
      <c r="G277" s="93"/>
      <c r="H277" s="93"/>
      <c r="I277" s="93"/>
      <c r="J277" s="141"/>
      <c r="K277" s="93"/>
      <c r="L277" s="93"/>
      <c r="M277" s="93"/>
      <c r="N277" s="155"/>
      <c r="O277" s="155"/>
      <c r="P277" s="155"/>
      <c r="Q277" s="155"/>
      <c r="S277" s="71"/>
    </row>
    <row r="278" spans="1:19" s="19" customFormat="1" x14ac:dyDescent="0.25">
      <c r="A278" s="252"/>
      <c r="B278" s="93"/>
      <c r="C278" s="93"/>
      <c r="D278" s="93"/>
      <c r="E278" s="93"/>
      <c r="F278" s="93"/>
      <c r="G278" s="93"/>
      <c r="H278" s="93"/>
      <c r="I278" s="93"/>
      <c r="J278" s="141"/>
      <c r="K278" s="93"/>
      <c r="L278" s="93"/>
      <c r="M278" s="93"/>
      <c r="N278" s="155"/>
      <c r="O278" s="155"/>
      <c r="P278" s="155"/>
      <c r="Q278" s="155"/>
      <c r="S278" s="71"/>
    </row>
    <row r="279" spans="1:19" s="19" customFormat="1" x14ac:dyDescent="0.25">
      <c r="A279" s="211"/>
      <c r="B279" s="93"/>
      <c r="C279" s="93"/>
      <c r="D279" s="93"/>
      <c r="E279" s="93"/>
      <c r="F279" s="93"/>
      <c r="G279" s="93"/>
      <c r="H279" s="93"/>
      <c r="I279" s="93"/>
      <c r="J279" s="141"/>
      <c r="K279" s="93"/>
      <c r="L279" s="93"/>
      <c r="M279" s="93"/>
      <c r="N279" s="155"/>
      <c r="O279" s="155"/>
      <c r="P279" s="155"/>
      <c r="Q279" s="155"/>
      <c r="S279" s="71"/>
    </row>
    <row r="280" spans="1:19" s="19" customFormat="1" x14ac:dyDescent="0.25">
      <c r="A280" s="114"/>
      <c r="B280" s="93"/>
      <c r="C280" s="93"/>
      <c r="D280" s="93"/>
      <c r="E280" s="93"/>
      <c r="F280" s="93"/>
      <c r="G280" s="93"/>
      <c r="H280" s="93"/>
      <c r="I280" s="93"/>
      <c r="J280" s="141"/>
      <c r="K280" s="93"/>
      <c r="L280" s="93"/>
      <c r="M280" s="93"/>
      <c r="N280" s="155"/>
      <c r="O280" s="155"/>
      <c r="P280" s="155"/>
      <c r="Q280" s="155"/>
      <c r="S280" s="71"/>
    </row>
    <row r="281" spans="1:19" s="19" customFormat="1" x14ac:dyDescent="0.25">
      <c r="A281" s="199"/>
      <c r="B281" s="93"/>
      <c r="C281" s="93"/>
      <c r="D281" s="93"/>
      <c r="E281" s="93"/>
      <c r="F281" s="93"/>
      <c r="G281" s="93"/>
      <c r="H281" s="93"/>
      <c r="I281" s="93"/>
      <c r="J281" s="93"/>
      <c r="K281" s="114"/>
      <c r="L281" s="114"/>
      <c r="M281" s="316"/>
      <c r="N281" s="155"/>
      <c r="O281" s="155"/>
      <c r="P281" s="155"/>
      <c r="Q281" s="155"/>
      <c r="S281" s="71"/>
    </row>
    <row r="282" spans="1:19" s="19" customFormat="1" x14ac:dyDescent="0.25">
      <c r="A282" s="254"/>
      <c r="B282" s="93"/>
      <c r="C282" s="93"/>
      <c r="D282" s="93"/>
      <c r="E282" s="93"/>
      <c r="F282" s="93"/>
      <c r="G282" s="93"/>
      <c r="H282" s="93"/>
      <c r="I282" s="93"/>
      <c r="J282" s="93"/>
      <c r="K282" s="93"/>
      <c r="L282" s="93"/>
      <c r="M282" s="93"/>
      <c r="N282" s="155"/>
      <c r="O282" s="155"/>
      <c r="P282" s="155"/>
      <c r="Q282" s="155"/>
      <c r="S282" s="71"/>
    </row>
    <row r="283" spans="1:19" s="19" customFormat="1" x14ac:dyDescent="0.25">
      <c r="A283" s="211"/>
      <c r="B283" s="93"/>
      <c r="C283" s="93"/>
      <c r="D283" s="93"/>
      <c r="E283" s="93"/>
      <c r="F283" s="93"/>
      <c r="G283" s="93"/>
      <c r="H283" s="93"/>
      <c r="I283" s="93"/>
      <c r="J283" s="93"/>
      <c r="K283" s="93"/>
      <c r="L283" s="93"/>
      <c r="M283" s="93"/>
      <c r="N283" s="155"/>
      <c r="O283" s="155"/>
      <c r="P283" s="155"/>
      <c r="Q283" s="155"/>
      <c r="S283" s="71"/>
    </row>
    <row r="284" spans="1:19" s="66" customFormat="1" x14ac:dyDescent="0.25">
      <c r="A284" s="254"/>
      <c r="B284" s="93"/>
      <c r="C284" s="93"/>
      <c r="D284" s="93"/>
      <c r="E284" s="93"/>
      <c r="F284" s="93"/>
      <c r="G284" s="93"/>
      <c r="H284" s="93"/>
      <c r="I284" s="93"/>
      <c r="J284" s="93"/>
      <c r="K284" s="93"/>
      <c r="L284" s="93"/>
      <c r="M284" s="93"/>
      <c r="N284" s="155"/>
      <c r="O284" s="155"/>
      <c r="P284" s="155"/>
      <c r="Q284" s="155"/>
      <c r="S284" s="71"/>
    </row>
    <row r="285" spans="1:19" s="19" customFormat="1" x14ac:dyDescent="0.25">
      <c r="A285" s="255"/>
      <c r="B285" s="244"/>
      <c r="C285" s="244"/>
      <c r="D285" s="244"/>
      <c r="E285" s="244"/>
      <c r="F285" s="244"/>
      <c r="G285" s="244"/>
      <c r="H285" s="244"/>
      <c r="I285" s="244"/>
      <c r="J285" s="244"/>
      <c r="K285" s="244"/>
      <c r="L285" s="244"/>
      <c r="M285" s="244"/>
      <c r="N285" s="256"/>
      <c r="O285" s="256"/>
      <c r="P285" s="256"/>
      <c r="Q285" s="256"/>
      <c r="S285" s="71"/>
    </row>
    <row r="286" spans="1:19" s="19" customFormat="1" x14ac:dyDescent="0.25">
      <c r="A286" s="254"/>
      <c r="B286" s="93"/>
      <c r="C286" s="93"/>
      <c r="D286" s="93"/>
      <c r="E286" s="93"/>
      <c r="F286" s="93"/>
      <c r="G286" s="93"/>
      <c r="H286" s="93"/>
      <c r="I286" s="93"/>
      <c r="J286" s="93"/>
      <c r="K286" s="93"/>
      <c r="L286" s="93"/>
      <c r="M286" s="93"/>
      <c r="N286" s="155"/>
      <c r="O286" s="155"/>
      <c r="P286" s="155"/>
      <c r="Q286" s="155"/>
      <c r="S286" s="71"/>
    </row>
    <row r="287" spans="1:19" s="19" customFormat="1" x14ac:dyDescent="0.25">
      <c r="A287" s="114"/>
      <c r="B287" s="114"/>
      <c r="C287" s="114"/>
      <c r="D287" s="114"/>
      <c r="E287" s="114"/>
      <c r="F287" s="114"/>
      <c r="G287" s="114"/>
      <c r="H287" s="114"/>
      <c r="I287" s="114"/>
      <c r="J287" s="114"/>
      <c r="K287" s="114"/>
      <c r="L287" s="114"/>
      <c r="M287" s="316"/>
      <c r="N287" s="155"/>
      <c r="O287" s="155"/>
      <c r="P287" s="155"/>
      <c r="Q287" s="155"/>
      <c r="S287" s="71"/>
    </row>
    <row r="288" spans="1:19" s="19" customFormat="1" x14ac:dyDescent="0.25">
      <c r="A288" s="211"/>
      <c r="B288" s="93"/>
      <c r="C288" s="93"/>
      <c r="D288" s="93"/>
      <c r="E288" s="93"/>
      <c r="F288" s="93"/>
      <c r="G288" s="93"/>
      <c r="H288" s="93"/>
      <c r="I288" s="93"/>
      <c r="J288" s="93"/>
      <c r="K288" s="93"/>
      <c r="L288" s="93"/>
      <c r="M288" s="93"/>
      <c r="N288" s="155"/>
      <c r="O288" s="155"/>
      <c r="P288" s="155"/>
      <c r="Q288" s="155"/>
      <c r="S288" s="71"/>
    </row>
    <row r="289" spans="1:19" s="19" customFormat="1" x14ac:dyDescent="0.25">
      <c r="A289" s="211"/>
      <c r="B289" s="110"/>
      <c r="C289" s="111"/>
      <c r="D289" s="111"/>
      <c r="E289" s="111"/>
      <c r="F289" s="111"/>
      <c r="G289" s="111"/>
      <c r="H289" s="111"/>
      <c r="I289" s="111"/>
      <c r="J289" s="105"/>
      <c r="K289" s="183"/>
      <c r="L289" s="183"/>
      <c r="M289" s="183"/>
      <c r="N289" s="155"/>
      <c r="O289" s="155"/>
      <c r="P289" s="155"/>
      <c r="Q289" s="155"/>
      <c r="S289" s="71"/>
    </row>
    <row r="290" spans="1:19" s="19" customFormat="1" x14ac:dyDescent="0.25">
      <c r="A290" s="114"/>
      <c r="B290" s="93"/>
      <c r="C290" s="112"/>
      <c r="D290" s="112"/>
      <c r="E290" s="112"/>
      <c r="F290" s="112"/>
      <c r="G290" s="112"/>
      <c r="H290" s="112"/>
      <c r="I290" s="112"/>
      <c r="J290" s="105"/>
      <c r="K290" s="112"/>
      <c r="L290" s="112"/>
      <c r="M290" s="112"/>
      <c r="N290" s="155"/>
      <c r="O290" s="155"/>
      <c r="P290" s="155"/>
      <c r="Q290" s="155"/>
      <c r="S290" s="71"/>
    </row>
    <row r="291" spans="1:19" s="19" customFormat="1" x14ac:dyDescent="0.25">
      <c r="A291" s="211"/>
      <c r="B291" s="93"/>
      <c r="C291" s="93"/>
      <c r="D291" s="93"/>
      <c r="E291" s="93"/>
      <c r="F291" s="93"/>
      <c r="G291" s="93"/>
      <c r="H291" s="93"/>
      <c r="I291" s="93"/>
      <c r="J291" s="105"/>
      <c r="K291" s="112"/>
      <c r="L291" s="112"/>
      <c r="M291" s="112"/>
      <c r="N291" s="155"/>
      <c r="O291" s="155"/>
      <c r="P291" s="155"/>
      <c r="Q291" s="155"/>
      <c r="S291" s="71"/>
    </row>
    <row r="292" spans="1:19" s="19" customFormat="1" x14ac:dyDescent="0.25">
      <c r="A292" s="114"/>
      <c r="B292" s="93"/>
      <c r="C292" s="112"/>
      <c r="D292" s="112"/>
      <c r="E292" s="112"/>
      <c r="F292" s="112"/>
      <c r="G292" s="112"/>
      <c r="H292" s="112"/>
      <c r="I292" s="112"/>
      <c r="J292" s="105"/>
      <c r="K292" s="112"/>
      <c r="L292" s="112"/>
      <c r="M292" s="112"/>
      <c r="N292" s="155"/>
      <c r="O292" s="155"/>
      <c r="P292" s="155"/>
      <c r="Q292" s="155"/>
      <c r="S292" s="71"/>
    </row>
    <row r="293" spans="1:19" s="19" customFormat="1" x14ac:dyDescent="0.25">
      <c r="A293" s="211"/>
      <c r="B293" s="93"/>
      <c r="C293" s="93"/>
      <c r="D293" s="93"/>
      <c r="E293" s="93"/>
      <c r="F293" s="93"/>
      <c r="G293" s="93"/>
      <c r="H293" s="93"/>
      <c r="I293" s="93"/>
      <c r="J293" s="105"/>
      <c r="K293" s="112"/>
      <c r="L293" s="112"/>
      <c r="M293" s="112"/>
      <c r="N293" s="155"/>
      <c r="O293" s="155"/>
      <c r="P293" s="155"/>
      <c r="Q293" s="155"/>
      <c r="S293" s="71"/>
    </row>
    <row r="294" spans="1:19" s="19" customFormat="1" x14ac:dyDescent="0.25">
      <c r="A294" s="114"/>
      <c r="B294" s="93"/>
      <c r="C294" s="112"/>
      <c r="D294" s="112"/>
      <c r="E294" s="112"/>
      <c r="F294" s="112"/>
      <c r="G294" s="112"/>
      <c r="H294" s="112"/>
      <c r="I294" s="112"/>
      <c r="J294" s="112"/>
      <c r="K294" s="112"/>
      <c r="L294" s="112"/>
      <c r="M294" s="112"/>
      <c r="N294" s="155"/>
      <c r="O294" s="155"/>
      <c r="P294" s="155"/>
      <c r="Q294" s="155"/>
      <c r="S294" s="71"/>
    </row>
    <row r="295" spans="1:19" s="19" customFormat="1" x14ac:dyDescent="0.25">
      <c r="A295" s="255"/>
      <c r="B295" s="135"/>
      <c r="C295" s="135"/>
      <c r="D295" s="135"/>
      <c r="E295" s="135"/>
      <c r="F295" s="135"/>
      <c r="G295" s="135"/>
      <c r="H295" s="135"/>
      <c r="I295" s="135"/>
      <c r="J295" s="135"/>
      <c r="K295" s="135"/>
      <c r="L295" s="135"/>
      <c r="M295" s="135"/>
      <c r="N295" s="155"/>
      <c r="O295" s="155"/>
      <c r="P295" s="155"/>
      <c r="Q295" s="155"/>
      <c r="S295" s="71"/>
    </row>
    <row r="296" spans="1:19" s="19" customFormat="1" x14ac:dyDescent="0.25">
      <c r="A296" s="114"/>
      <c r="B296" s="114"/>
      <c r="C296" s="114"/>
      <c r="D296" s="114"/>
      <c r="E296" s="114"/>
      <c r="F296" s="114"/>
      <c r="G296" s="114"/>
      <c r="H296" s="114"/>
      <c r="I296" s="114"/>
      <c r="J296" s="114"/>
      <c r="K296" s="114"/>
      <c r="L296" s="114"/>
      <c r="M296" s="316"/>
      <c r="N296" s="155"/>
      <c r="O296" s="155"/>
      <c r="P296" s="155"/>
      <c r="Q296" s="155"/>
      <c r="S296" s="71"/>
    </row>
    <row r="297" spans="1:19" s="19" customFormat="1" x14ac:dyDescent="0.25">
      <c r="A297" s="114"/>
      <c r="B297" s="114"/>
      <c r="C297" s="114"/>
      <c r="D297" s="114"/>
      <c r="E297" s="114"/>
      <c r="F297" s="114"/>
      <c r="G297" s="114"/>
      <c r="H297" s="114"/>
      <c r="I297" s="114"/>
      <c r="J297" s="114"/>
      <c r="K297" s="114"/>
      <c r="L297" s="114"/>
      <c r="M297" s="316"/>
      <c r="N297" s="155"/>
      <c r="O297" s="155"/>
      <c r="P297" s="155"/>
      <c r="Q297" s="155"/>
      <c r="S297" s="71"/>
    </row>
    <row r="298" spans="1:19" s="67" customFormat="1" x14ac:dyDescent="0.25">
      <c r="A298" s="224"/>
      <c r="B298" s="93"/>
      <c r="C298" s="112"/>
      <c r="D298" s="112"/>
      <c r="E298" s="112"/>
      <c r="F298" s="112"/>
      <c r="G298" s="112"/>
      <c r="H298" s="112"/>
      <c r="I298" s="112"/>
      <c r="J298" s="93"/>
      <c r="K298" s="112"/>
      <c r="L298" s="112"/>
      <c r="M298" s="112"/>
      <c r="N298" s="155"/>
      <c r="O298" s="155"/>
      <c r="P298" s="155"/>
      <c r="Q298" s="155"/>
      <c r="S298" s="187"/>
    </row>
    <row r="299" spans="1:19" s="19" customFormat="1" ht="18.75" x14ac:dyDescent="0.3">
      <c r="A299" s="257"/>
      <c r="B299" s="116"/>
      <c r="C299" s="116"/>
      <c r="D299" s="116"/>
      <c r="E299" s="116"/>
      <c r="F299" s="116"/>
      <c r="G299" s="116"/>
      <c r="H299" s="116"/>
      <c r="I299" s="116"/>
      <c r="J299" s="93"/>
      <c r="K299" s="116"/>
      <c r="L299" s="116"/>
      <c r="M299" s="116"/>
      <c r="N299" s="183"/>
      <c r="O299" s="183"/>
      <c r="P299" s="183"/>
      <c r="Q299" s="183"/>
      <c r="S299" s="71"/>
    </row>
    <row r="300" spans="1:19" s="19" customFormat="1" x14ac:dyDescent="0.25">
      <c r="A300" s="208"/>
      <c r="B300" s="105"/>
      <c r="C300" s="105"/>
      <c r="D300" s="105"/>
      <c r="E300" s="105"/>
      <c r="F300" s="105"/>
      <c r="G300" s="105"/>
      <c r="H300" s="105"/>
      <c r="I300" s="105"/>
      <c r="J300" s="93"/>
      <c r="K300" s="105"/>
      <c r="L300" s="105"/>
      <c r="M300" s="315"/>
      <c r="N300" s="155"/>
      <c r="O300" s="155"/>
      <c r="P300" s="155"/>
      <c r="Q300" s="155"/>
      <c r="S300" s="71"/>
    </row>
    <row r="301" spans="1:19" s="19" customFormat="1" x14ac:dyDescent="0.25">
      <c r="A301" s="231"/>
      <c r="B301" s="105"/>
      <c r="C301" s="105"/>
      <c r="D301" s="105"/>
      <c r="E301" s="105"/>
      <c r="F301" s="105"/>
      <c r="G301" s="105"/>
      <c r="H301" s="105"/>
      <c r="I301" s="105"/>
      <c r="J301" s="93"/>
      <c r="K301" s="105"/>
      <c r="L301" s="105"/>
      <c r="M301" s="315"/>
      <c r="N301" s="155"/>
      <c r="O301" s="155"/>
      <c r="P301" s="155"/>
      <c r="Q301" s="155"/>
      <c r="S301" s="71"/>
    </row>
    <row r="302" spans="1:19" s="19" customFormat="1" x14ac:dyDescent="0.25">
      <c r="A302" s="242"/>
      <c r="B302" s="105"/>
      <c r="C302" s="105"/>
      <c r="D302" s="105"/>
      <c r="E302" s="105"/>
      <c r="F302" s="105"/>
      <c r="G302" s="105"/>
      <c r="H302" s="105"/>
      <c r="I302" s="105"/>
      <c r="J302" s="93"/>
      <c r="K302" s="105"/>
      <c r="L302" s="105"/>
      <c r="M302" s="315"/>
      <c r="N302" s="155"/>
      <c r="O302" s="155"/>
      <c r="P302" s="155"/>
      <c r="Q302" s="155"/>
      <c r="S302" s="71"/>
    </row>
    <row r="303" spans="1:19" s="19" customFormat="1" x14ac:dyDescent="0.25">
      <c r="A303" s="211"/>
      <c r="B303" s="105"/>
      <c r="C303" s="105"/>
      <c r="D303" s="105"/>
      <c r="E303" s="105"/>
      <c r="F303" s="105"/>
      <c r="G303" s="105"/>
      <c r="H303" s="105"/>
      <c r="I303" s="105"/>
      <c r="J303" s="93"/>
      <c r="K303" s="105"/>
      <c r="L303" s="105"/>
      <c r="M303" s="315"/>
      <c r="N303" s="155"/>
      <c r="O303" s="155"/>
      <c r="P303" s="155"/>
      <c r="Q303" s="155"/>
      <c r="S303" s="71"/>
    </row>
    <row r="304" spans="1:19" s="19" customFormat="1" x14ac:dyDescent="0.25">
      <c r="A304" s="243"/>
      <c r="B304" s="105"/>
      <c r="C304" s="105"/>
      <c r="D304" s="105"/>
      <c r="E304" s="105"/>
      <c r="F304" s="105"/>
      <c r="G304" s="105"/>
      <c r="H304" s="105"/>
      <c r="I304" s="105"/>
      <c r="J304" s="93"/>
      <c r="K304" s="105"/>
      <c r="L304" s="105"/>
      <c r="M304" s="315"/>
      <c r="N304" s="155"/>
      <c r="O304" s="155"/>
      <c r="P304" s="155"/>
      <c r="Q304" s="155"/>
      <c r="S304" s="71"/>
    </row>
    <row r="305" spans="1:19" s="19" customFormat="1" x14ac:dyDescent="0.25">
      <c r="A305" s="224"/>
      <c r="B305" s="105"/>
      <c r="C305" s="105"/>
      <c r="D305" s="105"/>
      <c r="E305" s="105"/>
      <c r="F305" s="105"/>
      <c r="G305" s="105"/>
      <c r="H305" s="105"/>
      <c r="I305" s="105"/>
      <c r="J305" s="93"/>
      <c r="K305" s="105"/>
      <c r="L305" s="105"/>
      <c r="M305" s="315"/>
      <c r="N305" s="155"/>
      <c r="O305" s="155"/>
      <c r="P305" s="155"/>
      <c r="Q305" s="155"/>
      <c r="S305" s="71"/>
    </row>
    <row r="306" spans="1:19" s="19" customFormat="1" x14ac:dyDescent="0.25">
      <c r="A306" s="224"/>
      <c r="B306" s="93"/>
      <c r="C306" s="112"/>
      <c r="D306" s="112"/>
      <c r="E306" s="112"/>
      <c r="F306" s="112"/>
      <c r="G306" s="112"/>
      <c r="H306" s="112"/>
      <c r="I306" s="112"/>
      <c r="J306" s="93"/>
      <c r="K306" s="112"/>
      <c r="L306" s="112"/>
      <c r="M306" s="112"/>
      <c r="N306" s="155"/>
      <c r="O306" s="155"/>
      <c r="P306" s="155"/>
      <c r="Q306" s="155"/>
      <c r="S306" s="71"/>
    </row>
    <row r="307" spans="1:19" s="19" customFormat="1" x14ac:dyDescent="0.25">
      <c r="A307" s="254"/>
      <c r="B307" s="93"/>
      <c r="C307" s="93"/>
      <c r="D307" s="93"/>
      <c r="E307" s="93"/>
      <c r="F307" s="93"/>
      <c r="G307" s="93"/>
      <c r="H307" s="93"/>
      <c r="I307" s="93"/>
      <c r="J307" s="93"/>
      <c r="K307" s="93"/>
      <c r="L307" s="93"/>
      <c r="M307" s="93"/>
      <c r="N307" s="155"/>
      <c r="O307" s="155"/>
      <c r="P307" s="155"/>
      <c r="Q307" s="155"/>
      <c r="S307" s="71"/>
    </row>
    <row r="308" spans="1:19" s="19" customFormat="1" x14ac:dyDescent="0.25">
      <c r="A308" s="114"/>
      <c r="B308" s="93"/>
      <c r="C308" s="93"/>
      <c r="D308" s="93"/>
      <c r="E308" s="93"/>
      <c r="F308" s="93"/>
      <c r="G308" s="93"/>
      <c r="H308" s="93"/>
      <c r="I308" s="93"/>
      <c r="J308" s="93"/>
      <c r="K308" s="93"/>
      <c r="L308" s="93"/>
      <c r="M308" s="93"/>
      <c r="N308" s="155"/>
      <c r="O308" s="155"/>
      <c r="P308" s="155"/>
      <c r="Q308" s="155"/>
      <c r="S308" s="71"/>
    </row>
    <row r="309" spans="1:19" s="19" customFormat="1" ht="18.75" x14ac:dyDescent="0.3">
      <c r="A309" s="258"/>
      <c r="B309" s="116"/>
      <c r="C309" s="116"/>
      <c r="D309" s="116"/>
      <c r="E309" s="116"/>
      <c r="F309" s="136"/>
      <c r="G309" s="116"/>
      <c r="H309" s="116"/>
      <c r="I309" s="116"/>
      <c r="J309" s="116"/>
      <c r="K309" s="116"/>
      <c r="L309" s="116"/>
      <c r="M309" s="116"/>
      <c r="N309" s="155"/>
      <c r="O309" s="155"/>
      <c r="P309" s="155"/>
      <c r="Q309" s="155"/>
      <c r="S309" s="71"/>
    </row>
    <row r="310" spans="1:19" s="19" customFormat="1" x14ac:dyDescent="0.25">
      <c r="A310" s="259"/>
      <c r="B310" s="93"/>
      <c r="C310" s="93"/>
      <c r="D310" s="93"/>
      <c r="E310" s="93"/>
      <c r="F310" s="93"/>
      <c r="G310" s="93"/>
      <c r="H310" s="93"/>
      <c r="I310" s="93"/>
      <c r="J310" s="118"/>
      <c r="K310" s="118"/>
      <c r="L310" s="118"/>
      <c r="M310" s="118"/>
      <c r="N310" s="155"/>
      <c r="O310" s="155"/>
      <c r="P310" s="155"/>
      <c r="Q310" s="155"/>
      <c r="S310" s="71"/>
    </row>
    <row r="311" spans="1:19" s="19" customFormat="1" ht="18.75" x14ac:dyDescent="0.3">
      <c r="A311" s="258"/>
      <c r="B311" s="93"/>
      <c r="C311" s="93"/>
      <c r="D311" s="93"/>
      <c r="E311" s="93"/>
      <c r="F311" s="93"/>
      <c r="G311" s="93"/>
      <c r="H311" s="93"/>
      <c r="I311" s="93"/>
      <c r="J311" s="93"/>
      <c r="K311" s="118"/>
      <c r="L311" s="118"/>
      <c r="M311" s="118"/>
      <c r="N311" s="155"/>
      <c r="O311" s="155"/>
      <c r="P311" s="155"/>
      <c r="Q311" s="155"/>
      <c r="S311" s="71"/>
    </row>
    <row r="312" spans="1:19" s="19" customFormat="1" ht="18.75" x14ac:dyDescent="0.3">
      <c r="A312" s="260"/>
      <c r="B312" s="93"/>
      <c r="C312" s="93"/>
      <c r="D312" s="93"/>
      <c r="E312" s="93"/>
      <c r="F312" s="93"/>
      <c r="G312" s="93"/>
      <c r="H312" s="93"/>
      <c r="I312" s="93"/>
      <c r="J312" s="93"/>
      <c r="K312" s="93"/>
      <c r="L312" s="93"/>
      <c r="M312" s="93"/>
      <c r="N312" s="155"/>
      <c r="O312" s="155"/>
      <c r="P312" s="155"/>
      <c r="Q312" s="155"/>
      <c r="S312" s="71"/>
    </row>
    <row r="313" spans="1:19" s="19" customFormat="1" ht="18.75" x14ac:dyDescent="0.3">
      <c r="A313" s="261"/>
      <c r="B313" s="93"/>
      <c r="C313" s="93"/>
      <c r="D313" s="93"/>
      <c r="E313" s="93"/>
      <c r="F313" s="93"/>
      <c r="G313" s="93"/>
      <c r="H313" s="93"/>
      <c r="I313" s="93"/>
      <c r="J313" s="118"/>
      <c r="K313" s="118"/>
      <c r="L313" s="118"/>
      <c r="M313" s="118"/>
      <c r="N313" s="155"/>
      <c r="O313" s="155"/>
      <c r="P313" s="155"/>
      <c r="Q313" s="155"/>
      <c r="S313" s="71"/>
    </row>
    <row r="314" spans="1:19" s="19" customFormat="1" x14ac:dyDescent="0.25">
      <c r="A314" s="241"/>
      <c r="B314" s="93"/>
      <c r="C314" s="93"/>
      <c r="D314" s="93"/>
      <c r="E314" s="93"/>
      <c r="F314" s="93"/>
      <c r="G314" s="93"/>
      <c r="H314" s="93"/>
      <c r="I314" s="93"/>
      <c r="J314" s="93"/>
      <c r="K314" s="93"/>
      <c r="L314" s="93"/>
      <c r="M314" s="93"/>
      <c r="N314" s="155"/>
      <c r="O314" s="155"/>
      <c r="P314" s="155"/>
      <c r="Q314" s="155"/>
      <c r="S314" s="71"/>
    </row>
    <row r="315" spans="1:19" s="19" customFormat="1" x14ac:dyDescent="0.25">
      <c r="A315" s="262"/>
      <c r="B315" s="93"/>
      <c r="C315" s="93"/>
      <c r="D315" s="93"/>
      <c r="E315" s="93"/>
      <c r="F315" s="93"/>
      <c r="G315" s="93"/>
      <c r="H315" s="93"/>
      <c r="I315" s="93"/>
      <c r="J315" s="93"/>
      <c r="K315" s="93"/>
      <c r="L315" s="93"/>
      <c r="M315" s="93"/>
      <c r="N315" s="155"/>
      <c r="O315" s="155"/>
      <c r="P315" s="155"/>
      <c r="Q315" s="155"/>
      <c r="S315" s="71"/>
    </row>
    <row r="316" spans="1:19" s="19" customFormat="1" x14ac:dyDescent="0.25">
      <c r="A316" s="263"/>
      <c r="B316" s="93"/>
      <c r="C316" s="93"/>
      <c r="D316" s="93"/>
      <c r="E316" s="93"/>
      <c r="F316" s="93"/>
      <c r="G316" s="93"/>
      <c r="H316" s="93"/>
      <c r="I316" s="93"/>
      <c r="J316" s="93"/>
      <c r="K316" s="93"/>
      <c r="L316" s="93"/>
      <c r="M316" s="93"/>
      <c r="N316" s="155"/>
      <c r="O316" s="155"/>
      <c r="P316" s="155"/>
      <c r="Q316" s="155"/>
      <c r="S316" s="71"/>
    </row>
    <row r="317" spans="1:19" s="19" customFormat="1" x14ac:dyDescent="0.25">
      <c r="A317" s="264"/>
      <c r="B317" s="93"/>
      <c r="C317" s="93"/>
      <c r="D317" s="93"/>
      <c r="E317" s="93"/>
      <c r="F317" s="93"/>
      <c r="G317" s="93"/>
      <c r="H317" s="93"/>
      <c r="I317" s="93"/>
      <c r="J317" s="93"/>
      <c r="K317" s="93"/>
      <c r="L317" s="93"/>
      <c r="M317" s="93"/>
      <c r="N317" s="155"/>
      <c r="O317" s="155"/>
      <c r="P317" s="155"/>
      <c r="Q317" s="155"/>
      <c r="S317" s="71"/>
    </row>
    <row r="318" spans="1:19" s="19" customFormat="1" x14ac:dyDescent="0.25">
      <c r="A318" s="265"/>
      <c r="B318" s="93"/>
      <c r="C318" s="93"/>
      <c r="D318" s="93"/>
      <c r="E318" s="93"/>
      <c r="F318" s="93"/>
      <c r="G318" s="93"/>
      <c r="H318" s="93"/>
      <c r="I318" s="93"/>
      <c r="J318" s="93"/>
      <c r="K318" s="93"/>
      <c r="L318" s="93"/>
      <c r="M318" s="93"/>
      <c r="N318" s="155"/>
      <c r="O318" s="155"/>
      <c r="P318" s="155"/>
      <c r="Q318" s="155"/>
      <c r="S318" s="71"/>
    </row>
    <row r="319" spans="1:19" s="19" customFormat="1" x14ac:dyDescent="0.25">
      <c r="A319" s="243"/>
      <c r="B319" s="93"/>
      <c r="C319" s="93"/>
      <c r="D319" s="93"/>
      <c r="E319" s="93"/>
      <c r="F319" s="93"/>
      <c r="G319" s="93"/>
      <c r="H319" s="93"/>
      <c r="I319" s="93"/>
      <c r="J319" s="93"/>
      <c r="K319" s="93"/>
      <c r="L319" s="93"/>
      <c r="M319" s="93"/>
      <c r="N319" s="155"/>
      <c r="O319" s="155"/>
      <c r="P319" s="155"/>
      <c r="Q319" s="155"/>
      <c r="S319" s="71"/>
    </row>
    <row r="320" spans="1:19" s="19" customFormat="1" x14ac:dyDescent="0.25">
      <c r="A320" s="198"/>
      <c r="B320" s="93"/>
      <c r="C320" s="93"/>
      <c r="D320" s="93"/>
      <c r="E320" s="93"/>
      <c r="F320" s="93"/>
      <c r="G320" s="93"/>
      <c r="H320" s="93"/>
      <c r="I320" s="93"/>
      <c r="J320" s="112"/>
      <c r="K320" s="93"/>
      <c r="L320" s="93"/>
      <c r="M320" s="93"/>
      <c r="N320" s="155"/>
      <c r="O320" s="155"/>
      <c r="P320" s="155"/>
      <c r="Q320" s="155"/>
      <c r="S320" s="71"/>
    </row>
    <row r="321" spans="1:19" s="19" customFormat="1" ht="18.75" x14ac:dyDescent="0.3">
      <c r="A321" s="257"/>
      <c r="B321" s="93"/>
      <c r="C321" s="93"/>
      <c r="D321" s="93"/>
      <c r="E321" s="93"/>
      <c r="F321" s="93"/>
      <c r="G321" s="93"/>
      <c r="H321" s="93"/>
      <c r="I321" s="93"/>
      <c r="J321" s="93"/>
      <c r="K321" s="93"/>
      <c r="L321" s="93"/>
      <c r="M321" s="93"/>
      <c r="N321" s="155"/>
      <c r="O321" s="155"/>
      <c r="P321" s="155"/>
      <c r="Q321" s="155"/>
      <c r="S321" s="71"/>
    </row>
    <row r="322" spans="1:19" s="19" customFormat="1" x14ac:dyDescent="0.25">
      <c r="A322" s="198"/>
      <c r="B322" s="93"/>
      <c r="C322" s="93"/>
      <c r="D322" s="93"/>
      <c r="E322" s="93"/>
      <c r="F322" s="93"/>
      <c r="G322" s="93"/>
      <c r="H322" s="93"/>
      <c r="I322" s="93"/>
      <c r="J322" s="93"/>
      <c r="K322" s="140"/>
      <c r="L322" s="140"/>
      <c r="M322" s="140"/>
      <c r="N322" s="155"/>
      <c r="O322" s="155"/>
      <c r="P322" s="155"/>
      <c r="Q322" s="155"/>
      <c r="S322" s="71"/>
    </row>
    <row r="323" spans="1:19" s="19" customFormat="1" x14ac:dyDescent="0.25">
      <c r="A323" s="114"/>
      <c r="B323" s="114"/>
      <c r="C323" s="114"/>
      <c r="D323" s="114"/>
      <c r="E323" s="114"/>
      <c r="F323" s="114"/>
      <c r="G323" s="114"/>
      <c r="H323" s="114"/>
      <c r="I323" s="114"/>
      <c r="J323" s="114"/>
      <c r="K323" s="114"/>
      <c r="L323" s="114"/>
      <c r="M323" s="316"/>
      <c r="N323" s="155"/>
      <c r="O323" s="155"/>
      <c r="P323" s="155"/>
      <c r="Q323" s="155"/>
      <c r="S323" s="71"/>
    </row>
    <row r="324" spans="1:19" s="19" customFormat="1" x14ac:dyDescent="0.25">
      <c r="A324" s="114"/>
      <c r="B324" s="114"/>
      <c r="C324" s="114"/>
      <c r="D324" s="114"/>
      <c r="E324" s="114"/>
      <c r="F324" s="114"/>
      <c r="G324" s="114"/>
      <c r="H324" s="114"/>
      <c r="I324" s="114"/>
      <c r="J324" s="114"/>
      <c r="K324" s="114"/>
      <c r="L324" s="114"/>
      <c r="M324" s="316"/>
      <c r="N324" s="155"/>
      <c r="O324" s="155"/>
      <c r="P324" s="155"/>
      <c r="Q324" s="155"/>
      <c r="S324" s="71"/>
    </row>
    <row r="325" spans="1:19" s="19" customFormat="1" x14ac:dyDescent="0.25">
      <c r="A325" s="208"/>
      <c r="B325" s="184"/>
      <c r="C325" s="184"/>
      <c r="D325" s="184"/>
      <c r="E325" s="184"/>
      <c r="F325" s="184"/>
      <c r="G325" s="184"/>
      <c r="H325" s="184"/>
      <c r="I325" s="184"/>
      <c r="J325" s="184"/>
      <c r="K325" s="184"/>
      <c r="L325" s="184"/>
      <c r="M325" s="184"/>
      <c r="N325" s="155"/>
      <c r="O325" s="155"/>
      <c r="P325" s="155"/>
      <c r="Q325" s="155"/>
      <c r="S325" s="71"/>
    </row>
    <row r="326" spans="1:19" s="19" customFormat="1" x14ac:dyDescent="0.25">
      <c r="A326" s="114"/>
      <c r="B326" s="114"/>
      <c r="C326" s="114"/>
      <c r="D326" s="114"/>
      <c r="E326" s="114"/>
      <c r="F326" s="114"/>
      <c r="G326" s="114"/>
      <c r="H326" s="114"/>
      <c r="I326" s="114"/>
      <c r="J326" s="114"/>
      <c r="K326" s="114"/>
      <c r="L326" s="114"/>
      <c r="M326" s="316"/>
      <c r="N326" s="155"/>
      <c r="O326" s="155"/>
      <c r="P326" s="155"/>
      <c r="Q326" s="155"/>
      <c r="S326" s="71"/>
    </row>
    <row r="327" spans="1:19" s="19" customFormat="1" x14ac:dyDescent="0.25">
      <c r="A327" s="114"/>
      <c r="B327" s="114"/>
      <c r="C327" s="114"/>
      <c r="D327" s="114"/>
      <c r="E327" s="114"/>
      <c r="F327" s="114"/>
      <c r="G327" s="114"/>
      <c r="H327" s="114"/>
      <c r="I327" s="114"/>
      <c r="J327" s="114"/>
      <c r="K327" s="114"/>
      <c r="L327" s="114"/>
      <c r="M327" s="316"/>
      <c r="N327" s="155"/>
      <c r="O327" s="155"/>
      <c r="P327" s="155"/>
      <c r="Q327" s="155"/>
      <c r="S327" s="71"/>
    </row>
    <row r="328" spans="1:19" s="19" customFormat="1" x14ac:dyDescent="0.25">
      <c r="A328" s="241"/>
      <c r="B328" s="135"/>
      <c r="C328" s="135"/>
      <c r="D328" s="135"/>
      <c r="E328" s="135"/>
      <c r="F328" s="135"/>
      <c r="G328" s="135"/>
      <c r="H328" s="135"/>
      <c r="I328" s="135"/>
      <c r="J328" s="135"/>
      <c r="K328" s="135"/>
      <c r="L328" s="135"/>
      <c r="M328" s="135"/>
      <c r="N328" s="155"/>
      <c r="O328" s="155"/>
      <c r="P328" s="155"/>
      <c r="Q328" s="155"/>
      <c r="S328" s="71"/>
    </row>
    <row r="329" spans="1:19" s="19" customFormat="1" x14ac:dyDescent="0.25">
      <c r="A329" s="262"/>
      <c r="B329" s="135"/>
      <c r="C329" s="135"/>
      <c r="D329" s="135"/>
      <c r="E329" s="135"/>
      <c r="F329" s="135"/>
      <c r="G329" s="135"/>
      <c r="H329" s="135"/>
      <c r="I329" s="135"/>
      <c r="J329" s="135"/>
      <c r="K329" s="135"/>
      <c r="L329" s="135"/>
      <c r="M329" s="135"/>
      <c r="N329" s="155"/>
      <c r="O329" s="155"/>
      <c r="P329" s="155"/>
      <c r="Q329" s="155"/>
      <c r="S329" s="71"/>
    </row>
    <row r="330" spans="1:19" s="19" customFormat="1" x14ac:dyDescent="0.25">
      <c r="A330" s="263"/>
      <c r="B330" s="135"/>
      <c r="C330" s="135"/>
      <c r="D330" s="135"/>
      <c r="E330" s="135"/>
      <c r="F330" s="135"/>
      <c r="G330" s="135"/>
      <c r="H330" s="135"/>
      <c r="I330" s="135"/>
      <c r="J330" s="135"/>
      <c r="K330" s="135"/>
      <c r="L330" s="135"/>
      <c r="M330" s="135"/>
      <c r="N330" s="155"/>
      <c r="O330" s="155"/>
      <c r="P330" s="155"/>
      <c r="Q330" s="155"/>
      <c r="S330" s="71"/>
    </row>
    <row r="331" spans="1:19" s="19" customFormat="1" x14ac:dyDescent="0.25">
      <c r="A331" s="264"/>
      <c r="B331" s="135"/>
      <c r="C331" s="135"/>
      <c r="D331" s="135"/>
      <c r="E331" s="135"/>
      <c r="F331" s="135"/>
      <c r="G331" s="135"/>
      <c r="H331" s="135"/>
      <c r="I331" s="135"/>
      <c r="J331" s="135"/>
      <c r="K331" s="135"/>
      <c r="L331" s="135"/>
      <c r="M331" s="135"/>
      <c r="N331" s="155"/>
      <c r="O331" s="155"/>
      <c r="P331" s="155"/>
      <c r="Q331" s="155"/>
      <c r="S331" s="71"/>
    </row>
    <row r="332" spans="1:19" s="19" customFormat="1" x14ac:dyDescent="0.25">
      <c r="A332" s="243"/>
      <c r="B332" s="135"/>
      <c r="C332" s="135"/>
      <c r="D332" s="135"/>
      <c r="E332" s="135"/>
      <c r="F332" s="135"/>
      <c r="G332" s="135"/>
      <c r="H332" s="135"/>
      <c r="I332" s="135"/>
      <c r="J332" s="135"/>
      <c r="K332" s="135"/>
      <c r="L332" s="135"/>
      <c r="M332" s="135"/>
      <c r="N332" s="155"/>
      <c r="O332" s="155"/>
      <c r="P332" s="155"/>
      <c r="Q332" s="155"/>
      <c r="S332" s="71"/>
    </row>
    <row r="333" spans="1:19" s="19" customFormat="1" x14ac:dyDescent="0.25">
      <c r="A333" s="114"/>
      <c r="B333" s="135"/>
      <c r="C333" s="135"/>
      <c r="D333" s="135"/>
      <c r="E333" s="135"/>
      <c r="F333" s="135"/>
      <c r="G333" s="135"/>
      <c r="H333" s="135"/>
      <c r="I333" s="135"/>
      <c r="J333" s="135"/>
      <c r="K333" s="135"/>
      <c r="L333" s="135"/>
      <c r="M333" s="135"/>
      <c r="N333" s="155"/>
      <c r="O333" s="155"/>
      <c r="P333" s="155"/>
      <c r="Q333" s="155"/>
      <c r="S333" s="71"/>
    </row>
    <row r="334" spans="1:19" s="19" customFormat="1" x14ac:dyDescent="0.25">
      <c r="A334" s="241"/>
      <c r="B334" s="135"/>
      <c r="C334" s="135"/>
      <c r="D334" s="135"/>
      <c r="E334" s="135"/>
      <c r="F334" s="135"/>
      <c r="G334" s="135"/>
      <c r="H334" s="135"/>
      <c r="I334" s="135"/>
      <c r="J334" s="135"/>
      <c r="K334" s="135"/>
      <c r="L334" s="135"/>
      <c r="M334" s="135"/>
      <c r="N334" s="155"/>
      <c r="O334" s="155"/>
      <c r="P334" s="155"/>
      <c r="Q334" s="155"/>
      <c r="S334" s="71"/>
    </row>
    <row r="335" spans="1:19" s="19" customFormat="1" x14ac:dyDescent="0.25">
      <c r="A335" s="262"/>
      <c r="B335" s="135"/>
      <c r="C335" s="135"/>
      <c r="D335" s="135"/>
      <c r="E335" s="135"/>
      <c r="F335" s="135"/>
      <c r="G335" s="135"/>
      <c r="H335" s="135"/>
      <c r="I335" s="135"/>
      <c r="J335" s="135"/>
      <c r="K335" s="135"/>
      <c r="L335" s="135"/>
      <c r="M335" s="135"/>
      <c r="N335" s="155"/>
      <c r="O335" s="155"/>
      <c r="P335" s="155"/>
      <c r="Q335" s="155"/>
      <c r="S335" s="71"/>
    </row>
    <row r="336" spans="1:19" s="19" customFormat="1" x14ac:dyDescent="0.25">
      <c r="A336" s="263"/>
      <c r="B336" s="135"/>
      <c r="C336" s="135"/>
      <c r="D336" s="135"/>
      <c r="E336" s="135"/>
      <c r="F336" s="135"/>
      <c r="G336" s="135"/>
      <c r="H336" s="135"/>
      <c r="I336" s="135"/>
      <c r="J336" s="135"/>
      <c r="K336" s="135"/>
      <c r="L336" s="135"/>
      <c r="M336" s="135"/>
      <c r="N336" s="155"/>
      <c r="O336" s="155"/>
      <c r="P336" s="155"/>
      <c r="Q336" s="155"/>
      <c r="S336" s="71"/>
    </row>
    <row r="337" spans="1:19" s="19" customFormat="1" x14ac:dyDescent="0.25">
      <c r="A337" s="264"/>
      <c r="B337" s="135"/>
      <c r="C337" s="135"/>
      <c r="D337" s="135"/>
      <c r="E337" s="135"/>
      <c r="F337" s="135"/>
      <c r="G337" s="135"/>
      <c r="H337" s="135"/>
      <c r="I337" s="135"/>
      <c r="J337" s="135"/>
      <c r="K337" s="135"/>
      <c r="L337" s="135"/>
      <c r="M337" s="135"/>
      <c r="N337" s="155"/>
      <c r="O337" s="155"/>
      <c r="P337" s="155"/>
      <c r="Q337" s="155"/>
      <c r="S337" s="71"/>
    </row>
    <row r="338" spans="1:19" s="19" customFormat="1" x14ac:dyDescent="0.25">
      <c r="A338" s="243"/>
      <c r="B338" s="135"/>
      <c r="C338" s="135"/>
      <c r="D338" s="135"/>
      <c r="E338" s="135"/>
      <c r="F338" s="135"/>
      <c r="G338" s="135"/>
      <c r="H338" s="135"/>
      <c r="I338" s="135"/>
      <c r="J338" s="135"/>
      <c r="K338" s="135"/>
      <c r="L338" s="135"/>
      <c r="M338" s="135"/>
      <c r="N338" s="155"/>
      <c r="O338" s="155"/>
      <c r="P338" s="155"/>
      <c r="Q338" s="155"/>
      <c r="S338" s="71"/>
    </row>
    <row r="339" spans="1:19" s="19" customFormat="1" x14ac:dyDescent="0.25">
      <c r="A339" s="114"/>
      <c r="B339" s="135"/>
      <c r="C339" s="135"/>
      <c r="D339" s="135"/>
      <c r="E339" s="135"/>
      <c r="F339" s="135"/>
      <c r="G339" s="135"/>
      <c r="H339" s="135"/>
      <c r="I339" s="135"/>
      <c r="J339" s="135"/>
      <c r="K339" s="135"/>
      <c r="L339" s="135"/>
      <c r="M339" s="135"/>
      <c r="N339" s="155"/>
      <c r="O339" s="155"/>
      <c r="P339" s="155"/>
      <c r="Q339" s="155"/>
      <c r="S339" s="71"/>
    </row>
    <row r="340" spans="1:19" s="19" customFormat="1" x14ac:dyDescent="0.25">
      <c r="A340" s="114"/>
      <c r="B340" s="135"/>
      <c r="C340" s="135"/>
      <c r="D340" s="135"/>
      <c r="E340" s="135"/>
      <c r="F340" s="135"/>
      <c r="G340" s="135"/>
      <c r="H340" s="135"/>
      <c r="I340" s="135"/>
      <c r="J340" s="135"/>
      <c r="K340" s="135"/>
      <c r="L340" s="135"/>
      <c r="M340" s="135"/>
      <c r="N340" s="155"/>
      <c r="O340" s="155"/>
      <c r="P340" s="155"/>
      <c r="Q340" s="155"/>
      <c r="S340" s="71"/>
    </row>
    <row r="341" spans="1:19" s="19" customFormat="1" x14ac:dyDescent="0.25">
      <c r="A341" s="114"/>
      <c r="B341" s="114"/>
      <c r="C341" s="114"/>
      <c r="D341" s="114"/>
      <c r="E341" s="114"/>
      <c r="F341" s="114"/>
      <c r="G341" s="114"/>
      <c r="H341" s="114"/>
      <c r="I341" s="114"/>
      <c r="J341" s="114"/>
      <c r="K341" s="114"/>
      <c r="L341" s="114"/>
      <c r="M341" s="316"/>
      <c r="N341" s="155"/>
      <c r="O341" s="155"/>
      <c r="P341" s="155"/>
      <c r="Q341" s="155"/>
      <c r="S341" s="71"/>
    </row>
    <row r="342" spans="1:19" s="19" customFormat="1" x14ac:dyDescent="0.25">
      <c r="A342" s="241"/>
      <c r="B342" s="135"/>
      <c r="C342" s="135"/>
      <c r="D342" s="135"/>
      <c r="E342" s="135"/>
      <c r="F342" s="135"/>
      <c r="G342" s="135"/>
      <c r="H342" s="135"/>
      <c r="I342" s="135"/>
      <c r="J342" s="135"/>
      <c r="K342" s="135"/>
      <c r="L342" s="135"/>
      <c r="M342" s="135"/>
      <c r="N342" s="155"/>
      <c r="O342" s="155"/>
      <c r="P342" s="155"/>
      <c r="Q342" s="155"/>
      <c r="S342" s="71"/>
    </row>
    <row r="343" spans="1:19" s="19" customFormat="1" x14ac:dyDescent="0.25">
      <c r="A343" s="262"/>
      <c r="B343" s="135"/>
      <c r="C343" s="135"/>
      <c r="D343" s="135"/>
      <c r="E343" s="135"/>
      <c r="F343" s="135"/>
      <c r="G343" s="135"/>
      <c r="H343" s="135"/>
      <c r="I343" s="135"/>
      <c r="J343" s="135"/>
      <c r="K343" s="135"/>
      <c r="L343" s="135"/>
      <c r="M343" s="135"/>
      <c r="N343" s="155"/>
      <c r="O343" s="155"/>
      <c r="P343" s="155"/>
      <c r="Q343" s="155"/>
      <c r="S343" s="71"/>
    </row>
    <row r="344" spans="1:19" s="19" customFormat="1" x14ac:dyDescent="0.25">
      <c r="A344" s="263"/>
      <c r="B344" s="135"/>
      <c r="C344" s="135"/>
      <c r="D344" s="135"/>
      <c r="E344" s="135"/>
      <c r="F344" s="135"/>
      <c r="G344" s="135"/>
      <c r="H344" s="135"/>
      <c r="I344" s="135"/>
      <c r="J344" s="135"/>
      <c r="K344" s="135"/>
      <c r="L344" s="135"/>
      <c r="M344" s="135"/>
      <c r="N344" s="155"/>
      <c r="O344" s="155"/>
      <c r="P344" s="155"/>
      <c r="Q344" s="155"/>
      <c r="S344" s="71"/>
    </row>
    <row r="345" spans="1:19" s="19" customFormat="1" x14ac:dyDescent="0.25">
      <c r="A345" s="264"/>
      <c r="B345" s="135"/>
      <c r="C345" s="135"/>
      <c r="D345" s="135"/>
      <c r="E345" s="135"/>
      <c r="F345" s="135"/>
      <c r="G345" s="135"/>
      <c r="H345" s="135"/>
      <c r="I345" s="135"/>
      <c r="J345" s="135"/>
      <c r="K345" s="135"/>
      <c r="L345" s="135"/>
      <c r="M345" s="135"/>
      <c r="N345" s="155"/>
      <c r="O345" s="155"/>
      <c r="P345" s="155"/>
      <c r="Q345" s="155"/>
      <c r="S345" s="71"/>
    </row>
    <row r="346" spans="1:19" s="19" customFormat="1" x14ac:dyDescent="0.25">
      <c r="A346" s="264"/>
      <c r="B346" s="135"/>
      <c r="C346" s="135"/>
      <c r="D346" s="135"/>
      <c r="E346" s="135"/>
      <c r="F346" s="135"/>
      <c r="G346" s="135"/>
      <c r="H346" s="135"/>
      <c r="I346" s="135"/>
      <c r="J346" s="135"/>
      <c r="K346" s="135"/>
      <c r="L346" s="135"/>
      <c r="M346" s="135"/>
      <c r="N346" s="155"/>
      <c r="O346" s="155"/>
      <c r="P346" s="155"/>
      <c r="Q346" s="155"/>
      <c r="S346" s="71"/>
    </row>
    <row r="347" spans="1:19" s="19" customFormat="1" x14ac:dyDescent="0.25">
      <c r="A347" s="114"/>
      <c r="B347" s="114"/>
      <c r="C347" s="114"/>
      <c r="D347" s="114"/>
      <c r="E347" s="114"/>
      <c r="F347" s="114"/>
      <c r="G347" s="114"/>
      <c r="H347" s="114"/>
      <c r="I347" s="114"/>
      <c r="J347" s="114"/>
      <c r="K347" s="114"/>
      <c r="L347" s="114"/>
      <c r="M347" s="316"/>
      <c r="N347" s="155"/>
      <c r="O347" s="155"/>
      <c r="P347" s="155"/>
      <c r="Q347" s="155"/>
      <c r="S347" s="71"/>
    </row>
    <row r="348" spans="1:19" s="19" customFormat="1" x14ac:dyDescent="0.25">
      <c r="A348" s="114"/>
      <c r="B348" s="114"/>
      <c r="C348" s="114"/>
      <c r="D348" s="114"/>
      <c r="E348" s="114"/>
      <c r="F348" s="114"/>
      <c r="G348" s="114"/>
      <c r="H348" s="114"/>
      <c r="I348" s="114"/>
      <c r="J348" s="114"/>
      <c r="K348" s="114"/>
      <c r="L348" s="114"/>
      <c r="M348" s="316"/>
      <c r="N348" s="155"/>
      <c r="O348" s="155"/>
      <c r="P348" s="155"/>
      <c r="Q348" s="155"/>
      <c r="S348" s="71"/>
    </row>
    <row r="349" spans="1:19" s="19" customFormat="1" x14ac:dyDescent="0.25">
      <c r="A349" s="114"/>
      <c r="B349" s="114"/>
      <c r="C349" s="114"/>
      <c r="D349" s="114"/>
      <c r="E349" s="114"/>
      <c r="F349" s="114"/>
      <c r="G349" s="114"/>
      <c r="H349" s="114"/>
      <c r="I349" s="114"/>
      <c r="J349" s="114"/>
      <c r="K349" s="114"/>
      <c r="L349" s="114"/>
      <c r="M349" s="316"/>
      <c r="N349" s="155"/>
      <c r="O349" s="155"/>
      <c r="P349" s="155"/>
      <c r="Q349" s="155"/>
      <c r="S349" s="71"/>
    </row>
    <row r="350" spans="1:19" s="19" customFormat="1" ht="18.75" x14ac:dyDescent="0.3">
      <c r="A350" s="266"/>
      <c r="B350" s="93"/>
      <c r="C350" s="93"/>
      <c r="D350" s="93"/>
      <c r="E350" s="93"/>
      <c r="F350" s="93"/>
      <c r="G350" s="93"/>
      <c r="H350" s="93"/>
      <c r="I350" s="93"/>
      <c r="J350" s="93"/>
      <c r="K350" s="93"/>
      <c r="L350" s="93"/>
      <c r="M350" s="93"/>
      <c r="N350" s="155"/>
      <c r="O350" s="155"/>
      <c r="P350" s="155"/>
      <c r="Q350" s="155"/>
      <c r="S350" s="71"/>
    </row>
    <row r="351" spans="1:19" s="19" customFormat="1" x14ac:dyDescent="0.25">
      <c r="A351" s="267"/>
      <c r="B351" s="93"/>
      <c r="C351" s="180"/>
      <c r="D351" s="180"/>
      <c r="E351" s="180"/>
      <c r="F351" s="180"/>
      <c r="G351" s="180"/>
      <c r="H351" s="180"/>
      <c r="I351" s="180"/>
      <c r="J351" s="180"/>
      <c r="K351" s="180"/>
      <c r="L351" s="180"/>
      <c r="M351" s="319"/>
      <c r="N351" s="155"/>
      <c r="O351" s="155"/>
      <c r="P351" s="155"/>
      <c r="Q351" s="155"/>
      <c r="S351" s="71"/>
    </row>
    <row r="352" spans="1:19" s="19" customFormat="1" x14ac:dyDescent="0.25">
      <c r="A352" s="224"/>
      <c r="B352" s="93"/>
      <c r="C352" s="180"/>
      <c r="D352" s="180"/>
      <c r="E352" s="180"/>
      <c r="F352" s="180"/>
      <c r="G352" s="180"/>
      <c r="H352" s="180"/>
      <c r="I352" s="180"/>
      <c r="J352" s="93"/>
      <c r="K352" s="180"/>
      <c r="L352" s="180"/>
      <c r="M352" s="319"/>
      <c r="N352" s="155"/>
      <c r="O352" s="155"/>
      <c r="P352" s="155"/>
      <c r="Q352" s="155"/>
      <c r="S352" s="71"/>
    </row>
    <row r="353" spans="1:19" s="19" customFormat="1" x14ac:dyDescent="0.25">
      <c r="A353" s="114"/>
      <c r="B353" s="114"/>
      <c r="C353" s="114"/>
      <c r="D353" s="114"/>
      <c r="E353" s="114"/>
      <c r="F353" s="114"/>
      <c r="G353" s="114"/>
      <c r="H353" s="114"/>
      <c r="I353" s="114"/>
      <c r="J353" s="114"/>
      <c r="K353" s="114"/>
      <c r="L353" s="114"/>
      <c r="M353" s="316"/>
      <c r="N353" s="155"/>
      <c r="O353" s="155"/>
      <c r="P353" s="155"/>
      <c r="Q353" s="155"/>
      <c r="S353" s="71"/>
    </row>
    <row r="354" spans="1:19" s="19" customFormat="1" x14ac:dyDescent="0.25">
      <c r="A354" s="114"/>
      <c r="B354" s="114"/>
      <c r="C354" s="114"/>
      <c r="D354" s="114"/>
      <c r="E354" s="114"/>
      <c r="F354" s="114"/>
      <c r="G354" s="114"/>
      <c r="H354" s="114"/>
      <c r="I354" s="114"/>
      <c r="J354" s="114"/>
      <c r="K354" s="114"/>
      <c r="L354" s="114"/>
      <c r="M354" s="316"/>
      <c r="N354" s="155"/>
      <c r="O354" s="155"/>
      <c r="P354" s="155"/>
      <c r="Q354" s="155"/>
      <c r="S354" s="71"/>
    </row>
    <row r="355" spans="1:19" s="19" customFormat="1" x14ac:dyDescent="0.25">
      <c r="A355" s="114"/>
      <c r="B355" s="114"/>
      <c r="C355" s="114"/>
      <c r="D355" s="114"/>
      <c r="E355" s="114"/>
      <c r="F355" s="114"/>
      <c r="G355" s="114"/>
      <c r="H355" s="114"/>
      <c r="I355" s="114"/>
      <c r="J355" s="114"/>
      <c r="K355" s="114"/>
      <c r="L355" s="114"/>
      <c r="M355" s="316"/>
      <c r="N355" s="155"/>
      <c r="O355" s="155"/>
      <c r="P355" s="155"/>
      <c r="Q355" s="155"/>
      <c r="S355" s="71"/>
    </row>
    <row r="356" spans="1:19" s="19" customFormat="1" x14ac:dyDescent="0.25">
      <c r="A356" s="114"/>
      <c r="B356" s="114"/>
      <c r="C356" s="114"/>
      <c r="D356" s="114"/>
      <c r="E356" s="114"/>
      <c r="F356" s="114"/>
      <c r="G356" s="114"/>
      <c r="H356" s="114"/>
      <c r="I356" s="114"/>
      <c r="J356" s="114"/>
      <c r="K356" s="114"/>
      <c r="L356" s="114"/>
      <c r="M356" s="316"/>
      <c r="N356" s="155"/>
      <c r="O356" s="155"/>
      <c r="P356" s="155"/>
      <c r="Q356" s="155"/>
      <c r="S356" s="71"/>
    </row>
    <row r="357" spans="1:19" s="19" customFormat="1" x14ac:dyDescent="0.25">
      <c r="A357" s="114"/>
      <c r="B357" s="114"/>
      <c r="C357" s="114"/>
      <c r="D357" s="114"/>
      <c r="E357" s="114"/>
      <c r="F357" s="114"/>
      <c r="G357" s="114"/>
      <c r="H357" s="114"/>
      <c r="I357" s="114"/>
      <c r="J357" s="114"/>
      <c r="K357" s="114"/>
      <c r="L357" s="114"/>
      <c r="M357" s="316"/>
      <c r="N357" s="155"/>
      <c r="O357" s="155"/>
      <c r="P357" s="155"/>
      <c r="Q357" s="155"/>
      <c r="S357" s="71"/>
    </row>
    <row r="358" spans="1:19" s="19" customFormat="1" x14ac:dyDescent="0.25">
      <c r="A358" s="114"/>
      <c r="B358" s="114"/>
      <c r="C358" s="114"/>
      <c r="D358" s="114"/>
      <c r="E358" s="114"/>
      <c r="F358" s="114"/>
      <c r="G358" s="114"/>
      <c r="H358" s="114"/>
      <c r="I358" s="114"/>
      <c r="J358" s="114"/>
      <c r="K358" s="114"/>
      <c r="L358" s="114"/>
      <c r="M358" s="316"/>
      <c r="N358" s="155"/>
      <c r="O358" s="155"/>
      <c r="P358" s="155"/>
      <c r="Q358" s="155"/>
      <c r="S358" s="71"/>
    </row>
    <row r="359" spans="1:19" s="19" customFormat="1" x14ac:dyDescent="0.25">
      <c r="A359" s="114"/>
      <c r="B359" s="114"/>
      <c r="C359" s="114"/>
      <c r="D359" s="114"/>
      <c r="E359" s="114"/>
      <c r="F359" s="114"/>
      <c r="G359" s="114"/>
      <c r="H359" s="114"/>
      <c r="I359" s="114"/>
      <c r="J359" s="114"/>
      <c r="K359" s="114"/>
      <c r="L359" s="114"/>
      <c r="M359" s="316"/>
      <c r="N359" s="155"/>
      <c r="O359" s="155"/>
      <c r="P359" s="155"/>
      <c r="Q359" s="155"/>
      <c r="S359" s="71"/>
    </row>
    <row r="360" spans="1:19" s="137" customFormat="1" x14ac:dyDescent="0.25">
      <c r="A360" s="114"/>
      <c r="B360" s="114"/>
      <c r="C360" s="114"/>
      <c r="D360" s="114"/>
      <c r="E360" s="114"/>
      <c r="F360" s="114"/>
      <c r="G360" s="114"/>
      <c r="H360" s="114"/>
      <c r="I360" s="114"/>
      <c r="J360" s="114"/>
      <c r="K360" s="114"/>
      <c r="L360" s="114"/>
      <c r="M360" s="316"/>
      <c r="N360" s="155"/>
      <c r="O360" s="155"/>
      <c r="P360" s="155"/>
      <c r="Q360" s="155"/>
      <c r="S360" s="71"/>
    </row>
    <row r="361" spans="1:19" s="19" customFormat="1" x14ac:dyDescent="0.25">
      <c r="A361" s="268"/>
      <c r="B361" s="268"/>
      <c r="C361" s="268"/>
      <c r="D361" s="268"/>
      <c r="E361" s="268"/>
      <c r="F361" s="268"/>
      <c r="G361" s="268"/>
      <c r="H361" s="268"/>
      <c r="I361" s="268"/>
      <c r="J361" s="268"/>
      <c r="K361" s="268"/>
      <c r="L361" s="268"/>
      <c r="M361" s="268"/>
      <c r="N361" s="155"/>
      <c r="O361" s="155"/>
      <c r="P361" s="155"/>
      <c r="Q361" s="155"/>
      <c r="S361" s="71"/>
    </row>
    <row r="362" spans="1:19" s="19" customFormat="1" x14ac:dyDescent="0.25">
      <c r="A362" s="114"/>
      <c r="B362" s="114"/>
      <c r="C362" s="114"/>
      <c r="D362" s="114"/>
      <c r="E362" s="114"/>
      <c r="F362" s="114"/>
      <c r="G362" s="114"/>
      <c r="H362" s="114"/>
      <c r="I362" s="114"/>
      <c r="J362" s="114"/>
      <c r="K362" s="114"/>
      <c r="L362" s="114"/>
      <c r="M362" s="316"/>
      <c r="N362" s="155"/>
      <c r="O362" s="155"/>
      <c r="P362" s="155"/>
      <c r="Q362" s="155"/>
      <c r="S362" s="71"/>
    </row>
    <row r="363" spans="1:19" s="19" customFormat="1" x14ac:dyDescent="0.25">
      <c r="A363" s="114"/>
      <c r="B363" s="114"/>
      <c r="C363" s="114"/>
      <c r="D363" s="114"/>
      <c r="E363" s="114"/>
      <c r="F363" s="114"/>
      <c r="G363" s="114"/>
      <c r="H363" s="114"/>
      <c r="I363" s="114"/>
      <c r="J363" s="114"/>
      <c r="K363" s="114"/>
      <c r="L363" s="114"/>
      <c r="M363" s="316"/>
      <c r="N363" s="155"/>
      <c r="O363" s="155"/>
      <c r="P363" s="155"/>
      <c r="Q363" s="155"/>
      <c r="S363" s="71"/>
    </row>
    <row r="364" spans="1:19" s="19" customFormat="1" x14ac:dyDescent="0.25">
      <c r="A364" s="114"/>
      <c r="B364" s="114"/>
      <c r="C364" s="114"/>
      <c r="D364" s="114"/>
      <c r="E364" s="114"/>
      <c r="F364" s="114"/>
      <c r="G364" s="114"/>
      <c r="H364" s="114"/>
      <c r="I364" s="114"/>
      <c r="J364" s="114"/>
      <c r="K364" s="114"/>
      <c r="L364" s="114"/>
      <c r="M364" s="316"/>
      <c r="N364" s="155"/>
      <c r="O364" s="155"/>
      <c r="P364" s="155"/>
      <c r="Q364" s="155"/>
      <c r="S364" s="71"/>
    </row>
    <row r="365" spans="1:19" s="19" customFormat="1" x14ac:dyDescent="0.25">
      <c r="A365" s="114"/>
      <c r="B365" s="114"/>
      <c r="C365" s="114"/>
      <c r="D365" s="114"/>
      <c r="E365" s="114"/>
      <c r="F365" s="114"/>
      <c r="G365" s="114"/>
      <c r="H365" s="114"/>
      <c r="I365" s="114"/>
      <c r="J365" s="114"/>
      <c r="K365" s="114"/>
      <c r="L365" s="114"/>
      <c r="M365" s="316"/>
      <c r="N365" s="155"/>
      <c r="O365" s="155"/>
      <c r="P365" s="155"/>
      <c r="Q365" s="155"/>
      <c r="S365" s="71"/>
    </row>
    <row r="366" spans="1:19" s="19" customFormat="1" x14ac:dyDescent="0.25">
      <c r="A366" s="114"/>
      <c r="B366" s="114"/>
      <c r="C366" s="114"/>
      <c r="D366" s="114"/>
      <c r="E366" s="114"/>
      <c r="F366" s="114"/>
      <c r="G366" s="114"/>
      <c r="H366" s="114"/>
      <c r="I366" s="114"/>
      <c r="J366" s="114"/>
      <c r="K366" s="114"/>
      <c r="L366" s="114"/>
      <c r="M366" s="316"/>
      <c r="N366" s="155"/>
      <c r="O366" s="155"/>
      <c r="P366" s="155"/>
      <c r="Q366" s="155"/>
      <c r="S366" s="71"/>
    </row>
    <row r="367" spans="1:19" s="19" customFormat="1" x14ac:dyDescent="0.25">
      <c r="A367" s="114"/>
      <c r="B367" s="114"/>
      <c r="C367" s="114"/>
      <c r="D367" s="114"/>
      <c r="E367" s="114"/>
      <c r="F367" s="114"/>
      <c r="G367" s="114"/>
      <c r="H367" s="114"/>
      <c r="I367" s="114"/>
      <c r="J367" s="114"/>
      <c r="K367" s="114"/>
      <c r="L367" s="114"/>
      <c r="M367" s="316"/>
      <c r="N367" s="155"/>
      <c r="O367" s="155"/>
      <c r="P367" s="155"/>
      <c r="Q367" s="155"/>
      <c r="S367" s="71"/>
    </row>
    <row r="368" spans="1:19" s="19" customFormat="1" x14ac:dyDescent="0.25">
      <c r="A368" s="114"/>
      <c r="B368" s="114"/>
      <c r="C368" s="114"/>
      <c r="D368" s="114"/>
      <c r="E368" s="114"/>
      <c r="F368" s="114"/>
      <c r="G368" s="114"/>
      <c r="H368" s="114"/>
      <c r="I368" s="114"/>
      <c r="J368" s="114"/>
      <c r="K368" s="114"/>
      <c r="L368" s="114"/>
      <c r="M368" s="316"/>
      <c r="N368" s="155"/>
      <c r="O368" s="155"/>
      <c r="P368" s="155"/>
      <c r="Q368" s="155"/>
      <c r="S368" s="71"/>
    </row>
    <row r="369" spans="1:19" s="19" customFormat="1" x14ac:dyDescent="0.25">
      <c r="A369" s="114"/>
      <c r="B369" s="114"/>
      <c r="C369" s="114"/>
      <c r="D369" s="114"/>
      <c r="E369" s="114"/>
      <c r="F369" s="114"/>
      <c r="G369" s="114"/>
      <c r="H369" s="114"/>
      <c r="I369" s="114"/>
      <c r="J369" s="114"/>
      <c r="K369" s="114"/>
      <c r="L369" s="114"/>
      <c r="M369" s="316"/>
      <c r="N369" s="155"/>
      <c r="O369" s="155"/>
      <c r="P369" s="155"/>
      <c r="Q369" s="155"/>
      <c r="S369" s="71"/>
    </row>
    <row r="370" spans="1:19" s="19" customFormat="1" x14ac:dyDescent="0.25">
      <c r="A370" s="114"/>
      <c r="B370" s="114"/>
      <c r="C370" s="114"/>
      <c r="D370" s="114"/>
      <c r="E370" s="114"/>
      <c r="F370" s="114"/>
      <c r="G370" s="114"/>
      <c r="H370" s="114"/>
      <c r="I370" s="114"/>
      <c r="J370" s="114"/>
      <c r="K370" s="114"/>
      <c r="L370" s="114"/>
      <c r="M370" s="316"/>
      <c r="N370" s="155"/>
      <c r="O370" s="155"/>
      <c r="P370" s="155"/>
      <c r="Q370" s="155"/>
      <c r="S370" s="71"/>
    </row>
    <row r="371" spans="1:19" s="19" customFormat="1" x14ac:dyDescent="0.25">
      <c r="A371" s="114"/>
      <c r="B371" s="114"/>
      <c r="C371" s="114"/>
      <c r="D371" s="114"/>
      <c r="E371" s="114"/>
      <c r="F371" s="114"/>
      <c r="G371" s="114"/>
      <c r="H371" s="114"/>
      <c r="I371" s="114"/>
      <c r="J371" s="114"/>
      <c r="K371" s="114"/>
      <c r="L371" s="114"/>
      <c r="M371" s="316"/>
      <c r="N371" s="155"/>
      <c r="O371" s="155"/>
      <c r="P371" s="155"/>
      <c r="Q371" s="155"/>
      <c r="S371" s="71"/>
    </row>
    <row r="372" spans="1:19" s="19" customFormat="1" x14ac:dyDescent="0.25">
      <c r="A372" s="114"/>
      <c r="B372" s="114"/>
      <c r="C372" s="114"/>
      <c r="D372" s="114"/>
      <c r="E372" s="114"/>
      <c r="F372" s="114"/>
      <c r="G372" s="114"/>
      <c r="H372" s="114"/>
      <c r="I372" s="114"/>
      <c r="J372" s="114"/>
      <c r="K372" s="114"/>
      <c r="L372" s="114"/>
      <c r="M372" s="316"/>
      <c r="N372" s="155"/>
      <c r="O372" s="155"/>
      <c r="P372" s="155"/>
      <c r="Q372" s="155"/>
      <c r="S372" s="71"/>
    </row>
    <row r="373" spans="1:19" s="19" customFormat="1" x14ac:dyDescent="0.25">
      <c r="A373" s="114"/>
      <c r="B373" s="114"/>
      <c r="C373" s="114"/>
      <c r="D373" s="114"/>
      <c r="E373" s="114"/>
      <c r="F373" s="114"/>
      <c r="G373" s="114"/>
      <c r="H373" s="114"/>
      <c r="I373" s="114"/>
      <c r="J373" s="114"/>
      <c r="K373" s="114"/>
      <c r="L373" s="114"/>
      <c r="M373" s="316"/>
      <c r="N373" s="155"/>
      <c r="O373" s="155"/>
      <c r="P373" s="155"/>
      <c r="Q373" s="155"/>
      <c r="S373" s="71"/>
    </row>
    <row r="374" spans="1:19" s="19" customFormat="1" x14ac:dyDescent="0.25">
      <c r="A374" s="114"/>
      <c r="B374" s="114"/>
      <c r="C374" s="114"/>
      <c r="D374" s="114"/>
      <c r="E374" s="114"/>
      <c r="F374" s="114"/>
      <c r="G374" s="114"/>
      <c r="H374" s="114"/>
      <c r="I374" s="114"/>
      <c r="J374" s="114"/>
      <c r="K374" s="114"/>
      <c r="L374" s="114"/>
      <c r="M374" s="316"/>
      <c r="N374" s="155"/>
      <c r="O374" s="155"/>
      <c r="P374" s="155"/>
      <c r="Q374" s="155"/>
      <c r="S374" s="71"/>
    </row>
    <row r="375" spans="1:19" s="19" customFormat="1" x14ac:dyDescent="0.25">
      <c r="A375" s="114"/>
      <c r="B375" s="114"/>
      <c r="C375" s="114"/>
      <c r="D375" s="114"/>
      <c r="E375" s="114"/>
      <c r="F375" s="114"/>
      <c r="G375" s="114"/>
      <c r="H375" s="114"/>
      <c r="I375" s="114"/>
      <c r="J375" s="114"/>
      <c r="K375" s="114"/>
      <c r="L375" s="114"/>
      <c r="M375" s="316"/>
      <c r="N375" s="155"/>
      <c r="O375" s="155"/>
      <c r="P375" s="155"/>
      <c r="Q375" s="155"/>
      <c r="S375" s="71"/>
    </row>
    <row r="376" spans="1:19" s="19" customFormat="1" x14ac:dyDescent="0.25">
      <c r="A376" s="114"/>
      <c r="B376" s="114"/>
      <c r="C376" s="114"/>
      <c r="D376" s="114"/>
      <c r="E376" s="114"/>
      <c r="F376" s="114"/>
      <c r="G376" s="114"/>
      <c r="H376" s="114"/>
      <c r="I376" s="114"/>
      <c r="J376" s="114"/>
      <c r="K376" s="114"/>
      <c r="L376" s="114"/>
      <c r="M376" s="316"/>
      <c r="N376" s="155"/>
      <c r="O376" s="155"/>
      <c r="P376" s="155"/>
      <c r="Q376" s="155"/>
      <c r="S376" s="71"/>
    </row>
    <row r="377" spans="1:19" s="19" customFormat="1" x14ac:dyDescent="0.25">
      <c r="A377" s="114"/>
      <c r="B377" s="114"/>
      <c r="C377" s="114"/>
      <c r="D377" s="114"/>
      <c r="E377" s="114"/>
      <c r="F377" s="114"/>
      <c r="G377" s="114"/>
      <c r="H377" s="114"/>
      <c r="I377" s="114"/>
      <c r="J377" s="114"/>
      <c r="K377" s="114"/>
      <c r="L377" s="114"/>
      <c r="M377" s="316"/>
      <c r="N377" s="155"/>
      <c r="O377" s="155"/>
      <c r="P377" s="155"/>
      <c r="Q377" s="155"/>
      <c r="S377" s="71"/>
    </row>
    <row r="378" spans="1:19" s="19" customFormat="1" x14ac:dyDescent="0.25">
      <c r="A378" s="114"/>
      <c r="B378" s="114"/>
      <c r="C378" s="114"/>
      <c r="D378" s="114"/>
      <c r="E378" s="114"/>
      <c r="F378" s="114"/>
      <c r="G378" s="114"/>
      <c r="H378" s="114"/>
      <c r="I378" s="114"/>
      <c r="J378" s="114"/>
      <c r="K378" s="114"/>
      <c r="L378" s="114"/>
      <c r="M378" s="316"/>
      <c r="N378" s="155"/>
      <c r="O378" s="155"/>
      <c r="P378" s="155"/>
      <c r="Q378" s="155"/>
      <c r="S378" s="71"/>
    </row>
    <row r="379" spans="1:19" s="19" customFormat="1" x14ac:dyDescent="0.25">
      <c r="A379" s="114"/>
      <c r="B379" s="114"/>
      <c r="C379" s="114"/>
      <c r="D379" s="114"/>
      <c r="E379" s="114"/>
      <c r="F379" s="114"/>
      <c r="G379" s="114"/>
      <c r="H379" s="114"/>
      <c r="I379" s="114"/>
      <c r="J379" s="114"/>
      <c r="K379" s="114"/>
      <c r="L379" s="114"/>
      <c r="M379" s="316"/>
      <c r="N379" s="155"/>
      <c r="O379" s="155"/>
      <c r="P379" s="155"/>
      <c r="Q379" s="155"/>
      <c r="S379" s="71"/>
    </row>
    <row r="380" spans="1:19" s="19" customFormat="1" x14ac:dyDescent="0.25">
      <c r="A380" s="114"/>
      <c r="B380" s="114"/>
      <c r="C380" s="114"/>
      <c r="D380" s="114"/>
      <c r="E380" s="114"/>
      <c r="F380" s="114"/>
      <c r="G380" s="114"/>
      <c r="H380" s="114"/>
      <c r="I380" s="114"/>
      <c r="J380" s="114"/>
      <c r="K380" s="114"/>
      <c r="L380" s="114"/>
      <c r="M380" s="316"/>
      <c r="N380" s="155"/>
      <c r="O380" s="155"/>
      <c r="P380" s="155"/>
      <c r="Q380" s="155"/>
      <c r="S380" s="71"/>
    </row>
    <row r="381" spans="1:19" s="19" customFormat="1" x14ac:dyDescent="0.25">
      <c r="A381" s="114"/>
      <c r="B381" s="114"/>
      <c r="C381" s="114"/>
      <c r="D381" s="114"/>
      <c r="E381" s="114"/>
      <c r="F381" s="114"/>
      <c r="G381" s="114"/>
      <c r="H381" s="114"/>
      <c r="I381" s="114"/>
      <c r="J381" s="114"/>
      <c r="K381" s="114"/>
      <c r="L381" s="114"/>
      <c r="M381" s="316"/>
      <c r="N381" s="155"/>
      <c r="O381" s="155"/>
      <c r="P381" s="155"/>
      <c r="Q381" s="155"/>
      <c r="S381" s="71"/>
    </row>
    <row r="382" spans="1:19" s="19" customFormat="1" x14ac:dyDescent="0.25">
      <c r="A382" s="114"/>
      <c r="B382" s="114"/>
      <c r="C382" s="114"/>
      <c r="D382" s="114"/>
      <c r="E382" s="114"/>
      <c r="F382" s="114"/>
      <c r="G382" s="114"/>
      <c r="H382" s="114"/>
      <c r="I382" s="114"/>
      <c r="J382" s="114"/>
      <c r="K382" s="114"/>
      <c r="L382" s="114"/>
      <c r="M382" s="316"/>
      <c r="N382" s="155"/>
      <c r="O382" s="155"/>
      <c r="P382" s="155"/>
      <c r="Q382" s="155"/>
      <c r="S382" s="71"/>
    </row>
    <row r="383" spans="1:19" s="19" customFormat="1" x14ac:dyDescent="0.25">
      <c r="A383" s="114"/>
      <c r="B383" s="114"/>
      <c r="C383" s="114"/>
      <c r="D383" s="114"/>
      <c r="E383" s="114"/>
      <c r="F383" s="114"/>
      <c r="G383" s="114"/>
      <c r="H383" s="114"/>
      <c r="I383" s="114"/>
      <c r="J383" s="114"/>
      <c r="K383" s="114"/>
      <c r="L383" s="114"/>
      <c r="M383" s="316"/>
      <c r="N383" s="155"/>
      <c r="O383" s="155"/>
      <c r="P383" s="155"/>
      <c r="Q383" s="155"/>
      <c r="S383" s="71"/>
    </row>
    <row r="384" spans="1:19" s="19" customFormat="1" x14ac:dyDescent="0.25">
      <c r="A384" s="114"/>
      <c r="B384" s="114"/>
      <c r="C384" s="114"/>
      <c r="D384" s="114"/>
      <c r="E384" s="114"/>
      <c r="F384" s="114"/>
      <c r="G384" s="114"/>
      <c r="H384" s="114"/>
      <c r="I384" s="114"/>
      <c r="J384" s="114"/>
      <c r="K384" s="114"/>
      <c r="L384" s="114"/>
      <c r="M384" s="316"/>
      <c r="N384" s="155"/>
      <c r="O384" s="155"/>
      <c r="P384" s="155"/>
      <c r="Q384" s="155"/>
      <c r="S384" s="71"/>
    </row>
    <row r="385" spans="1:19" s="19" customFormat="1" x14ac:dyDescent="0.25">
      <c r="A385" s="114"/>
      <c r="B385" s="114"/>
      <c r="C385" s="114"/>
      <c r="D385" s="114"/>
      <c r="E385" s="114"/>
      <c r="F385" s="114"/>
      <c r="G385" s="114"/>
      <c r="H385" s="114"/>
      <c r="I385" s="114"/>
      <c r="J385" s="114"/>
      <c r="K385" s="114"/>
      <c r="L385" s="114"/>
      <c r="M385" s="316"/>
      <c r="N385" s="155"/>
      <c r="O385" s="155"/>
      <c r="P385" s="155"/>
      <c r="Q385" s="155"/>
      <c r="S385" s="71"/>
    </row>
    <row r="386" spans="1:19" s="19" customFormat="1" x14ac:dyDescent="0.25">
      <c r="A386" s="114"/>
      <c r="B386" s="114"/>
      <c r="C386" s="114"/>
      <c r="D386" s="114"/>
      <c r="E386" s="114"/>
      <c r="F386" s="114"/>
      <c r="G386" s="114"/>
      <c r="H386" s="114"/>
      <c r="I386" s="114"/>
      <c r="J386" s="114"/>
      <c r="K386" s="114"/>
      <c r="L386" s="114"/>
      <c r="M386" s="316"/>
      <c r="N386" s="155"/>
      <c r="O386" s="155"/>
      <c r="P386" s="155"/>
      <c r="Q386" s="155"/>
      <c r="S386" s="71"/>
    </row>
    <row r="387" spans="1:19" s="19" customFormat="1" x14ac:dyDescent="0.25">
      <c r="A387" s="114"/>
      <c r="B387" s="114"/>
      <c r="C387" s="114"/>
      <c r="D387" s="114"/>
      <c r="E387" s="114"/>
      <c r="F387" s="114"/>
      <c r="G387" s="114"/>
      <c r="H387" s="114"/>
      <c r="I387" s="114"/>
      <c r="J387" s="114"/>
      <c r="K387" s="114"/>
      <c r="L387" s="114"/>
      <c r="M387" s="316"/>
      <c r="N387" s="155"/>
      <c r="O387" s="155"/>
      <c r="P387" s="155"/>
      <c r="Q387" s="155"/>
      <c r="S387" s="71"/>
    </row>
    <row r="388" spans="1:19" s="19" customFormat="1" x14ac:dyDescent="0.25">
      <c r="A388" s="114"/>
      <c r="B388" s="114"/>
      <c r="C388" s="114"/>
      <c r="D388" s="114"/>
      <c r="E388" s="114"/>
      <c r="F388" s="114"/>
      <c r="G388" s="114"/>
      <c r="H388" s="114"/>
      <c r="I388" s="114"/>
      <c r="J388" s="114"/>
      <c r="K388" s="114"/>
      <c r="L388" s="114"/>
      <c r="M388" s="316"/>
      <c r="N388" s="155"/>
      <c r="O388" s="155"/>
      <c r="P388" s="155"/>
      <c r="Q388" s="155"/>
      <c r="S388" s="71"/>
    </row>
    <row r="389" spans="1:19" s="19" customFormat="1" x14ac:dyDescent="0.25">
      <c r="A389" s="114"/>
      <c r="B389" s="114"/>
      <c r="C389" s="114"/>
      <c r="D389" s="114"/>
      <c r="E389" s="114"/>
      <c r="F389" s="114"/>
      <c r="G389" s="114"/>
      <c r="H389" s="114"/>
      <c r="I389" s="114"/>
      <c r="J389" s="114"/>
      <c r="K389" s="114"/>
      <c r="L389" s="114"/>
      <c r="M389" s="316"/>
      <c r="N389" s="155"/>
      <c r="O389" s="155"/>
      <c r="P389" s="155"/>
      <c r="Q389" s="155"/>
      <c r="S389" s="71"/>
    </row>
    <row r="390" spans="1:19" s="19" customFormat="1" x14ac:dyDescent="0.25">
      <c r="A390" s="114"/>
      <c r="B390" s="114"/>
      <c r="C390" s="114"/>
      <c r="D390" s="114"/>
      <c r="E390" s="114"/>
      <c r="F390" s="114"/>
      <c r="G390" s="114"/>
      <c r="H390" s="114"/>
      <c r="I390" s="114"/>
      <c r="J390" s="114"/>
      <c r="K390" s="114"/>
      <c r="L390" s="114"/>
      <c r="M390" s="316"/>
      <c r="N390" s="155"/>
      <c r="O390" s="155"/>
      <c r="P390" s="155"/>
      <c r="Q390" s="155"/>
      <c r="S390" s="71"/>
    </row>
    <row r="391" spans="1:19" s="19" customFormat="1" x14ac:dyDescent="0.25">
      <c r="A391" s="114"/>
      <c r="B391" s="114"/>
      <c r="C391" s="114"/>
      <c r="D391" s="114"/>
      <c r="E391" s="114"/>
      <c r="F391" s="114"/>
      <c r="G391" s="114"/>
      <c r="H391" s="114"/>
      <c r="I391" s="114"/>
      <c r="J391" s="114"/>
      <c r="K391" s="114"/>
      <c r="L391" s="114"/>
      <c r="M391" s="316"/>
      <c r="N391" s="155"/>
      <c r="O391" s="155"/>
      <c r="P391" s="155"/>
      <c r="Q391" s="155"/>
      <c r="S391" s="71"/>
    </row>
    <row r="392" spans="1:19" s="19" customFormat="1" x14ac:dyDescent="0.25">
      <c r="A392" s="114"/>
      <c r="B392" s="114"/>
      <c r="C392" s="114"/>
      <c r="D392" s="114"/>
      <c r="E392" s="114"/>
      <c r="F392" s="114"/>
      <c r="G392" s="114"/>
      <c r="H392" s="114"/>
      <c r="I392" s="114"/>
      <c r="J392" s="114"/>
      <c r="K392" s="114"/>
      <c r="L392" s="114"/>
      <c r="M392" s="316"/>
      <c r="N392" s="155"/>
      <c r="O392" s="155"/>
      <c r="P392" s="155"/>
      <c r="Q392" s="155"/>
      <c r="S392" s="71"/>
    </row>
    <row r="393" spans="1:19" s="19" customFormat="1" x14ac:dyDescent="0.25">
      <c r="A393" s="114"/>
      <c r="B393" s="114"/>
      <c r="C393" s="114"/>
      <c r="D393" s="114"/>
      <c r="E393" s="114"/>
      <c r="F393" s="114"/>
      <c r="G393" s="114"/>
      <c r="H393" s="114"/>
      <c r="I393" s="114"/>
      <c r="J393" s="114"/>
      <c r="K393" s="114"/>
      <c r="L393" s="114"/>
      <c r="M393" s="316"/>
      <c r="N393" s="155"/>
      <c r="O393" s="155"/>
      <c r="P393" s="155"/>
      <c r="Q393" s="155"/>
      <c r="S393" s="71"/>
    </row>
    <row r="394" spans="1:19" s="19" customFormat="1" x14ac:dyDescent="0.25">
      <c r="A394" s="114"/>
      <c r="B394" s="114"/>
      <c r="C394" s="114"/>
      <c r="D394" s="114"/>
      <c r="E394" s="114"/>
      <c r="F394" s="114"/>
      <c r="G394" s="114"/>
      <c r="H394" s="114"/>
      <c r="I394" s="114"/>
      <c r="J394" s="114"/>
      <c r="K394" s="114"/>
      <c r="L394" s="114"/>
      <c r="M394" s="316"/>
      <c r="N394" s="155"/>
      <c r="O394" s="155"/>
      <c r="P394" s="155"/>
      <c r="Q394" s="155"/>
      <c r="S394" s="71"/>
    </row>
    <row r="395" spans="1:19" s="19" customFormat="1" x14ac:dyDescent="0.25">
      <c r="A395" s="114"/>
      <c r="B395" s="114"/>
      <c r="C395" s="114"/>
      <c r="D395" s="114"/>
      <c r="E395" s="114"/>
      <c r="F395" s="114"/>
      <c r="G395" s="114"/>
      <c r="H395" s="114"/>
      <c r="I395" s="114"/>
      <c r="J395" s="114"/>
      <c r="K395" s="114"/>
      <c r="L395" s="114"/>
      <c r="M395" s="316"/>
      <c r="N395" s="155"/>
      <c r="O395" s="155"/>
      <c r="P395" s="155"/>
      <c r="Q395" s="155"/>
      <c r="S395" s="71"/>
    </row>
    <row r="396" spans="1:19" s="19" customFormat="1" x14ac:dyDescent="0.25">
      <c r="A396" s="114"/>
      <c r="B396" s="114"/>
      <c r="C396" s="114"/>
      <c r="D396" s="114"/>
      <c r="E396" s="114"/>
      <c r="F396" s="114"/>
      <c r="G396" s="114"/>
      <c r="H396" s="114"/>
      <c r="I396" s="114"/>
      <c r="J396" s="114"/>
      <c r="K396" s="114"/>
      <c r="L396" s="114"/>
      <c r="M396" s="316"/>
      <c r="N396" s="155"/>
      <c r="O396" s="155"/>
      <c r="P396" s="155"/>
      <c r="Q396" s="155"/>
      <c r="S396" s="71"/>
    </row>
    <row r="397" spans="1:19" s="19" customFormat="1" x14ac:dyDescent="0.25">
      <c r="A397" s="114"/>
      <c r="B397" s="114"/>
      <c r="C397" s="114"/>
      <c r="D397" s="114"/>
      <c r="E397" s="114"/>
      <c r="F397" s="114"/>
      <c r="G397" s="114"/>
      <c r="H397" s="114"/>
      <c r="I397" s="114"/>
      <c r="J397" s="114"/>
      <c r="K397" s="114"/>
      <c r="L397" s="114"/>
      <c r="M397" s="316"/>
      <c r="N397" s="155"/>
      <c r="O397" s="155"/>
      <c r="P397" s="155"/>
      <c r="Q397" s="155"/>
      <c r="S397" s="71"/>
    </row>
    <row r="398" spans="1:19" s="19" customFormat="1" x14ac:dyDescent="0.25">
      <c r="A398" s="114"/>
      <c r="B398" s="114"/>
      <c r="C398" s="114"/>
      <c r="D398" s="114"/>
      <c r="E398" s="114"/>
      <c r="F398" s="114"/>
      <c r="G398" s="114"/>
      <c r="H398" s="114"/>
      <c r="I398" s="114"/>
      <c r="J398" s="114"/>
      <c r="K398" s="114"/>
      <c r="L398" s="114"/>
      <c r="M398" s="316"/>
      <c r="N398" s="155"/>
      <c r="O398" s="155"/>
      <c r="P398" s="155"/>
      <c r="Q398" s="155"/>
      <c r="S398" s="71"/>
    </row>
    <row r="399" spans="1:19" s="19" customFormat="1" x14ac:dyDescent="0.25">
      <c r="A399" s="114"/>
      <c r="B399" s="114"/>
      <c r="C399" s="114"/>
      <c r="D399" s="114"/>
      <c r="E399" s="114"/>
      <c r="F399" s="114"/>
      <c r="G399" s="114"/>
      <c r="H399" s="114"/>
      <c r="I399" s="114"/>
      <c r="J399" s="114"/>
      <c r="K399" s="114"/>
      <c r="L399" s="114"/>
      <c r="M399" s="316"/>
      <c r="N399" s="155"/>
      <c r="O399" s="155"/>
      <c r="P399" s="155"/>
      <c r="Q399" s="155"/>
      <c r="S399" s="71"/>
    </row>
    <row r="400" spans="1:19" s="19" customFormat="1" x14ac:dyDescent="0.25">
      <c r="A400" s="114"/>
      <c r="B400" s="114"/>
      <c r="C400" s="114"/>
      <c r="D400" s="114"/>
      <c r="E400" s="114"/>
      <c r="F400" s="114"/>
      <c r="G400" s="114"/>
      <c r="H400" s="114"/>
      <c r="I400" s="114"/>
      <c r="J400" s="114"/>
      <c r="K400" s="114"/>
      <c r="L400" s="114"/>
      <c r="M400" s="316"/>
      <c r="N400" s="155"/>
      <c r="O400" s="155"/>
      <c r="P400" s="155"/>
      <c r="Q400" s="155"/>
      <c r="S400" s="71"/>
    </row>
    <row r="401" spans="1:19" s="19" customFormat="1" x14ac:dyDescent="0.25">
      <c r="A401" s="114"/>
      <c r="B401" s="114"/>
      <c r="C401" s="114"/>
      <c r="D401" s="114"/>
      <c r="E401" s="114"/>
      <c r="F401" s="114"/>
      <c r="G401" s="114"/>
      <c r="H401" s="114"/>
      <c r="I401" s="114"/>
      <c r="J401" s="114"/>
      <c r="K401" s="114"/>
      <c r="L401" s="114"/>
      <c r="M401" s="316"/>
      <c r="N401" s="155"/>
      <c r="O401" s="155"/>
      <c r="P401" s="155"/>
      <c r="Q401" s="155"/>
      <c r="S401" s="71"/>
    </row>
    <row r="402" spans="1:19" s="19" customFormat="1" x14ac:dyDescent="0.25">
      <c r="A402" s="114"/>
      <c r="B402" s="114"/>
      <c r="C402" s="114"/>
      <c r="D402" s="114"/>
      <c r="E402" s="114"/>
      <c r="F402" s="114"/>
      <c r="G402" s="114"/>
      <c r="H402" s="114"/>
      <c r="I402" s="114"/>
      <c r="J402" s="114"/>
      <c r="K402" s="114"/>
      <c r="L402" s="114"/>
      <c r="M402" s="316"/>
      <c r="N402" s="155"/>
      <c r="O402" s="155"/>
      <c r="P402" s="155"/>
      <c r="Q402" s="155"/>
      <c r="S402" s="71"/>
    </row>
    <row r="403" spans="1:19" s="19" customFormat="1" x14ac:dyDescent="0.25">
      <c r="A403" s="114"/>
      <c r="B403" s="114"/>
      <c r="C403" s="114"/>
      <c r="D403" s="114"/>
      <c r="E403" s="114"/>
      <c r="F403" s="114"/>
      <c r="G403" s="114"/>
      <c r="H403" s="114"/>
      <c r="I403" s="114"/>
      <c r="J403" s="114"/>
      <c r="K403" s="114"/>
      <c r="L403" s="114"/>
      <c r="M403" s="316"/>
      <c r="N403" s="155"/>
      <c r="O403" s="155"/>
      <c r="P403" s="155"/>
      <c r="Q403" s="155"/>
      <c r="S403" s="71"/>
    </row>
    <row r="404" spans="1:19" s="19" customFormat="1" x14ac:dyDescent="0.25">
      <c r="A404" s="114"/>
      <c r="B404" s="114"/>
      <c r="C404" s="114"/>
      <c r="D404" s="114"/>
      <c r="E404" s="114"/>
      <c r="F404" s="114"/>
      <c r="G404" s="114"/>
      <c r="H404" s="114"/>
      <c r="I404" s="114"/>
      <c r="J404" s="114"/>
      <c r="K404" s="114"/>
      <c r="L404" s="114"/>
      <c r="M404" s="316"/>
      <c r="N404" s="155"/>
      <c r="O404" s="155"/>
      <c r="P404" s="155"/>
      <c r="Q404" s="155"/>
      <c r="S404" s="71"/>
    </row>
    <row r="405" spans="1:19" s="19" customFormat="1" x14ac:dyDescent="0.25">
      <c r="A405" s="114"/>
      <c r="B405" s="114"/>
      <c r="C405" s="114"/>
      <c r="D405" s="114"/>
      <c r="E405" s="114"/>
      <c r="F405" s="114"/>
      <c r="G405" s="114"/>
      <c r="H405" s="114"/>
      <c r="I405" s="114"/>
      <c r="J405" s="114"/>
      <c r="K405" s="114"/>
      <c r="L405" s="114"/>
      <c r="M405" s="316"/>
      <c r="N405" s="155"/>
      <c r="O405" s="155"/>
      <c r="P405" s="155"/>
      <c r="Q405" s="155"/>
      <c r="S405" s="71"/>
    </row>
    <row r="406" spans="1:19" s="19" customFormat="1" x14ac:dyDescent="0.25">
      <c r="A406" s="114"/>
      <c r="B406" s="114"/>
      <c r="C406" s="114"/>
      <c r="D406" s="114"/>
      <c r="E406" s="114"/>
      <c r="F406" s="114"/>
      <c r="G406" s="114"/>
      <c r="H406" s="114"/>
      <c r="I406" s="114"/>
      <c r="J406" s="114"/>
      <c r="K406" s="114"/>
      <c r="L406" s="114"/>
      <c r="M406" s="316"/>
      <c r="N406" s="155"/>
      <c r="O406" s="155"/>
      <c r="P406" s="155"/>
      <c r="Q406" s="155"/>
      <c r="S406" s="71"/>
    </row>
    <row r="407" spans="1:19" s="19" customFormat="1" x14ac:dyDescent="0.25">
      <c r="A407" s="114"/>
      <c r="B407" s="114"/>
      <c r="C407" s="114"/>
      <c r="D407" s="114"/>
      <c r="E407" s="114"/>
      <c r="F407" s="114"/>
      <c r="G407" s="114"/>
      <c r="H407" s="114"/>
      <c r="I407" s="114"/>
      <c r="J407" s="114"/>
      <c r="K407" s="114"/>
      <c r="L407" s="114"/>
      <c r="M407" s="316"/>
      <c r="N407" s="155"/>
      <c r="O407" s="155"/>
      <c r="P407" s="155"/>
      <c r="Q407" s="155"/>
      <c r="S407" s="71"/>
    </row>
    <row r="408" spans="1:19" s="19" customFormat="1" x14ac:dyDescent="0.25">
      <c r="A408" s="114"/>
      <c r="B408" s="114"/>
      <c r="C408" s="114"/>
      <c r="D408" s="114"/>
      <c r="E408" s="114"/>
      <c r="F408" s="114"/>
      <c r="G408" s="114"/>
      <c r="H408" s="114"/>
      <c r="I408" s="114"/>
      <c r="J408" s="114"/>
      <c r="K408" s="114"/>
      <c r="L408" s="114"/>
      <c r="M408" s="316"/>
      <c r="N408" s="155"/>
      <c r="O408" s="155"/>
      <c r="P408" s="155"/>
      <c r="Q408" s="155"/>
      <c r="S408" s="71"/>
    </row>
    <row r="409" spans="1:19" s="19" customFormat="1" x14ac:dyDescent="0.25">
      <c r="A409" s="114"/>
      <c r="B409" s="114"/>
      <c r="C409" s="114"/>
      <c r="D409" s="114"/>
      <c r="E409" s="114"/>
      <c r="F409" s="114"/>
      <c r="G409" s="114"/>
      <c r="H409" s="114"/>
      <c r="I409" s="114"/>
      <c r="J409" s="114"/>
      <c r="K409" s="114"/>
      <c r="L409" s="114"/>
      <c r="M409" s="316"/>
      <c r="N409" s="155"/>
      <c r="O409" s="155"/>
      <c r="P409" s="155"/>
      <c r="Q409" s="155"/>
      <c r="S409" s="71"/>
    </row>
    <row r="410" spans="1:19" s="19" customFormat="1" x14ac:dyDescent="0.25">
      <c r="A410" s="114"/>
      <c r="B410" s="114"/>
      <c r="C410" s="114"/>
      <c r="D410" s="114"/>
      <c r="E410" s="114"/>
      <c r="F410" s="114"/>
      <c r="G410" s="114"/>
      <c r="H410" s="114"/>
      <c r="I410" s="114"/>
      <c r="J410" s="114"/>
      <c r="K410" s="114"/>
      <c r="L410" s="114"/>
      <c r="M410" s="316"/>
      <c r="N410" s="155"/>
      <c r="O410" s="155"/>
      <c r="P410" s="155"/>
      <c r="Q410" s="155"/>
      <c r="S410" s="71"/>
    </row>
    <row r="411" spans="1:19" s="19" customFormat="1" x14ac:dyDescent="0.25">
      <c r="A411" s="114"/>
      <c r="B411" s="114"/>
      <c r="C411" s="114"/>
      <c r="D411" s="114"/>
      <c r="E411" s="114"/>
      <c r="F411" s="114"/>
      <c r="G411" s="114"/>
      <c r="H411" s="114"/>
      <c r="I411" s="114"/>
      <c r="J411" s="114"/>
      <c r="K411" s="114"/>
      <c r="L411" s="114"/>
      <c r="M411" s="316"/>
      <c r="N411" s="155"/>
      <c r="O411" s="155"/>
      <c r="P411" s="155"/>
      <c r="Q411" s="155"/>
      <c r="S411" s="71"/>
    </row>
    <row r="412" spans="1:19" s="19" customFormat="1" x14ac:dyDescent="0.25">
      <c r="A412" s="114"/>
      <c r="B412" s="114"/>
      <c r="C412" s="114"/>
      <c r="D412" s="114"/>
      <c r="E412" s="114"/>
      <c r="F412" s="114"/>
      <c r="G412" s="114"/>
      <c r="H412" s="114"/>
      <c r="I412" s="114"/>
      <c r="J412" s="114"/>
      <c r="K412" s="114"/>
      <c r="L412" s="114"/>
      <c r="M412" s="316"/>
      <c r="N412" s="155"/>
      <c r="O412" s="155"/>
      <c r="P412" s="155"/>
      <c r="Q412" s="155"/>
      <c r="S412" s="71"/>
    </row>
    <row r="413" spans="1:19" s="19" customFormat="1" x14ac:dyDescent="0.25">
      <c r="A413" s="114"/>
      <c r="B413" s="114"/>
      <c r="C413" s="114"/>
      <c r="D413" s="114"/>
      <c r="E413" s="114"/>
      <c r="F413" s="114"/>
      <c r="G413" s="114"/>
      <c r="H413" s="114"/>
      <c r="I413" s="114"/>
      <c r="J413" s="114"/>
      <c r="K413" s="114"/>
      <c r="L413" s="114"/>
      <c r="M413" s="316"/>
      <c r="N413" s="155"/>
      <c r="O413" s="155"/>
      <c r="P413" s="155"/>
      <c r="Q413" s="155"/>
      <c r="S413" s="71"/>
    </row>
    <row r="414" spans="1:19" s="19" customFormat="1" x14ac:dyDescent="0.25">
      <c r="A414" s="114"/>
      <c r="B414" s="114"/>
      <c r="C414" s="114"/>
      <c r="D414" s="114"/>
      <c r="E414" s="114"/>
      <c r="F414" s="114"/>
      <c r="G414" s="114"/>
      <c r="H414" s="114"/>
      <c r="I414" s="114"/>
      <c r="J414" s="114"/>
      <c r="K414" s="114"/>
      <c r="L414" s="114"/>
      <c r="M414" s="316"/>
      <c r="N414" s="155"/>
      <c r="O414" s="155"/>
      <c r="P414" s="155"/>
      <c r="Q414" s="155"/>
      <c r="S414" s="71"/>
    </row>
    <row r="415" spans="1:19" s="19" customFormat="1" x14ac:dyDescent="0.25">
      <c r="A415" s="114"/>
      <c r="B415" s="114"/>
      <c r="C415" s="114"/>
      <c r="D415" s="114"/>
      <c r="E415" s="114"/>
      <c r="F415" s="114"/>
      <c r="G415" s="114"/>
      <c r="H415" s="114"/>
      <c r="I415" s="114"/>
      <c r="J415" s="114"/>
      <c r="K415" s="114"/>
      <c r="L415" s="114"/>
      <c r="M415" s="316"/>
      <c r="N415" s="155"/>
      <c r="O415" s="155"/>
      <c r="P415" s="155"/>
      <c r="Q415" s="155"/>
      <c r="S415" s="71"/>
    </row>
    <row r="416" spans="1:19" s="19" customFormat="1" x14ac:dyDescent="0.25">
      <c r="A416" s="114"/>
      <c r="B416" s="114"/>
      <c r="C416" s="114"/>
      <c r="D416" s="114"/>
      <c r="E416" s="114"/>
      <c r="F416" s="114"/>
      <c r="G416" s="114"/>
      <c r="H416" s="114"/>
      <c r="I416" s="114"/>
      <c r="J416" s="114"/>
      <c r="K416" s="114"/>
      <c r="L416" s="114"/>
      <c r="M416" s="316"/>
      <c r="N416" s="155"/>
      <c r="O416" s="155"/>
      <c r="P416" s="155"/>
      <c r="Q416" s="155"/>
      <c r="S416" s="71"/>
    </row>
    <row r="417" spans="1:19" s="19" customFormat="1" x14ac:dyDescent="0.25">
      <c r="A417" s="114"/>
      <c r="B417" s="114"/>
      <c r="C417" s="114"/>
      <c r="D417" s="114"/>
      <c r="E417" s="114"/>
      <c r="F417" s="114"/>
      <c r="G417" s="114"/>
      <c r="H417" s="114"/>
      <c r="I417" s="114"/>
      <c r="J417" s="114"/>
      <c r="K417" s="114"/>
      <c r="L417" s="114"/>
      <c r="M417" s="316"/>
      <c r="N417" s="155"/>
      <c r="O417" s="155"/>
      <c r="P417" s="155"/>
      <c r="Q417" s="155"/>
      <c r="S417" s="71"/>
    </row>
    <row r="418" spans="1:19" s="19" customFormat="1" x14ac:dyDescent="0.25">
      <c r="A418" s="114"/>
      <c r="B418" s="114"/>
      <c r="C418" s="114"/>
      <c r="D418" s="114"/>
      <c r="E418" s="114"/>
      <c r="F418" s="114"/>
      <c r="G418" s="114"/>
      <c r="H418" s="114"/>
      <c r="I418" s="114"/>
      <c r="J418" s="114"/>
      <c r="K418" s="114"/>
      <c r="L418" s="114"/>
      <c r="M418" s="316"/>
      <c r="N418" s="155"/>
      <c r="O418" s="155"/>
      <c r="P418" s="155"/>
      <c r="Q418" s="155"/>
      <c r="S418" s="71"/>
    </row>
    <row r="419" spans="1:19" s="19" customFormat="1" x14ac:dyDescent="0.25">
      <c r="A419" s="114"/>
      <c r="B419" s="114"/>
      <c r="C419" s="114"/>
      <c r="D419" s="114"/>
      <c r="E419" s="114"/>
      <c r="F419" s="114"/>
      <c r="G419" s="114"/>
      <c r="H419" s="114"/>
      <c r="I419" s="114"/>
      <c r="J419" s="114"/>
      <c r="K419" s="114"/>
      <c r="L419" s="114"/>
      <c r="M419" s="316"/>
      <c r="N419" s="155"/>
      <c r="O419" s="155"/>
      <c r="P419" s="155"/>
      <c r="Q419" s="155"/>
      <c r="S419" s="71"/>
    </row>
    <row r="420" spans="1:19" s="19" customFormat="1" x14ac:dyDescent="0.25">
      <c r="A420" s="114"/>
      <c r="B420" s="114"/>
      <c r="C420" s="114"/>
      <c r="D420" s="114"/>
      <c r="E420" s="114"/>
      <c r="F420" s="114"/>
      <c r="G420" s="114"/>
      <c r="H420" s="114"/>
      <c r="I420" s="114"/>
      <c r="J420" s="114"/>
      <c r="K420" s="114"/>
      <c r="L420" s="114"/>
      <c r="M420" s="316"/>
      <c r="N420" s="155"/>
      <c r="O420" s="155"/>
      <c r="P420" s="155"/>
      <c r="Q420" s="155"/>
      <c r="S420" s="71"/>
    </row>
    <row r="421" spans="1:19" s="19" customFormat="1" x14ac:dyDescent="0.25">
      <c r="A421" s="114"/>
      <c r="B421" s="114"/>
      <c r="C421" s="114"/>
      <c r="D421" s="114"/>
      <c r="E421" s="114"/>
      <c r="F421" s="114"/>
      <c r="G421" s="114"/>
      <c r="H421" s="114"/>
      <c r="I421" s="114"/>
      <c r="J421" s="114"/>
      <c r="K421" s="114"/>
      <c r="L421" s="114"/>
      <c r="M421" s="316"/>
      <c r="N421" s="155"/>
      <c r="O421" s="155"/>
      <c r="P421" s="155"/>
      <c r="Q421" s="155"/>
      <c r="S421" s="71"/>
    </row>
    <row r="422" spans="1:19" s="19" customFormat="1" x14ac:dyDescent="0.25">
      <c r="A422" s="114"/>
      <c r="B422" s="114"/>
      <c r="C422" s="114"/>
      <c r="D422" s="114"/>
      <c r="E422" s="114"/>
      <c r="F422" s="114"/>
      <c r="G422" s="114"/>
      <c r="H422" s="114"/>
      <c r="I422" s="114"/>
      <c r="J422" s="114"/>
      <c r="K422" s="114"/>
      <c r="L422" s="114"/>
      <c r="M422" s="316"/>
      <c r="N422" s="155"/>
      <c r="O422" s="155"/>
      <c r="P422" s="155"/>
      <c r="Q422" s="155"/>
      <c r="S422" s="71"/>
    </row>
    <row r="423" spans="1:19" s="19" customFormat="1" x14ac:dyDescent="0.25">
      <c r="A423" s="114"/>
      <c r="B423" s="114"/>
      <c r="C423" s="114"/>
      <c r="D423" s="114"/>
      <c r="E423" s="114"/>
      <c r="F423" s="114"/>
      <c r="G423" s="114"/>
      <c r="H423" s="114"/>
      <c r="I423" s="114"/>
      <c r="J423" s="114"/>
      <c r="K423" s="114"/>
      <c r="L423" s="114"/>
      <c r="M423" s="316"/>
      <c r="N423" s="155"/>
      <c r="O423" s="155"/>
      <c r="P423" s="155"/>
      <c r="Q423" s="155"/>
      <c r="S423" s="71"/>
    </row>
    <row r="424" spans="1:19" s="19" customFormat="1" x14ac:dyDescent="0.25">
      <c r="A424" s="114"/>
      <c r="B424" s="114"/>
      <c r="C424" s="114"/>
      <c r="D424" s="114"/>
      <c r="E424" s="114"/>
      <c r="F424" s="114"/>
      <c r="G424" s="114"/>
      <c r="H424" s="114"/>
      <c r="I424" s="114"/>
      <c r="J424" s="114"/>
      <c r="K424" s="114"/>
      <c r="L424" s="114"/>
      <c r="M424" s="316"/>
      <c r="N424" s="155"/>
      <c r="O424" s="155"/>
      <c r="P424" s="155"/>
      <c r="Q424" s="155"/>
      <c r="S424" s="71"/>
    </row>
    <row r="425" spans="1:19" s="19" customFormat="1" x14ac:dyDescent="0.25">
      <c r="A425" s="114"/>
      <c r="B425" s="114"/>
      <c r="C425" s="114"/>
      <c r="D425" s="114"/>
      <c r="E425" s="114"/>
      <c r="F425" s="114"/>
      <c r="G425" s="114"/>
      <c r="H425" s="114"/>
      <c r="I425" s="114"/>
      <c r="J425" s="114"/>
      <c r="K425" s="114"/>
      <c r="L425" s="114"/>
      <c r="M425" s="316"/>
      <c r="N425" s="155"/>
      <c r="O425" s="155"/>
      <c r="P425" s="155"/>
      <c r="Q425" s="155"/>
      <c r="S425" s="71"/>
    </row>
    <row r="426" spans="1:19" s="19" customFormat="1" x14ac:dyDescent="0.25">
      <c r="A426" s="114"/>
      <c r="B426" s="114"/>
      <c r="C426" s="114"/>
      <c r="D426" s="114"/>
      <c r="E426" s="114"/>
      <c r="F426" s="114"/>
      <c r="G426" s="114"/>
      <c r="H426" s="114"/>
      <c r="I426" s="114"/>
      <c r="J426" s="114"/>
      <c r="K426" s="114"/>
      <c r="L426" s="114"/>
      <c r="M426" s="316"/>
      <c r="N426" s="155"/>
      <c r="O426" s="155"/>
      <c r="P426" s="155"/>
      <c r="Q426" s="155"/>
      <c r="S426" s="71"/>
    </row>
    <row r="427" spans="1:19" s="19" customFormat="1" x14ac:dyDescent="0.25">
      <c r="A427" s="114"/>
      <c r="B427" s="114"/>
      <c r="C427" s="114"/>
      <c r="D427" s="114"/>
      <c r="E427" s="114"/>
      <c r="F427" s="114"/>
      <c r="G427" s="114"/>
      <c r="H427" s="114"/>
      <c r="I427" s="114"/>
      <c r="J427" s="114"/>
      <c r="K427" s="114"/>
      <c r="L427" s="114"/>
      <c r="M427" s="316"/>
      <c r="N427" s="155"/>
      <c r="O427" s="155"/>
      <c r="P427" s="155"/>
      <c r="Q427" s="155"/>
      <c r="S427" s="71"/>
    </row>
    <row r="428" spans="1:19" s="19" customFormat="1" x14ac:dyDescent="0.25">
      <c r="A428" s="114"/>
      <c r="B428" s="114"/>
      <c r="C428" s="114"/>
      <c r="D428" s="114"/>
      <c r="E428" s="114"/>
      <c r="F428" s="114"/>
      <c r="G428" s="114"/>
      <c r="H428" s="114"/>
      <c r="I428" s="114"/>
      <c r="J428" s="114"/>
      <c r="K428" s="114"/>
      <c r="L428" s="114"/>
      <c r="M428" s="316"/>
      <c r="N428" s="155"/>
      <c r="O428" s="155"/>
      <c r="P428" s="155"/>
      <c r="Q428" s="155"/>
      <c r="S428" s="71"/>
    </row>
    <row r="429" spans="1:19" s="19" customFormat="1" x14ac:dyDescent="0.25">
      <c r="A429" s="114"/>
      <c r="B429" s="114"/>
      <c r="C429" s="114"/>
      <c r="D429" s="114"/>
      <c r="E429" s="114"/>
      <c r="F429" s="114"/>
      <c r="G429" s="114"/>
      <c r="H429" s="114"/>
      <c r="I429" s="114"/>
      <c r="J429" s="114"/>
      <c r="K429" s="114"/>
      <c r="L429" s="114"/>
      <c r="M429" s="316"/>
      <c r="N429" s="155"/>
      <c r="O429" s="155"/>
      <c r="P429" s="155"/>
      <c r="Q429" s="155"/>
      <c r="S429" s="71"/>
    </row>
    <row r="430" spans="1:19" s="19" customFormat="1" x14ac:dyDescent="0.25">
      <c r="A430" s="114"/>
      <c r="B430" s="114"/>
      <c r="C430" s="114"/>
      <c r="D430" s="114"/>
      <c r="E430" s="114"/>
      <c r="F430" s="114"/>
      <c r="G430" s="114"/>
      <c r="H430" s="114"/>
      <c r="I430" s="114"/>
      <c r="J430" s="114"/>
      <c r="K430" s="114"/>
      <c r="L430" s="114"/>
      <c r="M430" s="316"/>
      <c r="N430" s="155"/>
      <c r="O430" s="155"/>
      <c r="P430" s="155"/>
      <c r="Q430" s="155"/>
      <c r="S430" s="71"/>
    </row>
    <row r="431" spans="1:19" s="19" customFormat="1" x14ac:dyDescent="0.25">
      <c r="A431" s="114"/>
      <c r="B431" s="114"/>
      <c r="C431" s="114"/>
      <c r="D431" s="114"/>
      <c r="E431" s="114"/>
      <c r="F431" s="114"/>
      <c r="G431" s="114"/>
      <c r="H431" s="114"/>
      <c r="I431" s="114"/>
      <c r="J431" s="114"/>
      <c r="K431" s="114"/>
      <c r="L431" s="114"/>
      <c r="M431" s="316"/>
      <c r="N431" s="155"/>
      <c r="O431" s="155"/>
      <c r="P431" s="155"/>
      <c r="Q431" s="155"/>
      <c r="S431" s="71"/>
    </row>
    <row r="432" spans="1:19" s="19" customFormat="1" x14ac:dyDescent="0.25">
      <c r="A432" s="114"/>
      <c r="B432" s="114"/>
      <c r="C432" s="114"/>
      <c r="D432" s="114"/>
      <c r="E432" s="114"/>
      <c r="F432" s="114"/>
      <c r="G432" s="114"/>
      <c r="H432" s="114"/>
      <c r="I432" s="114"/>
      <c r="J432" s="114"/>
      <c r="K432" s="114"/>
      <c r="L432" s="114"/>
      <c r="M432" s="316"/>
      <c r="N432" s="155"/>
      <c r="O432" s="155"/>
      <c r="P432" s="155"/>
      <c r="Q432" s="155"/>
      <c r="S432" s="71"/>
    </row>
    <row r="433" spans="1:19" s="19" customFormat="1" x14ac:dyDescent="0.25">
      <c r="A433" s="114"/>
      <c r="B433" s="114"/>
      <c r="C433" s="114"/>
      <c r="D433" s="114"/>
      <c r="E433" s="114"/>
      <c r="F433" s="114"/>
      <c r="G433" s="114"/>
      <c r="H433" s="114"/>
      <c r="I433" s="114"/>
      <c r="J433" s="114"/>
      <c r="K433" s="114"/>
      <c r="L433" s="114"/>
      <c r="M433" s="316"/>
      <c r="N433" s="155"/>
      <c r="O433" s="155"/>
      <c r="P433" s="155"/>
      <c r="Q433" s="155"/>
      <c r="S433" s="71"/>
    </row>
    <row r="434" spans="1:19" s="19" customFormat="1" x14ac:dyDescent="0.25">
      <c r="N434" s="102"/>
      <c r="O434" s="102"/>
      <c r="P434" s="102"/>
      <c r="Q434" s="102"/>
      <c r="S434" s="71"/>
    </row>
    <row r="435" spans="1:19" s="19" customFormat="1" x14ac:dyDescent="0.25">
      <c r="N435" s="102"/>
      <c r="O435" s="102"/>
      <c r="P435" s="102"/>
      <c r="Q435" s="102"/>
      <c r="S435" s="71"/>
    </row>
    <row r="436" spans="1:19" s="19" customFormat="1" x14ac:dyDescent="0.25">
      <c r="N436" s="102"/>
      <c r="O436" s="102"/>
      <c r="P436" s="102"/>
      <c r="Q436" s="102"/>
      <c r="S436" s="71"/>
    </row>
    <row r="437" spans="1:19" s="19" customFormat="1" x14ac:dyDescent="0.25">
      <c r="N437" s="102"/>
      <c r="O437" s="102"/>
      <c r="P437" s="102"/>
      <c r="Q437" s="102"/>
      <c r="S437" s="71"/>
    </row>
    <row r="438" spans="1:19" s="19" customFormat="1" x14ac:dyDescent="0.25">
      <c r="N438" s="102"/>
      <c r="O438" s="102"/>
      <c r="P438" s="102"/>
      <c r="Q438" s="102"/>
      <c r="S438" s="71"/>
    </row>
    <row r="439" spans="1:19" s="19" customFormat="1" x14ac:dyDescent="0.25">
      <c r="N439" s="102"/>
      <c r="O439" s="102"/>
      <c r="P439" s="102"/>
      <c r="Q439" s="102"/>
      <c r="S439" s="71"/>
    </row>
    <row r="440" spans="1:19" s="19" customFormat="1" x14ac:dyDescent="0.25">
      <c r="N440" s="102"/>
      <c r="O440" s="102"/>
      <c r="P440" s="102"/>
      <c r="Q440" s="102"/>
      <c r="S440" s="71"/>
    </row>
    <row r="441" spans="1:19" s="19" customFormat="1" x14ac:dyDescent="0.25">
      <c r="N441" s="102"/>
      <c r="O441" s="102"/>
      <c r="P441" s="102"/>
      <c r="Q441" s="102"/>
      <c r="S441" s="71"/>
    </row>
    <row r="442" spans="1:19" s="19" customFormat="1" x14ac:dyDescent="0.25">
      <c r="N442" s="102"/>
      <c r="O442" s="102"/>
      <c r="P442" s="102"/>
      <c r="Q442" s="102"/>
      <c r="S442" s="71"/>
    </row>
    <row r="443" spans="1:19" s="19" customFormat="1" x14ac:dyDescent="0.25">
      <c r="N443" s="102"/>
      <c r="O443" s="102"/>
      <c r="P443" s="102"/>
      <c r="Q443" s="102"/>
      <c r="S443" s="71"/>
    </row>
    <row r="444" spans="1:19" s="19" customFormat="1" x14ac:dyDescent="0.25">
      <c r="N444" s="102"/>
      <c r="O444" s="102"/>
      <c r="P444" s="102"/>
      <c r="Q444" s="102"/>
      <c r="S444" s="71"/>
    </row>
    <row r="445" spans="1:19" s="19" customFormat="1" x14ac:dyDescent="0.25">
      <c r="N445" s="102"/>
      <c r="O445" s="102"/>
      <c r="P445" s="102"/>
      <c r="Q445" s="102"/>
      <c r="S445" s="71"/>
    </row>
    <row r="446" spans="1:19" s="19" customFormat="1" x14ac:dyDescent="0.25">
      <c r="N446" s="102"/>
      <c r="O446" s="102"/>
      <c r="P446" s="102"/>
      <c r="Q446" s="102"/>
      <c r="S446" s="71"/>
    </row>
    <row r="447" spans="1:19" s="19" customFormat="1" x14ac:dyDescent="0.25">
      <c r="N447" s="102"/>
      <c r="O447" s="102"/>
      <c r="P447" s="102"/>
      <c r="Q447" s="102"/>
      <c r="S447" s="71"/>
    </row>
    <row r="448" spans="1:19" s="19" customFormat="1" x14ac:dyDescent="0.25">
      <c r="N448" s="102"/>
      <c r="O448" s="102"/>
      <c r="P448" s="102"/>
      <c r="Q448" s="102"/>
      <c r="S448" s="71"/>
    </row>
    <row r="449" spans="14:19" s="19" customFormat="1" x14ac:dyDescent="0.25">
      <c r="N449" s="102"/>
      <c r="O449" s="102"/>
      <c r="P449" s="102"/>
      <c r="Q449" s="102"/>
      <c r="S449" s="71"/>
    </row>
    <row r="450" spans="14:19" s="19" customFormat="1" x14ac:dyDescent="0.25">
      <c r="N450" s="102"/>
      <c r="O450" s="102"/>
      <c r="P450" s="102"/>
      <c r="Q450" s="102"/>
      <c r="S450" s="71"/>
    </row>
    <row r="451" spans="14:19" s="19" customFormat="1" x14ac:dyDescent="0.25">
      <c r="N451" s="102"/>
      <c r="O451" s="102"/>
      <c r="P451" s="102"/>
      <c r="Q451" s="102"/>
      <c r="S451" s="71"/>
    </row>
    <row r="452" spans="14:19" s="19" customFormat="1" x14ac:dyDescent="0.25">
      <c r="N452" s="102"/>
      <c r="O452" s="102"/>
      <c r="P452" s="102"/>
      <c r="Q452" s="102"/>
      <c r="S452" s="71"/>
    </row>
    <row r="453" spans="14:19" s="19" customFormat="1" x14ac:dyDescent="0.25">
      <c r="N453" s="102"/>
      <c r="O453" s="102"/>
      <c r="P453" s="102"/>
      <c r="Q453" s="102"/>
      <c r="S453" s="71"/>
    </row>
    <row r="454" spans="14:19" s="19" customFormat="1" x14ac:dyDescent="0.25">
      <c r="N454" s="102"/>
      <c r="O454" s="102"/>
      <c r="P454" s="102"/>
      <c r="Q454" s="102"/>
      <c r="S454" s="71"/>
    </row>
    <row r="455" spans="14:19" s="19" customFormat="1" x14ac:dyDescent="0.25">
      <c r="N455" s="102"/>
      <c r="O455" s="102"/>
      <c r="P455" s="102"/>
      <c r="Q455" s="102"/>
      <c r="S455" s="71"/>
    </row>
    <row r="456" spans="14:19" s="19" customFormat="1" x14ac:dyDescent="0.25">
      <c r="N456" s="102"/>
      <c r="O456" s="102"/>
      <c r="P456" s="102"/>
      <c r="Q456" s="102"/>
      <c r="S456" s="71"/>
    </row>
    <row r="457" spans="14:19" s="19" customFormat="1" x14ac:dyDescent="0.25">
      <c r="N457" s="102"/>
      <c r="O457" s="102"/>
      <c r="P457" s="102"/>
      <c r="Q457" s="102"/>
      <c r="S457" s="71"/>
    </row>
    <row r="458" spans="14:19" s="19" customFormat="1" x14ac:dyDescent="0.25">
      <c r="N458" s="102"/>
      <c r="O458" s="102"/>
      <c r="P458" s="102"/>
      <c r="Q458" s="102"/>
      <c r="S458" s="71"/>
    </row>
    <row r="459" spans="14:19" s="19" customFormat="1" x14ac:dyDescent="0.25">
      <c r="N459" s="102"/>
      <c r="O459" s="102"/>
      <c r="P459" s="102"/>
      <c r="Q459" s="102"/>
      <c r="S459" s="71"/>
    </row>
    <row r="460" spans="14:19" s="19" customFormat="1" x14ac:dyDescent="0.25">
      <c r="N460" s="102"/>
      <c r="O460" s="102"/>
      <c r="P460" s="102"/>
      <c r="Q460" s="102"/>
      <c r="S460" s="71"/>
    </row>
    <row r="461" spans="14:19" s="19" customFormat="1" x14ac:dyDescent="0.25">
      <c r="N461" s="102"/>
      <c r="O461" s="102"/>
      <c r="P461" s="102"/>
      <c r="Q461" s="102"/>
      <c r="S461" s="71"/>
    </row>
    <row r="462" spans="14:19" s="19" customFormat="1" x14ac:dyDescent="0.25">
      <c r="N462" s="102"/>
      <c r="O462" s="102"/>
      <c r="P462" s="102"/>
      <c r="Q462" s="102"/>
      <c r="S462" s="71"/>
    </row>
    <row r="463" spans="14:19" s="19" customFormat="1" x14ac:dyDescent="0.25">
      <c r="N463" s="102"/>
      <c r="O463" s="102"/>
      <c r="P463" s="102"/>
      <c r="Q463" s="102"/>
      <c r="S463" s="71"/>
    </row>
    <row r="464" spans="14:19" s="19" customFormat="1" x14ac:dyDescent="0.25">
      <c r="N464" s="102"/>
      <c r="O464" s="102"/>
      <c r="P464" s="102"/>
      <c r="Q464" s="102"/>
      <c r="S464" s="71"/>
    </row>
    <row r="465" spans="14:19" s="19" customFormat="1" x14ac:dyDescent="0.25">
      <c r="N465" s="102"/>
      <c r="O465" s="102"/>
      <c r="P465" s="102"/>
      <c r="Q465" s="102"/>
      <c r="S465" s="71"/>
    </row>
    <row r="466" spans="14:19" s="19" customFormat="1" x14ac:dyDescent="0.25">
      <c r="N466" s="102"/>
      <c r="O466" s="102"/>
      <c r="P466" s="102"/>
      <c r="Q466" s="102"/>
      <c r="S466" s="71"/>
    </row>
    <row r="467" spans="14:19" s="19" customFormat="1" x14ac:dyDescent="0.25">
      <c r="N467" s="102"/>
      <c r="O467" s="102"/>
      <c r="P467" s="102"/>
      <c r="Q467" s="102"/>
      <c r="S467" s="71"/>
    </row>
    <row r="468" spans="14:19" s="19" customFormat="1" x14ac:dyDescent="0.25">
      <c r="N468" s="102"/>
      <c r="O468" s="102"/>
      <c r="P468" s="102"/>
      <c r="Q468" s="102"/>
      <c r="S468" s="71"/>
    </row>
    <row r="469" spans="14:19" s="19" customFormat="1" x14ac:dyDescent="0.25">
      <c r="N469" s="102"/>
      <c r="O469" s="102"/>
      <c r="P469" s="102"/>
      <c r="Q469" s="102"/>
      <c r="S469" s="71"/>
    </row>
    <row r="470" spans="14:19" s="19" customFormat="1" x14ac:dyDescent="0.25">
      <c r="N470" s="102"/>
      <c r="O470" s="102"/>
      <c r="P470" s="102"/>
      <c r="Q470" s="102"/>
      <c r="S470" s="71"/>
    </row>
    <row r="471" spans="14:19" s="19" customFormat="1" x14ac:dyDescent="0.25">
      <c r="N471" s="102"/>
      <c r="O471" s="102"/>
      <c r="P471" s="102"/>
      <c r="Q471" s="102"/>
      <c r="S471" s="71"/>
    </row>
    <row r="472" spans="14:19" s="19" customFormat="1" x14ac:dyDescent="0.25">
      <c r="N472" s="102"/>
      <c r="O472" s="102"/>
      <c r="P472" s="102"/>
      <c r="Q472" s="102"/>
      <c r="S472" s="71"/>
    </row>
    <row r="473" spans="14:19" s="19" customFormat="1" x14ac:dyDescent="0.25">
      <c r="N473" s="102"/>
      <c r="O473" s="102"/>
      <c r="P473" s="102"/>
      <c r="Q473" s="102"/>
      <c r="S473" s="71"/>
    </row>
    <row r="474" spans="14:19" s="19" customFormat="1" x14ac:dyDescent="0.25">
      <c r="N474" s="102"/>
      <c r="O474" s="102"/>
      <c r="P474" s="102"/>
      <c r="Q474" s="102"/>
      <c r="S474" s="71"/>
    </row>
    <row r="475" spans="14:19" s="19" customFormat="1" x14ac:dyDescent="0.25">
      <c r="N475" s="102"/>
      <c r="O475" s="102"/>
      <c r="P475" s="102"/>
      <c r="Q475" s="102"/>
      <c r="S475" s="71"/>
    </row>
    <row r="476" spans="14:19" s="19" customFormat="1" x14ac:dyDescent="0.25">
      <c r="N476" s="102"/>
      <c r="O476" s="102"/>
      <c r="P476" s="102"/>
      <c r="Q476" s="102"/>
      <c r="S476" s="71"/>
    </row>
    <row r="477" spans="14:19" s="19" customFormat="1" x14ac:dyDescent="0.25">
      <c r="N477" s="102"/>
      <c r="O477" s="102"/>
      <c r="P477" s="102"/>
      <c r="Q477" s="102"/>
      <c r="S477" s="71"/>
    </row>
    <row r="478" spans="14:19" s="19" customFormat="1" x14ac:dyDescent="0.25">
      <c r="N478" s="102"/>
      <c r="O478" s="102"/>
      <c r="P478" s="102"/>
      <c r="Q478" s="102"/>
      <c r="S478" s="71"/>
    </row>
    <row r="479" spans="14:19" s="19" customFormat="1" x14ac:dyDescent="0.25">
      <c r="N479" s="102"/>
      <c r="O479" s="102"/>
      <c r="P479" s="102"/>
      <c r="Q479" s="102"/>
      <c r="S479" s="71"/>
    </row>
    <row r="480" spans="14:19" s="19" customFormat="1" x14ac:dyDescent="0.25">
      <c r="N480" s="102"/>
      <c r="O480" s="102"/>
      <c r="P480" s="102"/>
      <c r="Q480" s="102"/>
      <c r="S480" s="71"/>
    </row>
    <row r="481" spans="14:19" s="19" customFormat="1" x14ac:dyDescent="0.25">
      <c r="N481" s="102"/>
      <c r="O481" s="102"/>
      <c r="P481" s="102"/>
      <c r="Q481" s="102"/>
      <c r="S481" s="71"/>
    </row>
    <row r="482" spans="14:19" s="19" customFormat="1" x14ac:dyDescent="0.25">
      <c r="N482" s="102"/>
      <c r="O482" s="102"/>
      <c r="P482" s="102"/>
      <c r="Q482" s="102"/>
      <c r="S482" s="71"/>
    </row>
    <row r="483" spans="14:19" s="19" customFormat="1" x14ac:dyDescent="0.25">
      <c r="N483" s="102"/>
      <c r="O483" s="102"/>
      <c r="P483" s="102"/>
      <c r="Q483" s="102"/>
      <c r="S483" s="71"/>
    </row>
    <row r="484" spans="14:19" s="19" customFormat="1" x14ac:dyDescent="0.25">
      <c r="N484" s="102"/>
      <c r="O484" s="102"/>
      <c r="P484" s="102"/>
      <c r="Q484" s="102"/>
      <c r="S484" s="71"/>
    </row>
    <row r="485" spans="14:19" s="19" customFormat="1" x14ac:dyDescent="0.25">
      <c r="N485" s="102"/>
      <c r="O485" s="102"/>
      <c r="P485" s="102"/>
      <c r="Q485" s="102"/>
      <c r="S485" s="71"/>
    </row>
    <row r="486" spans="14:19" s="19" customFormat="1" x14ac:dyDescent="0.25">
      <c r="N486" s="102"/>
      <c r="O486" s="102"/>
      <c r="P486" s="102"/>
      <c r="Q486" s="102"/>
      <c r="S486" s="71"/>
    </row>
    <row r="487" spans="14:19" s="19" customFormat="1" x14ac:dyDescent="0.25">
      <c r="N487" s="102"/>
      <c r="O487" s="102"/>
      <c r="P487" s="102"/>
      <c r="Q487" s="102"/>
      <c r="S487" s="71"/>
    </row>
    <row r="488" spans="14:19" s="19" customFormat="1" x14ac:dyDescent="0.25">
      <c r="N488" s="102"/>
      <c r="O488" s="102"/>
      <c r="P488" s="102"/>
      <c r="Q488" s="102"/>
      <c r="S488" s="71"/>
    </row>
    <row r="489" spans="14:19" s="19" customFormat="1" x14ac:dyDescent="0.25">
      <c r="N489" s="102"/>
      <c r="O489" s="102"/>
      <c r="P489" s="102"/>
      <c r="Q489" s="102"/>
      <c r="S489" s="71"/>
    </row>
    <row r="490" spans="14:19" s="19" customFormat="1" x14ac:dyDescent="0.25">
      <c r="N490" s="102"/>
      <c r="O490" s="102"/>
      <c r="P490" s="102"/>
      <c r="Q490" s="102"/>
      <c r="S490" s="71"/>
    </row>
    <row r="491" spans="14:19" s="19" customFormat="1" x14ac:dyDescent="0.25">
      <c r="N491" s="102"/>
      <c r="O491" s="102"/>
      <c r="P491" s="102"/>
      <c r="Q491" s="102"/>
      <c r="S491" s="71"/>
    </row>
    <row r="492" spans="14:19" s="19" customFormat="1" x14ac:dyDescent="0.25">
      <c r="N492" s="102"/>
      <c r="O492" s="102"/>
      <c r="P492" s="102"/>
      <c r="Q492" s="102"/>
      <c r="S492" s="71"/>
    </row>
    <row r="493" spans="14:19" s="19" customFormat="1" x14ac:dyDescent="0.25">
      <c r="N493" s="102"/>
      <c r="O493" s="102"/>
      <c r="P493" s="102"/>
      <c r="Q493" s="102"/>
      <c r="S493" s="71"/>
    </row>
    <row r="494" spans="14:19" s="19" customFormat="1" x14ac:dyDescent="0.25">
      <c r="N494" s="102"/>
      <c r="O494" s="102"/>
      <c r="P494" s="102"/>
      <c r="Q494" s="102"/>
      <c r="S494" s="71"/>
    </row>
    <row r="495" spans="14:19" s="19" customFormat="1" x14ac:dyDescent="0.25">
      <c r="N495" s="102"/>
      <c r="O495" s="102"/>
      <c r="P495" s="102"/>
      <c r="Q495" s="102"/>
      <c r="S495" s="71"/>
    </row>
    <row r="496" spans="14:19" s="19" customFormat="1" x14ac:dyDescent="0.25">
      <c r="N496" s="102"/>
      <c r="O496" s="102"/>
      <c r="P496" s="102"/>
      <c r="Q496" s="102"/>
      <c r="S496" s="71"/>
    </row>
    <row r="497" spans="14:19" s="19" customFormat="1" x14ac:dyDescent="0.25">
      <c r="N497" s="102"/>
      <c r="O497" s="102"/>
      <c r="P497" s="102"/>
      <c r="Q497" s="102"/>
      <c r="S497" s="71"/>
    </row>
    <row r="498" spans="14:19" s="19" customFormat="1" x14ac:dyDescent="0.25">
      <c r="N498" s="102"/>
      <c r="O498" s="102"/>
      <c r="P498" s="102"/>
      <c r="Q498" s="102"/>
      <c r="S498" s="71"/>
    </row>
    <row r="499" spans="14:19" s="19" customFormat="1" x14ac:dyDescent="0.25">
      <c r="N499" s="102"/>
      <c r="O499" s="102"/>
      <c r="P499" s="102"/>
      <c r="Q499" s="102"/>
      <c r="S499" s="71"/>
    </row>
    <row r="500" spans="14:19" s="19" customFormat="1" x14ac:dyDescent="0.25">
      <c r="N500" s="102"/>
      <c r="O500" s="102"/>
      <c r="P500" s="102"/>
      <c r="Q500" s="102"/>
      <c r="S500" s="71"/>
    </row>
    <row r="501" spans="14:19" s="19" customFormat="1" x14ac:dyDescent="0.25">
      <c r="N501" s="102"/>
      <c r="O501" s="102"/>
      <c r="P501" s="102"/>
      <c r="Q501" s="102"/>
      <c r="S501" s="71"/>
    </row>
    <row r="502" spans="14:19" s="19" customFormat="1" x14ac:dyDescent="0.25">
      <c r="N502" s="102"/>
      <c r="O502" s="102"/>
      <c r="P502" s="102"/>
      <c r="Q502" s="102"/>
      <c r="S502" s="71"/>
    </row>
    <row r="503" spans="14:19" s="19" customFormat="1" x14ac:dyDescent="0.25">
      <c r="N503" s="102"/>
      <c r="O503" s="102"/>
      <c r="P503" s="102"/>
      <c r="Q503" s="102"/>
      <c r="S503" s="71"/>
    </row>
    <row r="504" spans="14:19" s="19" customFormat="1" x14ac:dyDescent="0.25">
      <c r="N504" s="102"/>
      <c r="O504" s="102"/>
      <c r="P504" s="102"/>
      <c r="Q504" s="102"/>
      <c r="S504" s="71"/>
    </row>
    <row r="505" spans="14:19" s="19" customFormat="1" x14ac:dyDescent="0.25">
      <c r="N505" s="102"/>
      <c r="O505" s="102"/>
      <c r="P505" s="102"/>
      <c r="Q505" s="102"/>
      <c r="S505" s="71"/>
    </row>
    <row r="506" spans="14:19" s="19" customFormat="1" x14ac:dyDescent="0.25">
      <c r="N506" s="102"/>
      <c r="O506" s="102"/>
      <c r="P506" s="102"/>
      <c r="Q506" s="102"/>
      <c r="S506" s="71"/>
    </row>
    <row r="507" spans="14:19" s="19" customFormat="1" x14ac:dyDescent="0.25">
      <c r="N507" s="102"/>
      <c r="O507" s="102"/>
      <c r="P507" s="102"/>
      <c r="Q507" s="102"/>
      <c r="S507" s="71"/>
    </row>
    <row r="508" spans="14:19" s="19" customFormat="1" x14ac:dyDescent="0.25">
      <c r="N508" s="102"/>
      <c r="O508" s="102"/>
      <c r="P508" s="102"/>
      <c r="Q508" s="102"/>
      <c r="S508" s="71"/>
    </row>
    <row r="509" spans="14:19" s="19" customFormat="1" x14ac:dyDescent="0.25">
      <c r="N509" s="102"/>
      <c r="O509" s="102"/>
      <c r="P509" s="102"/>
      <c r="Q509" s="102"/>
      <c r="S509" s="71"/>
    </row>
    <row r="510" spans="14:19" s="19" customFormat="1" x14ac:dyDescent="0.25">
      <c r="N510" s="102"/>
      <c r="O510" s="102"/>
      <c r="P510" s="102"/>
      <c r="Q510" s="102"/>
      <c r="S510" s="71"/>
    </row>
    <row r="511" spans="14:19" s="19" customFormat="1" x14ac:dyDescent="0.25">
      <c r="N511" s="102"/>
      <c r="O511" s="102"/>
      <c r="P511" s="102"/>
      <c r="Q511" s="102"/>
      <c r="S511" s="71"/>
    </row>
    <row r="512" spans="14:19" s="19" customFormat="1" x14ac:dyDescent="0.25">
      <c r="N512" s="102"/>
      <c r="O512" s="102"/>
      <c r="P512" s="102"/>
      <c r="Q512" s="102"/>
      <c r="S512" s="71"/>
    </row>
    <row r="513" spans="14:19" s="19" customFormat="1" x14ac:dyDescent="0.25">
      <c r="N513" s="102"/>
      <c r="O513" s="102"/>
      <c r="P513" s="102"/>
      <c r="Q513" s="102"/>
      <c r="S513" s="71"/>
    </row>
    <row r="514" spans="14:19" s="19" customFormat="1" x14ac:dyDescent="0.25">
      <c r="N514" s="102"/>
      <c r="O514" s="102"/>
      <c r="P514" s="102"/>
      <c r="Q514" s="102"/>
      <c r="S514" s="71"/>
    </row>
    <row r="515" spans="14:19" s="19" customFormat="1" x14ac:dyDescent="0.25">
      <c r="N515" s="102"/>
      <c r="O515" s="102"/>
      <c r="P515" s="102"/>
      <c r="Q515" s="102"/>
      <c r="S515" s="71"/>
    </row>
    <row r="516" spans="14:19" s="19" customFormat="1" x14ac:dyDescent="0.25">
      <c r="N516" s="102"/>
      <c r="O516" s="102"/>
      <c r="P516" s="102"/>
      <c r="Q516" s="102"/>
      <c r="S516" s="71"/>
    </row>
    <row r="517" spans="14:19" s="19" customFormat="1" x14ac:dyDescent="0.25">
      <c r="N517" s="102"/>
      <c r="O517" s="102"/>
      <c r="P517" s="102"/>
      <c r="Q517" s="102"/>
      <c r="S517" s="71"/>
    </row>
    <row r="518" spans="14:19" s="19" customFormat="1" x14ac:dyDescent="0.25">
      <c r="N518" s="102"/>
      <c r="O518" s="102"/>
      <c r="P518" s="102"/>
      <c r="Q518" s="102"/>
      <c r="S518" s="71"/>
    </row>
    <row r="519" spans="14:19" s="19" customFormat="1" x14ac:dyDescent="0.25">
      <c r="N519" s="102"/>
      <c r="O519" s="102"/>
      <c r="P519" s="102"/>
      <c r="Q519" s="102"/>
      <c r="S519" s="71"/>
    </row>
    <row r="520" spans="14:19" s="19" customFormat="1" x14ac:dyDescent="0.25">
      <c r="N520" s="102"/>
      <c r="O520" s="102"/>
      <c r="P520" s="102"/>
      <c r="Q520" s="102"/>
      <c r="S520" s="71"/>
    </row>
    <row r="521" spans="14:19" s="19" customFormat="1" x14ac:dyDescent="0.25">
      <c r="N521" s="102"/>
      <c r="O521" s="102"/>
      <c r="P521" s="102"/>
      <c r="Q521" s="102"/>
      <c r="S521" s="71"/>
    </row>
    <row r="522" spans="14:19" s="19" customFormat="1" x14ac:dyDescent="0.25">
      <c r="N522" s="102"/>
      <c r="O522" s="102"/>
      <c r="P522" s="102"/>
      <c r="Q522" s="102"/>
      <c r="S522" s="71"/>
    </row>
    <row r="523" spans="14:19" s="19" customFormat="1" x14ac:dyDescent="0.25">
      <c r="N523" s="102"/>
      <c r="O523" s="102"/>
      <c r="P523" s="102"/>
      <c r="Q523" s="102"/>
      <c r="S523" s="71"/>
    </row>
    <row r="524" spans="14:19" s="19" customFormat="1" x14ac:dyDescent="0.25">
      <c r="N524" s="102"/>
      <c r="O524" s="102"/>
      <c r="P524" s="102"/>
      <c r="Q524" s="102"/>
      <c r="S524" s="71"/>
    </row>
    <row r="525" spans="14:19" s="19" customFormat="1" x14ac:dyDescent="0.25">
      <c r="N525" s="102"/>
      <c r="O525" s="102"/>
      <c r="P525" s="102"/>
      <c r="Q525" s="102"/>
      <c r="S525" s="71"/>
    </row>
    <row r="526" spans="14:19" s="19" customFormat="1" x14ac:dyDescent="0.25">
      <c r="N526" s="102"/>
      <c r="O526" s="102"/>
      <c r="P526" s="102"/>
      <c r="Q526" s="102"/>
      <c r="S526" s="71"/>
    </row>
    <row r="527" spans="14:19" s="19" customFormat="1" x14ac:dyDescent="0.25">
      <c r="N527" s="102"/>
      <c r="O527" s="102"/>
      <c r="P527" s="102"/>
      <c r="Q527" s="102"/>
      <c r="S527" s="71"/>
    </row>
    <row r="528" spans="14:19" s="19" customFormat="1" x14ac:dyDescent="0.25">
      <c r="N528" s="102"/>
      <c r="O528" s="102"/>
      <c r="P528" s="102"/>
      <c r="Q528" s="102"/>
      <c r="S528" s="71"/>
    </row>
    <row r="529" spans="14:19" s="19" customFormat="1" x14ac:dyDescent="0.25">
      <c r="N529" s="102"/>
      <c r="O529" s="102"/>
      <c r="P529" s="102"/>
      <c r="Q529" s="102"/>
      <c r="S529" s="71"/>
    </row>
    <row r="530" spans="14:19" s="19" customFormat="1" x14ac:dyDescent="0.25">
      <c r="N530" s="102"/>
      <c r="O530" s="102"/>
      <c r="P530" s="102"/>
      <c r="Q530" s="102"/>
      <c r="S530" s="71"/>
    </row>
    <row r="531" spans="14:19" s="19" customFormat="1" x14ac:dyDescent="0.25">
      <c r="N531" s="102"/>
      <c r="O531" s="102"/>
      <c r="P531" s="102"/>
      <c r="Q531" s="102"/>
      <c r="S531" s="71"/>
    </row>
    <row r="532" spans="14:19" s="19" customFormat="1" x14ac:dyDescent="0.25">
      <c r="N532" s="102"/>
      <c r="O532" s="102"/>
      <c r="P532" s="102"/>
      <c r="Q532" s="102"/>
      <c r="S532" s="71"/>
    </row>
    <row r="533" spans="14:19" s="19" customFormat="1" x14ac:dyDescent="0.25">
      <c r="N533" s="102"/>
      <c r="O533" s="102"/>
      <c r="P533" s="102"/>
      <c r="Q533" s="102"/>
      <c r="S533" s="71"/>
    </row>
    <row r="534" spans="14:19" s="19" customFormat="1" x14ac:dyDescent="0.25">
      <c r="N534" s="102"/>
      <c r="O534" s="102"/>
      <c r="P534" s="102"/>
      <c r="Q534" s="102"/>
      <c r="S534" s="71"/>
    </row>
    <row r="535" spans="14:19" s="19" customFormat="1" x14ac:dyDescent="0.25">
      <c r="N535" s="102"/>
      <c r="O535" s="102"/>
      <c r="P535" s="102"/>
      <c r="Q535" s="102"/>
      <c r="S535" s="71"/>
    </row>
    <row r="536" spans="14:19" s="19" customFormat="1" x14ac:dyDescent="0.25">
      <c r="N536" s="102"/>
      <c r="O536" s="102"/>
      <c r="P536" s="102"/>
      <c r="Q536" s="102"/>
      <c r="S536" s="71"/>
    </row>
    <row r="537" spans="14:19" s="19" customFormat="1" x14ac:dyDescent="0.25">
      <c r="N537" s="102"/>
      <c r="O537" s="102"/>
      <c r="P537" s="102"/>
      <c r="Q537" s="102"/>
      <c r="S537" s="71"/>
    </row>
    <row r="538" spans="14:19" s="19" customFormat="1" x14ac:dyDescent="0.25">
      <c r="N538" s="102"/>
      <c r="O538" s="102"/>
      <c r="P538" s="102"/>
      <c r="Q538" s="102"/>
      <c r="S538" s="71"/>
    </row>
    <row r="539" spans="14:19" s="19" customFormat="1" x14ac:dyDescent="0.25">
      <c r="N539" s="102"/>
      <c r="O539" s="102"/>
      <c r="P539" s="102"/>
      <c r="Q539" s="102"/>
      <c r="S539" s="71"/>
    </row>
    <row r="540" spans="14:19" s="19" customFormat="1" x14ac:dyDescent="0.25">
      <c r="N540" s="102"/>
      <c r="O540" s="102"/>
      <c r="P540" s="102"/>
      <c r="Q540" s="102"/>
      <c r="S540" s="71"/>
    </row>
    <row r="541" spans="14:19" s="19" customFormat="1" x14ac:dyDescent="0.25">
      <c r="N541" s="102"/>
      <c r="O541" s="102"/>
      <c r="P541" s="102"/>
      <c r="Q541" s="102"/>
      <c r="S541" s="71"/>
    </row>
    <row r="542" spans="14:19" s="19" customFormat="1" x14ac:dyDescent="0.25">
      <c r="N542" s="102"/>
      <c r="O542" s="102"/>
      <c r="P542" s="102"/>
      <c r="Q542" s="102"/>
      <c r="S542" s="71"/>
    </row>
    <row r="543" spans="14:19" s="19" customFormat="1" x14ac:dyDescent="0.25">
      <c r="N543" s="102"/>
      <c r="O543" s="102"/>
      <c r="P543" s="102"/>
      <c r="Q543" s="102"/>
      <c r="S543" s="71"/>
    </row>
    <row r="544" spans="14:19" s="19" customFormat="1" x14ac:dyDescent="0.25">
      <c r="N544" s="102"/>
      <c r="O544" s="102"/>
      <c r="P544" s="102"/>
      <c r="Q544" s="102"/>
      <c r="S544" s="71"/>
    </row>
    <row r="545" spans="14:19" s="19" customFormat="1" x14ac:dyDescent="0.25">
      <c r="N545" s="102"/>
      <c r="O545" s="102"/>
      <c r="P545" s="102"/>
      <c r="Q545" s="102"/>
      <c r="S545" s="71"/>
    </row>
    <row r="546" spans="14:19" s="19" customFormat="1" x14ac:dyDescent="0.25">
      <c r="N546" s="102"/>
      <c r="O546" s="102"/>
      <c r="P546" s="102"/>
      <c r="Q546" s="102"/>
      <c r="S546" s="71"/>
    </row>
    <row r="547" spans="14:19" s="19" customFormat="1" x14ac:dyDescent="0.25">
      <c r="N547" s="102"/>
      <c r="O547" s="102"/>
      <c r="P547" s="102"/>
      <c r="Q547" s="102"/>
      <c r="S547" s="71"/>
    </row>
    <row r="548" spans="14:19" s="19" customFormat="1" x14ac:dyDescent="0.25">
      <c r="N548" s="102"/>
      <c r="O548" s="102"/>
      <c r="P548" s="102"/>
      <c r="Q548" s="102"/>
      <c r="S548" s="71"/>
    </row>
    <row r="549" spans="14:19" s="19" customFormat="1" x14ac:dyDescent="0.25">
      <c r="N549" s="102"/>
      <c r="O549" s="102"/>
      <c r="P549" s="102"/>
      <c r="Q549" s="102"/>
      <c r="S549" s="71"/>
    </row>
    <row r="550" spans="14:19" s="19" customFormat="1" x14ac:dyDescent="0.25">
      <c r="N550" s="102"/>
      <c r="O550" s="102"/>
      <c r="P550" s="102"/>
      <c r="Q550" s="102"/>
      <c r="S550" s="71"/>
    </row>
    <row r="551" spans="14:19" s="19" customFormat="1" x14ac:dyDescent="0.25">
      <c r="N551" s="102"/>
      <c r="O551" s="102"/>
      <c r="P551" s="102"/>
      <c r="Q551" s="102"/>
      <c r="S551" s="71"/>
    </row>
    <row r="552" spans="14:19" s="19" customFormat="1" x14ac:dyDescent="0.25">
      <c r="N552" s="102"/>
      <c r="O552" s="102"/>
      <c r="P552" s="102"/>
      <c r="Q552" s="102"/>
      <c r="S552" s="71"/>
    </row>
    <row r="553" spans="14:19" s="19" customFormat="1" x14ac:dyDescent="0.25">
      <c r="N553" s="102"/>
      <c r="O553" s="102"/>
      <c r="P553" s="102"/>
      <c r="Q553" s="102"/>
      <c r="S553" s="71"/>
    </row>
    <row r="554" spans="14:19" s="19" customFormat="1" x14ac:dyDescent="0.25">
      <c r="N554" s="102"/>
      <c r="O554" s="102"/>
      <c r="P554" s="102"/>
      <c r="Q554" s="102"/>
      <c r="S554" s="71"/>
    </row>
    <row r="555" spans="14:19" s="19" customFormat="1" x14ac:dyDescent="0.25">
      <c r="N555" s="102"/>
      <c r="O555" s="102"/>
      <c r="P555" s="102"/>
      <c r="Q555" s="102"/>
      <c r="S555" s="71"/>
    </row>
    <row r="556" spans="14:19" s="19" customFormat="1" x14ac:dyDescent="0.25">
      <c r="N556" s="102"/>
      <c r="O556" s="102"/>
      <c r="P556" s="102"/>
      <c r="Q556" s="102"/>
      <c r="S556" s="71"/>
    </row>
    <row r="557" spans="14:19" s="19" customFormat="1" x14ac:dyDescent="0.25">
      <c r="N557" s="102"/>
      <c r="O557" s="102"/>
      <c r="P557" s="102"/>
      <c r="Q557" s="102"/>
      <c r="S557" s="71"/>
    </row>
    <row r="558" spans="14:19" s="19" customFormat="1" x14ac:dyDescent="0.25">
      <c r="N558" s="102"/>
      <c r="O558" s="102"/>
      <c r="P558" s="102"/>
      <c r="Q558" s="102"/>
      <c r="S558" s="71"/>
    </row>
    <row r="559" spans="14:19" s="19" customFormat="1" x14ac:dyDescent="0.25">
      <c r="N559" s="102"/>
      <c r="O559" s="102"/>
      <c r="P559" s="102"/>
      <c r="Q559" s="102"/>
      <c r="S559" s="71"/>
    </row>
    <row r="560" spans="14:19" s="19" customFormat="1" x14ac:dyDescent="0.25">
      <c r="N560" s="102"/>
      <c r="O560" s="102"/>
      <c r="P560" s="102"/>
      <c r="Q560" s="102"/>
      <c r="S560" s="71"/>
    </row>
    <row r="561" spans="14:19" s="19" customFormat="1" x14ac:dyDescent="0.25">
      <c r="N561" s="102"/>
      <c r="O561" s="102"/>
      <c r="P561" s="102"/>
      <c r="Q561" s="102"/>
      <c r="S561" s="71"/>
    </row>
    <row r="562" spans="14:19" s="19" customFormat="1" x14ac:dyDescent="0.25">
      <c r="N562" s="102"/>
      <c r="O562" s="102"/>
      <c r="P562" s="102"/>
      <c r="Q562" s="102"/>
      <c r="S562" s="71"/>
    </row>
    <row r="563" spans="14:19" s="19" customFormat="1" x14ac:dyDescent="0.25">
      <c r="N563" s="102"/>
      <c r="O563" s="102"/>
      <c r="P563" s="102"/>
      <c r="Q563" s="102"/>
      <c r="S563" s="71"/>
    </row>
    <row r="564" spans="14:19" s="19" customFormat="1" x14ac:dyDescent="0.25">
      <c r="N564" s="102"/>
      <c r="O564" s="102"/>
      <c r="P564" s="102"/>
      <c r="Q564" s="102"/>
      <c r="S564" s="71"/>
    </row>
    <row r="565" spans="14:19" s="19" customFormat="1" x14ac:dyDescent="0.25">
      <c r="N565" s="102"/>
      <c r="O565" s="102"/>
      <c r="P565" s="102"/>
      <c r="Q565" s="102"/>
      <c r="S565" s="71"/>
    </row>
    <row r="566" spans="14:19" s="19" customFormat="1" x14ac:dyDescent="0.25">
      <c r="N566" s="102"/>
      <c r="O566" s="102"/>
      <c r="P566" s="102"/>
      <c r="Q566" s="102"/>
      <c r="S566" s="71"/>
    </row>
    <row r="567" spans="14:19" s="19" customFormat="1" x14ac:dyDescent="0.25">
      <c r="N567" s="102"/>
      <c r="O567" s="102"/>
      <c r="P567" s="102"/>
      <c r="Q567" s="102"/>
      <c r="S567" s="71"/>
    </row>
    <row r="568" spans="14:19" s="19" customFormat="1" x14ac:dyDescent="0.25">
      <c r="N568" s="102"/>
      <c r="O568" s="102"/>
      <c r="P568" s="102"/>
      <c r="Q568" s="102"/>
      <c r="S568" s="71"/>
    </row>
    <row r="569" spans="14:19" s="19" customFormat="1" x14ac:dyDescent="0.25">
      <c r="N569" s="102"/>
      <c r="O569" s="102"/>
      <c r="P569" s="102"/>
      <c r="Q569" s="102"/>
      <c r="S569" s="71"/>
    </row>
    <row r="570" spans="14:19" s="19" customFormat="1" x14ac:dyDescent="0.25">
      <c r="N570" s="102"/>
      <c r="O570" s="102"/>
      <c r="P570" s="102"/>
      <c r="Q570" s="102"/>
      <c r="S570" s="71"/>
    </row>
    <row r="571" spans="14:19" s="19" customFormat="1" x14ac:dyDescent="0.25">
      <c r="N571" s="102"/>
      <c r="O571" s="102"/>
      <c r="P571" s="102"/>
      <c r="Q571" s="102"/>
      <c r="S571" s="71"/>
    </row>
    <row r="572" spans="14:19" s="19" customFormat="1" x14ac:dyDescent="0.25">
      <c r="N572" s="102"/>
      <c r="O572" s="102"/>
      <c r="P572" s="102"/>
      <c r="Q572" s="102"/>
      <c r="S572" s="71"/>
    </row>
    <row r="573" spans="14:19" s="19" customFormat="1" x14ac:dyDescent="0.25">
      <c r="N573" s="102"/>
      <c r="O573" s="102"/>
      <c r="P573" s="102"/>
      <c r="Q573" s="102"/>
      <c r="S573" s="71"/>
    </row>
    <row r="574" spans="14:19" s="19" customFormat="1" x14ac:dyDescent="0.25">
      <c r="N574" s="102"/>
      <c r="O574" s="102"/>
      <c r="P574" s="102"/>
      <c r="Q574" s="102"/>
      <c r="S574" s="71"/>
    </row>
    <row r="575" spans="14:19" s="19" customFormat="1" x14ac:dyDescent="0.25">
      <c r="N575" s="102"/>
      <c r="O575" s="102"/>
      <c r="P575" s="102"/>
      <c r="Q575" s="102"/>
      <c r="S575" s="71"/>
    </row>
    <row r="576" spans="14:19" s="19" customFormat="1" x14ac:dyDescent="0.25">
      <c r="N576" s="102"/>
      <c r="O576" s="102"/>
      <c r="P576" s="102"/>
      <c r="Q576" s="102"/>
      <c r="S576" s="71"/>
    </row>
    <row r="577" spans="14:19" s="19" customFormat="1" x14ac:dyDescent="0.25">
      <c r="N577" s="102"/>
      <c r="O577" s="102"/>
      <c r="P577" s="102"/>
      <c r="Q577" s="102"/>
      <c r="S577" s="71"/>
    </row>
    <row r="578" spans="14:19" s="19" customFormat="1" x14ac:dyDescent="0.25">
      <c r="N578" s="102"/>
      <c r="O578" s="102"/>
      <c r="P578" s="102"/>
      <c r="Q578" s="102"/>
      <c r="S578" s="71"/>
    </row>
    <row r="579" spans="14:19" s="19" customFormat="1" x14ac:dyDescent="0.25">
      <c r="N579" s="102"/>
      <c r="O579" s="102"/>
      <c r="P579" s="102"/>
      <c r="Q579" s="102"/>
      <c r="S579" s="71"/>
    </row>
    <row r="580" spans="14:19" s="19" customFormat="1" x14ac:dyDescent="0.25">
      <c r="N580" s="102"/>
      <c r="O580" s="102"/>
      <c r="P580" s="102"/>
      <c r="Q580" s="102"/>
      <c r="S580" s="71"/>
    </row>
    <row r="581" spans="14:19" s="19" customFormat="1" x14ac:dyDescent="0.25">
      <c r="N581" s="102"/>
      <c r="O581" s="102"/>
      <c r="P581" s="102"/>
      <c r="Q581" s="102"/>
      <c r="S581" s="71"/>
    </row>
    <row r="582" spans="14:19" s="19" customFormat="1" x14ac:dyDescent="0.25">
      <c r="N582" s="102"/>
      <c r="O582" s="102"/>
      <c r="P582" s="102"/>
      <c r="Q582" s="102"/>
      <c r="S582" s="71"/>
    </row>
    <row r="583" spans="14:19" s="19" customFormat="1" x14ac:dyDescent="0.25">
      <c r="N583" s="102"/>
      <c r="O583" s="102"/>
      <c r="P583" s="102"/>
      <c r="Q583" s="102"/>
      <c r="S583" s="71"/>
    </row>
    <row r="584" spans="14:19" s="19" customFormat="1" x14ac:dyDescent="0.25">
      <c r="N584" s="102"/>
      <c r="O584" s="102"/>
      <c r="P584" s="102"/>
      <c r="Q584" s="102"/>
      <c r="S584" s="71"/>
    </row>
    <row r="585" spans="14:19" s="19" customFormat="1" x14ac:dyDescent="0.25">
      <c r="N585" s="102"/>
      <c r="O585" s="102"/>
      <c r="P585" s="102"/>
      <c r="Q585" s="102"/>
      <c r="S585" s="71"/>
    </row>
    <row r="586" spans="14:19" s="19" customFormat="1" x14ac:dyDescent="0.25">
      <c r="N586" s="102"/>
      <c r="O586" s="102"/>
      <c r="P586" s="102"/>
      <c r="Q586" s="102"/>
      <c r="S586" s="71"/>
    </row>
    <row r="587" spans="14:19" s="19" customFormat="1" x14ac:dyDescent="0.25">
      <c r="N587" s="102"/>
      <c r="O587" s="102"/>
      <c r="P587" s="102"/>
      <c r="Q587" s="102"/>
      <c r="S587" s="71"/>
    </row>
    <row r="588" spans="14:19" s="19" customFormat="1" x14ac:dyDescent="0.25">
      <c r="N588" s="102"/>
      <c r="O588" s="102"/>
      <c r="P588" s="102"/>
      <c r="Q588" s="102"/>
      <c r="S588" s="71"/>
    </row>
    <row r="589" spans="14:19" s="19" customFormat="1" x14ac:dyDescent="0.25">
      <c r="N589" s="102"/>
      <c r="O589" s="102"/>
      <c r="P589" s="102"/>
      <c r="Q589" s="102"/>
      <c r="S589" s="71"/>
    </row>
    <row r="590" spans="14:19" s="19" customFormat="1" x14ac:dyDescent="0.25">
      <c r="N590" s="102"/>
      <c r="O590" s="102"/>
      <c r="P590" s="102"/>
      <c r="Q590" s="102"/>
      <c r="S590" s="71"/>
    </row>
    <row r="591" spans="14:19" s="19" customFormat="1" x14ac:dyDescent="0.25">
      <c r="N591" s="102"/>
      <c r="O591" s="102"/>
      <c r="P591" s="102"/>
      <c r="Q591" s="102"/>
      <c r="S591" s="71"/>
    </row>
    <row r="592" spans="14:19" s="19" customFormat="1" x14ac:dyDescent="0.25">
      <c r="N592" s="102"/>
      <c r="O592" s="102"/>
      <c r="P592" s="102"/>
      <c r="Q592" s="102"/>
      <c r="S592" s="71"/>
    </row>
    <row r="593" spans="14:19" s="19" customFormat="1" x14ac:dyDescent="0.25">
      <c r="N593" s="102"/>
      <c r="O593" s="102"/>
      <c r="P593" s="102"/>
      <c r="Q593" s="102"/>
      <c r="S593" s="71"/>
    </row>
    <row r="594" spans="14:19" s="19" customFormat="1" x14ac:dyDescent="0.25">
      <c r="N594" s="102"/>
      <c r="O594" s="102"/>
      <c r="P594" s="102"/>
      <c r="Q594" s="102"/>
      <c r="S594" s="71"/>
    </row>
    <row r="595" spans="14:19" s="19" customFormat="1" x14ac:dyDescent="0.25">
      <c r="N595" s="102"/>
      <c r="O595" s="102"/>
      <c r="P595" s="102"/>
      <c r="Q595" s="102"/>
      <c r="S595" s="71"/>
    </row>
    <row r="596" spans="14:19" s="19" customFormat="1" x14ac:dyDescent="0.25">
      <c r="N596" s="102"/>
      <c r="O596" s="102"/>
      <c r="P596" s="102"/>
      <c r="Q596" s="102"/>
      <c r="S596" s="71"/>
    </row>
    <row r="597" spans="14:19" s="19" customFormat="1" x14ac:dyDescent="0.25">
      <c r="N597" s="102"/>
      <c r="O597" s="102"/>
      <c r="P597" s="102"/>
      <c r="Q597" s="102"/>
      <c r="S597" s="71"/>
    </row>
    <row r="598" spans="14:19" s="19" customFormat="1" x14ac:dyDescent="0.25">
      <c r="N598" s="102"/>
      <c r="O598" s="102"/>
      <c r="P598" s="102"/>
      <c r="Q598" s="102"/>
      <c r="S598" s="71"/>
    </row>
    <row r="599" spans="14:19" s="19" customFormat="1" x14ac:dyDescent="0.25">
      <c r="N599" s="102"/>
      <c r="O599" s="102"/>
      <c r="P599" s="102"/>
      <c r="Q599" s="102"/>
      <c r="S599" s="71"/>
    </row>
    <row r="600" spans="14:19" s="19" customFormat="1" x14ac:dyDescent="0.25">
      <c r="N600" s="102"/>
      <c r="O600" s="102"/>
      <c r="P600" s="102"/>
      <c r="Q600" s="102"/>
      <c r="S600" s="71"/>
    </row>
    <row r="601" spans="14:19" s="19" customFormat="1" x14ac:dyDescent="0.25">
      <c r="N601" s="102"/>
      <c r="O601" s="102"/>
      <c r="P601" s="102"/>
      <c r="Q601" s="102"/>
      <c r="S601" s="71"/>
    </row>
    <row r="602" spans="14:19" s="19" customFormat="1" x14ac:dyDescent="0.25">
      <c r="N602" s="102"/>
      <c r="O602" s="102"/>
      <c r="P602" s="102"/>
      <c r="Q602" s="102"/>
      <c r="S602" s="71"/>
    </row>
    <row r="603" spans="14:19" s="19" customFormat="1" x14ac:dyDescent="0.25">
      <c r="N603" s="102"/>
      <c r="O603" s="102"/>
      <c r="P603" s="102"/>
      <c r="Q603" s="102"/>
      <c r="S603" s="71"/>
    </row>
    <row r="604" spans="14:19" s="19" customFormat="1" x14ac:dyDescent="0.25">
      <c r="N604" s="102"/>
      <c r="O604" s="102"/>
      <c r="P604" s="102"/>
      <c r="Q604" s="102"/>
      <c r="S604" s="71"/>
    </row>
    <row r="605" spans="14:19" s="19" customFormat="1" x14ac:dyDescent="0.25">
      <c r="N605" s="102"/>
      <c r="O605" s="102"/>
      <c r="P605" s="102"/>
      <c r="Q605" s="102"/>
      <c r="S605" s="71"/>
    </row>
    <row r="606" spans="14:19" s="19" customFormat="1" x14ac:dyDescent="0.25">
      <c r="N606" s="102"/>
      <c r="O606" s="102"/>
      <c r="P606" s="102"/>
      <c r="Q606" s="102"/>
      <c r="S606" s="71"/>
    </row>
    <row r="607" spans="14:19" s="19" customFormat="1" x14ac:dyDescent="0.25">
      <c r="N607" s="102"/>
      <c r="O607" s="102"/>
      <c r="P607" s="102"/>
      <c r="Q607" s="102"/>
      <c r="S607" s="71"/>
    </row>
    <row r="608" spans="14:19" s="19" customFormat="1" x14ac:dyDescent="0.25">
      <c r="N608" s="102"/>
      <c r="O608" s="102"/>
      <c r="P608" s="102"/>
      <c r="Q608" s="102"/>
      <c r="S608" s="71"/>
    </row>
    <row r="609" spans="14:19" s="19" customFormat="1" x14ac:dyDescent="0.25">
      <c r="N609" s="102"/>
      <c r="O609" s="102"/>
      <c r="P609" s="102"/>
      <c r="Q609" s="102"/>
      <c r="S609" s="71"/>
    </row>
    <row r="610" spans="14:19" s="19" customFormat="1" x14ac:dyDescent="0.25">
      <c r="N610" s="102"/>
      <c r="O610" s="102"/>
      <c r="P610" s="102"/>
      <c r="Q610" s="102"/>
      <c r="S610" s="71"/>
    </row>
    <row r="611" spans="14:19" s="19" customFormat="1" x14ac:dyDescent="0.25">
      <c r="N611" s="102"/>
      <c r="O611" s="102"/>
      <c r="P611" s="102"/>
      <c r="Q611" s="102"/>
      <c r="S611" s="71"/>
    </row>
    <row r="612" spans="14:19" s="19" customFormat="1" x14ac:dyDescent="0.25">
      <c r="N612" s="102"/>
      <c r="O612" s="102"/>
      <c r="P612" s="102"/>
      <c r="Q612" s="102"/>
      <c r="S612" s="71"/>
    </row>
    <row r="613" spans="14:19" s="19" customFormat="1" x14ac:dyDescent="0.25">
      <c r="N613" s="102"/>
      <c r="O613" s="102"/>
      <c r="P613" s="102"/>
      <c r="Q613" s="102"/>
      <c r="S613" s="71"/>
    </row>
    <row r="614" spans="14:19" s="19" customFormat="1" x14ac:dyDescent="0.25">
      <c r="N614" s="102"/>
      <c r="O614" s="102"/>
      <c r="P614" s="102"/>
      <c r="Q614" s="102"/>
      <c r="S614" s="71"/>
    </row>
    <row r="615" spans="14:19" s="19" customFormat="1" x14ac:dyDescent="0.25">
      <c r="N615" s="102"/>
      <c r="O615" s="102"/>
      <c r="P615" s="102"/>
      <c r="Q615" s="102"/>
      <c r="S615" s="71"/>
    </row>
    <row r="616" spans="14:19" s="19" customFormat="1" x14ac:dyDescent="0.25">
      <c r="N616" s="102"/>
      <c r="O616" s="102"/>
      <c r="P616" s="102"/>
      <c r="Q616" s="102"/>
      <c r="S616" s="71"/>
    </row>
    <row r="617" spans="14:19" s="19" customFormat="1" x14ac:dyDescent="0.25">
      <c r="N617" s="102"/>
      <c r="O617" s="102"/>
      <c r="P617" s="102"/>
      <c r="Q617" s="102"/>
      <c r="S617" s="71"/>
    </row>
    <row r="618" spans="14:19" s="19" customFormat="1" x14ac:dyDescent="0.25">
      <c r="N618" s="102"/>
      <c r="O618" s="102"/>
      <c r="P618" s="102"/>
      <c r="Q618" s="102"/>
      <c r="S618" s="71"/>
    </row>
    <row r="619" spans="14:19" s="19" customFormat="1" x14ac:dyDescent="0.25">
      <c r="N619" s="102"/>
      <c r="O619" s="102"/>
      <c r="P619" s="102"/>
      <c r="Q619" s="102"/>
      <c r="S619" s="71"/>
    </row>
    <row r="620" spans="14:19" s="19" customFormat="1" x14ac:dyDescent="0.25">
      <c r="N620" s="102"/>
      <c r="O620" s="102"/>
      <c r="P620" s="102"/>
      <c r="Q620" s="102"/>
      <c r="S620" s="71"/>
    </row>
    <row r="621" spans="14:19" s="19" customFormat="1" x14ac:dyDescent="0.25">
      <c r="N621" s="102"/>
      <c r="O621" s="102"/>
      <c r="P621" s="102"/>
      <c r="Q621" s="102"/>
      <c r="S621" s="71"/>
    </row>
    <row r="622" spans="14:19" s="19" customFormat="1" x14ac:dyDescent="0.25">
      <c r="N622" s="102"/>
      <c r="O622" s="102"/>
      <c r="P622" s="102"/>
      <c r="Q622" s="102"/>
      <c r="S622" s="71"/>
    </row>
    <row r="623" spans="14:19" s="19" customFormat="1" x14ac:dyDescent="0.25">
      <c r="N623" s="102"/>
      <c r="O623" s="102"/>
      <c r="P623" s="102"/>
      <c r="Q623" s="102"/>
      <c r="S623" s="71"/>
    </row>
    <row r="624" spans="14:19" s="19" customFormat="1" x14ac:dyDescent="0.25">
      <c r="N624" s="102"/>
      <c r="O624" s="102"/>
      <c r="P624" s="102"/>
      <c r="Q624" s="102"/>
      <c r="S624" s="71"/>
    </row>
    <row r="625" spans="14:19" s="19" customFormat="1" x14ac:dyDescent="0.25">
      <c r="N625" s="102"/>
      <c r="O625" s="102"/>
      <c r="P625" s="102"/>
      <c r="Q625" s="102"/>
      <c r="S625" s="71"/>
    </row>
    <row r="626" spans="14:19" s="19" customFormat="1" x14ac:dyDescent="0.25">
      <c r="N626" s="102"/>
      <c r="O626" s="102"/>
      <c r="P626" s="102"/>
      <c r="Q626" s="102"/>
      <c r="S626" s="71"/>
    </row>
    <row r="627" spans="14:19" s="19" customFormat="1" x14ac:dyDescent="0.25">
      <c r="N627" s="102"/>
      <c r="O627" s="102"/>
      <c r="P627" s="102"/>
      <c r="Q627" s="102"/>
      <c r="S627" s="71"/>
    </row>
    <row r="628" spans="14:19" s="19" customFormat="1" x14ac:dyDescent="0.25">
      <c r="N628" s="102"/>
      <c r="O628" s="102"/>
      <c r="P628" s="102"/>
      <c r="Q628" s="102"/>
      <c r="S628" s="71"/>
    </row>
    <row r="629" spans="14:19" s="19" customFormat="1" x14ac:dyDescent="0.25">
      <c r="N629" s="102"/>
      <c r="O629" s="102"/>
      <c r="P629" s="102"/>
      <c r="Q629" s="102"/>
      <c r="S629" s="71"/>
    </row>
    <row r="630" spans="14:19" s="19" customFormat="1" x14ac:dyDescent="0.25">
      <c r="N630" s="102"/>
      <c r="O630" s="102"/>
      <c r="P630" s="102"/>
      <c r="Q630" s="102"/>
      <c r="S630" s="71"/>
    </row>
    <row r="631" spans="14:19" s="19" customFormat="1" x14ac:dyDescent="0.25">
      <c r="N631" s="102"/>
      <c r="O631" s="102"/>
      <c r="P631" s="102"/>
      <c r="Q631" s="102"/>
      <c r="S631" s="71"/>
    </row>
    <row r="632" spans="14:19" s="19" customFormat="1" x14ac:dyDescent="0.25">
      <c r="N632" s="102"/>
      <c r="O632" s="102"/>
      <c r="P632" s="102"/>
      <c r="Q632" s="102"/>
      <c r="S632" s="71"/>
    </row>
    <row r="633" spans="14:19" s="19" customFormat="1" x14ac:dyDescent="0.25">
      <c r="N633" s="102"/>
      <c r="O633" s="102"/>
      <c r="P633" s="102"/>
      <c r="Q633" s="102"/>
      <c r="S633" s="71"/>
    </row>
    <row r="634" spans="14:19" s="19" customFormat="1" x14ac:dyDescent="0.25">
      <c r="N634" s="102"/>
      <c r="O634" s="102"/>
      <c r="P634" s="102"/>
      <c r="Q634" s="102"/>
      <c r="S634" s="71"/>
    </row>
    <row r="635" spans="14:19" s="19" customFormat="1" x14ac:dyDescent="0.25">
      <c r="N635" s="102"/>
      <c r="O635" s="102"/>
      <c r="P635" s="102"/>
      <c r="Q635" s="102"/>
      <c r="S635" s="71"/>
    </row>
    <row r="636" spans="14:19" s="19" customFormat="1" x14ac:dyDescent="0.25">
      <c r="N636" s="102"/>
      <c r="O636" s="102"/>
      <c r="P636" s="102"/>
      <c r="Q636" s="102"/>
      <c r="S636" s="71"/>
    </row>
    <row r="637" spans="14:19" s="19" customFormat="1" x14ac:dyDescent="0.25">
      <c r="N637" s="102"/>
      <c r="O637" s="102"/>
      <c r="P637" s="102"/>
      <c r="Q637" s="102"/>
      <c r="S637" s="71"/>
    </row>
    <row r="638" spans="14:19" s="19" customFormat="1" x14ac:dyDescent="0.25">
      <c r="N638" s="102"/>
      <c r="O638" s="102"/>
      <c r="P638" s="102"/>
      <c r="Q638" s="102"/>
      <c r="S638" s="71"/>
    </row>
    <row r="639" spans="14:19" s="19" customFormat="1" x14ac:dyDescent="0.25">
      <c r="N639" s="102"/>
      <c r="O639" s="102"/>
      <c r="P639" s="102"/>
      <c r="Q639" s="102"/>
      <c r="S639" s="71"/>
    </row>
    <row r="640" spans="14:19" s="19" customFormat="1" x14ac:dyDescent="0.25">
      <c r="N640" s="102"/>
      <c r="O640" s="102"/>
      <c r="P640" s="102"/>
      <c r="Q640" s="102"/>
      <c r="S640" s="71"/>
    </row>
    <row r="641" spans="14:19" s="19" customFormat="1" x14ac:dyDescent="0.25">
      <c r="N641" s="102"/>
      <c r="O641" s="102"/>
      <c r="P641" s="102"/>
      <c r="Q641" s="102"/>
      <c r="S641" s="71"/>
    </row>
    <row r="642" spans="14:19" s="19" customFormat="1" x14ac:dyDescent="0.25">
      <c r="N642" s="102"/>
      <c r="O642" s="102"/>
      <c r="P642" s="102"/>
      <c r="Q642" s="102"/>
      <c r="S642" s="71"/>
    </row>
    <row r="643" spans="14:19" s="19" customFormat="1" x14ac:dyDescent="0.25">
      <c r="N643" s="102"/>
      <c r="O643" s="102"/>
      <c r="P643" s="102"/>
      <c r="Q643" s="102"/>
      <c r="S643" s="71"/>
    </row>
    <row r="644" spans="14:19" s="19" customFormat="1" x14ac:dyDescent="0.25">
      <c r="N644" s="102"/>
      <c r="O644" s="102"/>
      <c r="P644" s="102"/>
      <c r="Q644" s="102"/>
      <c r="S644" s="71"/>
    </row>
    <row r="645" spans="14:19" s="19" customFormat="1" x14ac:dyDescent="0.25">
      <c r="N645" s="102"/>
      <c r="O645" s="102"/>
      <c r="P645" s="102"/>
      <c r="Q645" s="102"/>
      <c r="S645" s="71"/>
    </row>
    <row r="646" spans="14:19" s="19" customFormat="1" x14ac:dyDescent="0.25">
      <c r="N646" s="102"/>
      <c r="O646" s="102"/>
      <c r="P646" s="102"/>
      <c r="Q646" s="102"/>
      <c r="S646" s="71"/>
    </row>
    <row r="647" spans="14:19" s="19" customFormat="1" x14ac:dyDescent="0.25">
      <c r="N647" s="102"/>
      <c r="O647" s="102"/>
      <c r="P647" s="102"/>
      <c r="Q647" s="102"/>
      <c r="S647" s="71"/>
    </row>
    <row r="648" spans="14:19" s="19" customFormat="1" x14ac:dyDescent="0.25">
      <c r="N648" s="102"/>
      <c r="O648" s="102"/>
      <c r="P648" s="102"/>
      <c r="Q648" s="102"/>
      <c r="S648" s="71"/>
    </row>
    <row r="649" spans="14:19" s="19" customFormat="1" x14ac:dyDescent="0.25">
      <c r="N649" s="102"/>
      <c r="O649" s="102"/>
      <c r="P649" s="102"/>
      <c r="Q649" s="102"/>
      <c r="S649" s="71"/>
    </row>
    <row r="650" spans="14:19" s="19" customFormat="1" x14ac:dyDescent="0.25">
      <c r="N650" s="102"/>
      <c r="O650" s="102"/>
      <c r="P650" s="102"/>
      <c r="Q650" s="102"/>
      <c r="S650" s="71"/>
    </row>
    <row r="651" spans="14:19" s="19" customFormat="1" x14ac:dyDescent="0.25">
      <c r="N651" s="102"/>
      <c r="O651" s="102"/>
      <c r="P651" s="102"/>
      <c r="Q651" s="102"/>
      <c r="S651" s="71"/>
    </row>
    <row r="652" spans="14:19" s="19" customFormat="1" x14ac:dyDescent="0.25">
      <c r="N652" s="102"/>
      <c r="O652" s="102"/>
      <c r="P652" s="102"/>
      <c r="Q652" s="102"/>
      <c r="S652" s="71"/>
    </row>
    <row r="653" spans="14:19" s="19" customFormat="1" x14ac:dyDescent="0.25">
      <c r="N653" s="102"/>
      <c r="O653" s="102"/>
      <c r="P653" s="102"/>
      <c r="Q653" s="102"/>
      <c r="S653" s="71"/>
    </row>
    <row r="654" spans="14:19" s="19" customFormat="1" x14ac:dyDescent="0.25">
      <c r="N654" s="102"/>
      <c r="O654" s="102"/>
      <c r="P654" s="102"/>
      <c r="Q654" s="102"/>
      <c r="S654" s="71"/>
    </row>
    <row r="655" spans="14:19" s="19" customFormat="1" x14ac:dyDescent="0.25">
      <c r="N655" s="102"/>
      <c r="O655" s="102"/>
      <c r="P655" s="102"/>
      <c r="Q655" s="102"/>
      <c r="S655" s="71"/>
    </row>
    <row r="656" spans="14:19" s="19" customFormat="1" x14ac:dyDescent="0.25">
      <c r="N656" s="102"/>
      <c r="O656" s="102"/>
      <c r="P656" s="102"/>
      <c r="Q656" s="102"/>
      <c r="S656" s="71"/>
    </row>
    <row r="657" spans="14:19" s="19" customFormat="1" x14ac:dyDescent="0.25">
      <c r="N657" s="102"/>
      <c r="O657" s="102"/>
      <c r="P657" s="102"/>
      <c r="Q657" s="102"/>
      <c r="S657" s="71"/>
    </row>
    <row r="658" spans="14:19" s="19" customFormat="1" x14ac:dyDescent="0.25">
      <c r="N658" s="102"/>
      <c r="O658" s="102"/>
      <c r="P658" s="102"/>
      <c r="Q658" s="102"/>
      <c r="S658" s="71"/>
    </row>
    <row r="659" spans="14:19" s="19" customFormat="1" x14ac:dyDescent="0.25">
      <c r="N659" s="102"/>
      <c r="O659" s="102"/>
      <c r="P659" s="102"/>
      <c r="Q659" s="102"/>
      <c r="S659" s="71"/>
    </row>
    <row r="660" spans="14:19" s="19" customFormat="1" x14ac:dyDescent="0.25">
      <c r="N660" s="102"/>
      <c r="O660" s="102"/>
      <c r="P660" s="102"/>
      <c r="Q660" s="102"/>
      <c r="S660" s="71"/>
    </row>
    <row r="661" spans="14:19" s="19" customFormat="1" x14ac:dyDescent="0.25">
      <c r="N661" s="102"/>
      <c r="O661" s="102"/>
      <c r="P661" s="102"/>
      <c r="Q661" s="102"/>
      <c r="S661" s="71"/>
    </row>
    <row r="662" spans="14:19" s="19" customFormat="1" x14ac:dyDescent="0.25">
      <c r="N662" s="102"/>
      <c r="O662" s="102"/>
      <c r="P662" s="102"/>
      <c r="Q662" s="102"/>
      <c r="S662" s="71"/>
    </row>
    <row r="663" spans="14:19" s="19" customFormat="1" x14ac:dyDescent="0.25">
      <c r="N663" s="102"/>
      <c r="O663" s="102"/>
      <c r="P663" s="102"/>
      <c r="Q663" s="102"/>
      <c r="S663" s="71"/>
    </row>
    <row r="664" spans="14:19" s="19" customFormat="1" x14ac:dyDescent="0.25">
      <c r="N664" s="102"/>
      <c r="O664" s="102"/>
      <c r="P664" s="102"/>
      <c r="Q664" s="102"/>
      <c r="S664" s="71"/>
    </row>
    <row r="665" spans="14:19" s="19" customFormat="1" x14ac:dyDescent="0.25">
      <c r="N665" s="102"/>
      <c r="O665" s="102"/>
      <c r="P665" s="102"/>
      <c r="Q665" s="102"/>
      <c r="S665" s="71"/>
    </row>
    <row r="666" spans="14:19" s="19" customFormat="1" x14ac:dyDescent="0.25">
      <c r="N666" s="102"/>
      <c r="O666" s="102"/>
      <c r="P666" s="102"/>
      <c r="Q666" s="102"/>
      <c r="S666" s="71"/>
    </row>
    <row r="667" spans="14:19" s="19" customFormat="1" x14ac:dyDescent="0.25">
      <c r="N667" s="102"/>
      <c r="O667" s="102"/>
      <c r="P667" s="102"/>
      <c r="Q667" s="102"/>
      <c r="S667" s="71"/>
    </row>
    <row r="668" spans="14:19" s="19" customFormat="1" x14ac:dyDescent="0.25">
      <c r="N668" s="102"/>
      <c r="O668" s="102"/>
      <c r="P668" s="102"/>
      <c r="Q668" s="102"/>
      <c r="S668" s="71"/>
    </row>
    <row r="669" spans="14:19" s="19" customFormat="1" x14ac:dyDescent="0.25">
      <c r="N669" s="102"/>
      <c r="O669" s="102"/>
      <c r="P669" s="102"/>
      <c r="Q669" s="102"/>
      <c r="S669" s="71"/>
    </row>
    <row r="670" spans="14:19" s="19" customFormat="1" x14ac:dyDescent="0.25">
      <c r="N670" s="102"/>
      <c r="O670" s="102"/>
      <c r="P670" s="102"/>
      <c r="Q670" s="102"/>
      <c r="S670" s="71"/>
    </row>
    <row r="671" spans="14:19" s="19" customFormat="1" x14ac:dyDescent="0.25">
      <c r="N671" s="102"/>
      <c r="O671" s="102"/>
      <c r="P671" s="102"/>
      <c r="Q671" s="102"/>
      <c r="S671" s="71"/>
    </row>
    <row r="672" spans="14:19" s="19" customFormat="1" x14ac:dyDescent="0.25">
      <c r="N672" s="102"/>
      <c r="O672" s="102"/>
      <c r="P672" s="102"/>
      <c r="Q672" s="102"/>
      <c r="S672" s="71"/>
    </row>
    <row r="673" spans="14:19" s="19" customFormat="1" x14ac:dyDescent="0.25">
      <c r="N673" s="102"/>
      <c r="O673" s="102"/>
      <c r="P673" s="102"/>
      <c r="Q673" s="102"/>
      <c r="S673" s="71"/>
    </row>
    <row r="674" spans="14:19" s="19" customFormat="1" x14ac:dyDescent="0.25">
      <c r="N674" s="102"/>
      <c r="O674" s="102"/>
      <c r="P674" s="102"/>
      <c r="Q674" s="102"/>
      <c r="S674" s="71"/>
    </row>
    <row r="675" spans="14:19" s="19" customFormat="1" x14ac:dyDescent="0.25">
      <c r="N675" s="102"/>
      <c r="O675" s="102"/>
      <c r="P675" s="102"/>
      <c r="Q675" s="102"/>
      <c r="S675" s="71"/>
    </row>
    <row r="676" spans="14:19" s="19" customFormat="1" x14ac:dyDescent="0.25">
      <c r="N676" s="102"/>
      <c r="O676" s="102"/>
      <c r="P676" s="102"/>
      <c r="Q676" s="102"/>
      <c r="S676" s="71"/>
    </row>
    <row r="677" spans="14:19" s="19" customFormat="1" x14ac:dyDescent="0.25">
      <c r="N677" s="102"/>
      <c r="O677" s="102"/>
      <c r="P677" s="102"/>
      <c r="Q677" s="102"/>
      <c r="S677" s="71"/>
    </row>
    <row r="678" spans="14:19" s="19" customFormat="1" x14ac:dyDescent="0.25">
      <c r="N678" s="102"/>
      <c r="O678" s="102"/>
      <c r="P678" s="102"/>
      <c r="Q678" s="102"/>
      <c r="S678" s="71"/>
    </row>
    <row r="679" spans="14:19" s="19" customFormat="1" x14ac:dyDescent="0.25">
      <c r="N679" s="102"/>
      <c r="O679" s="102"/>
      <c r="P679" s="102"/>
      <c r="Q679" s="102"/>
      <c r="S679" s="71"/>
    </row>
    <row r="680" spans="14:19" s="19" customFormat="1" x14ac:dyDescent="0.25">
      <c r="N680" s="102"/>
      <c r="O680" s="102"/>
      <c r="P680" s="102"/>
      <c r="Q680" s="102"/>
      <c r="S680" s="71"/>
    </row>
    <row r="681" spans="14:19" s="19" customFormat="1" x14ac:dyDescent="0.25">
      <c r="N681" s="102"/>
      <c r="O681" s="102"/>
      <c r="P681" s="102"/>
      <c r="Q681" s="102"/>
      <c r="S681" s="71"/>
    </row>
    <row r="682" spans="14:19" s="19" customFormat="1" x14ac:dyDescent="0.25">
      <c r="N682" s="102"/>
      <c r="O682" s="102"/>
      <c r="P682" s="102"/>
      <c r="Q682" s="102"/>
      <c r="S682" s="71"/>
    </row>
    <row r="683" spans="14:19" s="19" customFormat="1" x14ac:dyDescent="0.25">
      <c r="N683" s="102"/>
      <c r="O683" s="102"/>
      <c r="P683" s="102"/>
      <c r="Q683" s="102"/>
      <c r="S683" s="71"/>
    </row>
    <row r="684" spans="14:19" s="19" customFormat="1" x14ac:dyDescent="0.25">
      <c r="N684" s="102"/>
      <c r="O684" s="102"/>
      <c r="P684" s="102"/>
      <c r="Q684" s="102"/>
      <c r="S684" s="71"/>
    </row>
    <row r="685" spans="14:19" s="19" customFormat="1" x14ac:dyDescent="0.25">
      <c r="N685" s="102"/>
      <c r="O685" s="102"/>
      <c r="P685" s="102"/>
      <c r="Q685" s="102"/>
      <c r="S685" s="71"/>
    </row>
    <row r="686" spans="14:19" s="19" customFormat="1" x14ac:dyDescent="0.25">
      <c r="N686" s="102"/>
      <c r="O686" s="102"/>
      <c r="P686" s="102"/>
      <c r="Q686" s="102"/>
      <c r="S686" s="71"/>
    </row>
    <row r="687" spans="14:19" s="19" customFormat="1" x14ac:dyDescent="0.25">
      <c r="N687" s="102"/>
      <c r="O687" s="102"/>
      <c r="P687" s="102"/>
      <c r="Q687" s="102"/>
      <c r="S687" s="71"/>
    </row>
    <row r="688" spans="14:19" s="19" customFormat="1" x14ac:dyDescent="0.25">
      <c r="N688" s="102"/>
      <c r="O688" s="102"/>
      <c r="P688" s="102"/>
      <c r="Q688" s="102"/>
      <c r="S688" s="71"/>
    </row>
    <row r="689" spans="14:19" s="19" customFormat="1" x14ac:dyDescent="0.25">
      <c r="N689" s="102"/>
      <c r="O689" s="102"/>
      <c r="P689" s="102"/>
      <c r="Q689" s="102"/>
      <c r="S689" s="71"/>
    </row>
    <row r="690" spans="14:19" s="19" customFormat="1" x14ac:dyDescent="0.25">
      <c r="N690" s="102"/>
      <c r="O690" s="102"/>
      <c r="P690" s="102"/>
      <c r="Q690" s="102"/>
      <c r="S690" s="71"/>
    </row>
    <row r="691" spans="14:19" s="19" customFormat="1" x14ac:dyDescent="0.25">
      <c r="N691" s="102"/>
      <c r="O691" s="102"/>
      <c r="P691" s="102"/>
      <c r="Q691" s="102"/>
      <c r="S691" s="71"/>
    </row>
    <row r="692" spans="14:19" s="19" customFormat="1" x14ac:dyDescent="0.25">
      <c r="N692" s="102"/>
      <c r="O692" s="102"/>
      <c r="P692" s="102"/>
      <c r="Q692" s="102"/>
      <c r="S692" s="71"/>
    </row>
    <row r="693" spans="14:19" s="19" customFormat="1" x14ac:dyDescent="0.25">
      <c r="N693" s="102"/>
      <c r="O693" s="102"/>
      <c r="P693" s="102"/>
      <c r="Q693" s="102"/>
      <c r="S693" s="71"/>
    </row>
    <row r="694" spans="14:19" s="19" customFormat="1" x14ac:dyDescent="0.25">
      <c r="N694" s="102"/>
      <c r="O694" s="102"/>
      <c r="P694" s="102"/>
      <c r="Q694" s="102"/>
      <c r="S694" s="71"/>
    </row>
    <row r="695" spans="14:19" s="19" customFormat="1" x14ac:dyDescent="0.25">
      <c r="N695" s="102"/>
      <c r="O695" s="102"/>
      <c r="P695" s="102"/>
      <c r="Q695" s="102"/>
      <c r="S695" s="71"/>
    </row>
    <row r="696" spans="14:19" s="19" customFormat="1" x14ac:dyDescent="0.25">
      <c r="N696" s="102"/>
      <c r="O696" s="102"/>
      <c r="P696" s="102"/>
      <c r="Q696" s="102"/>
      <c r="S696" s="71"/>
    </row>
    <row r="697" spans="14:19" s="19" customFormat="1" x14ac:dyDescent="0.25">
      <c r="N697" s="102"/>
      <c r="O697" s="102"/>
      <c r="P697" s="102"/>
      <c r="Q697" s="102"/>
      <c r="S697" s="71"/>
    </row>
    <row r="698" spans="14:19" s="19" customFormat="1" x14ac:dyDescent="0.25">
      <c r="N698" s="102"/>
      <c r="O698" s="102"/>
      <c r="P698" s="102"/>
      <c r="Q698" s="102"/>
      <c r="S698" s="71"/>
    </row>
    <row r="699" spans="14:19" s="19" customFormat="1" x14ac:dyDescent="0.25">
      <c r="N699" s="102"/>
      <c r="O699" s="102"/>
      <c r="P699" s="102"/>
      <c r="Q699" s="102"/>
      <c r="S699" s="71"/>
    </row>
    <row r="700" spans="14:19" s="19" customFormat="1" x14ac:dyDescent="0.25">
      <c r="N700" s="102"/>
      <c r="O700" s="102"/>
      <c r="P700" s="102"/>
      <c r="Q700" s="102"/>
      <c r="S700" s="71"/>
    </row>
    <row r="701" spans="14:19" s="19" customFormat="1" x14ac:dyDescent="0.25">
      <c r="N701" s="102"/>
      <c r="O701" s="102"/>
      <c r="P701" s="102"/>
      <c r="Q701" s="102"/>
      <c r="S701" s="71"/>
    </row>
    <row r="702" spans="14:19" s="19" customFormat="1" x14ac:dyDescent="0.25">
      <c r="N702" s="102"/>
      <c r="O702" s="102"/>
      <c r="P702" s="102"/>
      <c r="Q702" s="102"/>
      <c r="S702" s="71"/>
    </row>
    <row r="703" spans="14:19" s="19" customFormat="1" x14ac:dyDescent="0.25">
      <c r="N703" s="102"/>
      <c r="O703" s="102"/>
      <c r="P703" s="102"/>
      <c r="Q703" s="102"/>
      <c r="S703" s="71"/>
    </row>
    <row r="704" spans="14:19" s="19" customFormat="1" x14ac:dyDescent="0.25">
      <c r="N704" s="102"/>
      <c r="O704" s="102"/>
      <c r="P704" s="102"/>
      <c r="Q704" s="102"/>
      <c r="S704" s="71"/>
    </row>
    <row r="705" spans="14:19" s="19" customFormat="1" x14ac:dyDescent="0.25">
      <c r="N705" s="102"/>
      <c r="O705" s="102"/>
      <c r="P705" s="102"/>
      <c r="Q705" s="102"/>
      <c r="S705" s="71"/>
    </row>
    <row r="706" spans="14:19" s="19" customFormat="1" x14ac:dyDescent="0.25">
      <c r="N706" s="102"/>
      <c r="O706" s="102"/>
      <c r="P706" s="102"/>
      <c r="Q706" s="102"/>
      <c r="S706" s="71"/>
    </row>
    <row r="707" spans="14:19" s="19" customFormat="1" x14ac:dyDescent="0.25">
      <c r="N707" s="102"/>
      <c r="O707" s="102"/>
      <c r="P707" s="102"/>
      <c r="Q707" s="102"/>
      <c r="S707" s="71"/>
    </row>
    <row r="708" spans="14:19" s="19" customFormat="1" x14ac:dyDescent="0.25">
      <c r="N708" s="102"/>
      <c r="O708" s="102"/>
      <c r="P708" s="102"/>
      <c r="Q708" s="102"/>
      <c r="S708" s="71"/>
    </row>
    <row r="709" spans="14:19" s="19" customFormat="1" x14ac:dyDescent="0.25">
      <c r="N709" s="102"/>
      <c r="O709" s="102"/>
      <c r="P709" s="102"/>
      <c r="Q709" s="102"/>
      <c r="S709" s="71"/>
    </row>
    <row r="710" spans="14:19" s="19" customFormat="1" x14ac:dyDescent="0.25">
      <c r="N710" s="102"/>
      <c r="O710" s="102"/>
      <c r="P710" s="102"/>
      <c r="Q710" s="102"/>
      <c r="S710" s="71"/>
    </row>
    <row r="711" spans="14:19" s="19" customFormat="1" x14ac:dyDescent="0.25">
      <c r="N711" s="102"/>
      <c r="O711" s="102"/>
      <c r="P711" s="102"/>
      <c r="Q711" s="102"/>
      <c r="S711" s="71"/>
    </row>
    <row r="712" spans="14:19" s="19" customFormat="1" x14ac:dyDescent="0.25">
      <c r="N712" s="102"/>
      <c r="O712" s="102"/>
      <c r="P712" s="102"/>
      <c r="Q712" s="102"/>
      <c r="S712" s="71"/>
    </row>
    <row r="713" spans="14:19" s="19" customFormat="1" x14ac:dyDescent="0.25">
      <c r="N713" s="102"/>
      <c r="O713" s="102"/>
      <c r="P713" s="102"/>
      <c r="Q713" s="102"/>
      <c r="S713" s="71"/>
    </row>
    <row r="714" spans="14:19" s="19" customFormat="1" x14ac:dyDescent="0.25">
      <c r="N714" s="102"/>
      <c r="O714" s="102"/>
      <c r="P714" s="102"/>
      <c r="Q714" s="102"/>
      <c r="S714" s="71"/>
    </row>
    <row r="715" spans="14:19" s="19" customFormat="1" x14ac:dyDescent="0.25">
      <c r="N715" s="102"/>
      <c r="O715" s="102"/>
      <c r="P715" s="102"/>
      <c r="Q715" s="102"/>
      <c r="S715" s="71"/>
    </row>
    <row r="716" spans="14:19" s="19" customFormat="1" x14ac:dyDescent="0.25">
      <c r="N716" s="102"/>
      <c r="O716" s="102"/>
      <c r="P716" s="102"/>
      <c r="Q716" s="102"/>
      <c r="S716" s="71"/>
    </row>
    <row r="717" spans="14:19" s="19" customFormat="1" x14ac:dyDescent="0.25">
      <c r="N717" s="102"/>
      <c r="O717" s="102"/>
      <c r="P717" s="102"/>
      <c r="Q717" s="102"/>
      <c r="S717" s="71"/>
    </row>
    <row r="718" spans="14:19" s="19" customFormat="1" x14ac:dyDescent="0.25">
      <c r="N718" s="102"/>
      <c r="O718" s="102"/>
      <c r="P718" s="102"/>
      <c r="Q718" s="102"/>
      <c r="S718" s="71"/>
    </row>
    <row r="719" spans="14:19" s="19" customFormat="1" x14ac:dyDescent="0.25">
      <c r="N719" s="102"/>
      <c r="O719" s="102"/>
      <c r="P719" s="102"/>
      <c r="Q719" s="102"/>
      <c r="S719" s="71"/>
    </row>
    <row r="720" spans="14:19" s="19" customFormat="1" x14ac:dyDescent="0.25">
      <c r="N720" s="102"/>
      <c r="O720" s="102"/>
      <c r="P720" s="102"/>
      <c r="Q720" s="102"/>
      <c r="S720" s="71"/>
    </row>
    <row r="721" spans="14:19" s="19" customFormat="1" x14ac:dyDescent="0.25">
      <c r="N721" s="102"/>
      <c r="O721" s="102"/>
      <c r="P721" s="102"/>
      <c r="Q721" s="102"/>
      <c r="S721" s="71"/>
    </row>
    <row r="722" spans="14:19" s="19" customFormat="1" x14ac:dyDescent="0.25">
      <c r="N722" s="102"/>
      <c r="O722" s="102"/>
      <c r="P722" s="102"/>
      <c r="Q722" s="102"/>
      <c r="S722" s="71"/>
    </row>
    <row r="723" spans="14:19" s="19" customFormat="1" x14ac:dyDescent="0.25">
      <c r="N723" s="102"/>
      <c r="O723" s="102"/>
      <c r="P723" s="102"/>
      <c r="Q723" s="102"/>
      <c r="S723" s="71"/>
    </row>
    <row r="724" spans="14:19" s="19" customFormat="1" x14ac:dyDescent="0.25">
      <c r="N724" s="102"/>
      <c r="O724" s="102"/>
      <c r="P724" s="102"/>
      <c r="Q724" s="102"/>
      <c r="S724" s="71"/>
    </row>
    <row r="725" spans="14:19" s="19" customFormat="1" x14ac:dyDescent="0.25">
      <c r="N725" s="102"/>
      <c r="O725" s="102"/>
      <c r="P725" s="102"/>
      <c r="Q725" s="102"/>
      <c r="S725" s="71"/>
    </row>
    <row r="726" spans="14:19" s="19" customFormat="1" x14ac:dyDescent="0.25">
      <c r="N726" s="102"/>
      <c r="O726" s="102"/>
      <c r="P726" s="102"/>
      <c r="Q726" s="102"/>
      <c r="S726" s="71"/>
    </row>
    <row r="727" spans="14:19" s="19" customFormat="1" x14ac:dyDescent="0.25">
      <c r="N727" s="102"/>
      <c r="O727" s="102"/>
      <c r="P727" s="102"/>
      <c r="Q727" s="102"/>
      <c r="S727" s="71"/>
    </row>
    <row r="728" spans="14:19" s="19" customFormat="1" x14ac:dyDescent="0.25">
      <c r="N728" s="102"/>
      <c r="O728" s="102"/>
      <c r="P728" s="102"/>
      <c r="Q728" s="102"/>
      <c r="S728" s="71"/>
    </row>
    <row r="729" spans="14:19" s="19" customFormat="1" x14ac:dyDescent="0.25">
      <c r="N729" s="102"/>
      <c r="O729" s="102"/>
      <c r="P729" s="102"/>
      <c r="Q729" s="102"/>
      <c r="S729" s="71"/>
    </row>
    <row r="730" spans="14:19" s="19" customFormat="1" x14ac:dyDescent="0.25">
      <c r="N730" s="102"/>
      <c r="O730" s="102"/>
      <c r="P730" s="102"/>
      <c r="Q730" s="102"/>
      <c r="S730" s="71"/>
    </row>
    <row r="731" spans="14:19" s="19" customFormat="1" x14ac:dyDescent="0.25">
      <c r="N731" s="102"/>
      <c r="O731" s="102"/>
      <c r="P731" s="102"/>
      <c r="Q731" s="102"/>
      <c r="S731" s="71"/>
    </row>
    <row r="732" spans="14:19" s="19" customFormat="1" x14ac:dyDescent="0.25">
      <c r="N732" s="102"/>
      <c r="O732" s="102"/>
      <c r="P732" s="102"/>
      <c r="Q732" s="102"/>
      <c r="S732" s="71"/>
    </row>
    <row r="733" spans="14:19" s="19" customFormat="1" x14ac:dyDescent="0.25">
      <c r="N733" s="102"/>
      <c r="O733" s="102"/>
      <c r="P733" s="102"/>
      <c r="Q733" s="102"/>
      <c r="S733" s="71"/>
    </row>
    <row r="734" spans="14:19" s="19" customFormat="1" x14ac:dyDescent="0.25">
      <c r="N734" s="102"/>
      <c r="O734" s="102"/>
      <c r="P734" s="102"/>
      <c r="Q734" s="102"/>
      <c r="S734" s="71"/>
    </row>
    <row r="735" spans="14:19" s="19" customFormat="1" x14ac:dyDescent="0.25">
      <c r="N735" s="102"/>
      <c r="O735" s="102"/>
      <c r="P735" s="102"/>
      <c r="Q735" s="102"/>
      <c r="S735" s="71"/>
    </row>
    <row r="736" spans="14:19" s="19" customFormat="1" x14ac:dyDescent="0.25">
      <c r="N736" s="102"/>
      <c r="O736" s="102"/>
      <c r="P736" s="102"/>
      <c r="Q736" s="102"/>
      <c r="S736" s="71"/>
    </row>
    <row r="737" spans="14:19" s="19" customFormat="1" x14ac:dyDescent="0.25">
      <c r="N737" s="102"/>
      <c r="O737" s="102"/>
      <c r="P737" s="102"/>
      <c r="Q737" s="102"/>
      <c r="S737" s="71"/>
    </row>
    <row r="738" spans="14:19" s="19" customFormat="1" x14ac:dyDescent="0.25">
      <c r="N738" s="102"/>
      <c r="O738" s="102"/>
      <c r="P738" s="102"/>
      <c r="Q738" s="102"/>
      <c r="S738" s="71"/>
    </row>
    <row r="739" spans="14:19" s="19" customFormat="1" x14ac:dyDescent="0.25">
      <c r="N739" s="102"/>
      <c r="O739" s="102"/>
      <c r="P739" s="102"/>
      <c r="Q739" s="102"/>
      <c r="S739" s="71"/>
    </row>
    <row r="740" spans="14:19" s="19" customFormat="1" x14ac:dyDescent="0.25">
      <c r="N740" s="102"/>
      <c r="O740" s="102"/>
      <c r="P740" s="102"/>
      <c r="Q740" s="102"/>
      <c r="S740" s="71"/>
    </row>
    <row r="741" spans="14:19" s="19" customFormat="1" x14ac:dyDescent="0.25">
      <c r="N741" s="102"/>
      <c r="O741" s="102"/>
      <c r="P741" s="102"/>
      <c r="Q741" s="102"/>
      <c r="S741" s="71"/>
    </row>
    <row r="742" spans="14:19" s="19" customFormat="1" x14ac:dyDescent="0.25">
      <c r="N742" s="102"/>
      <c r="O742" s="102"/>
      <c r="P742" s="102"/>
      <c r="Q742" s="102"/>
      <c r="S742" s="71"/>
    </row>
    <row r="743" spans="14:19" s="19" customFormat="1" x14ac:dyDescent="0.25">
      <c r="N743" s="102"/>
      <c r="O743" s="102"/>
      <c r="P743" s="102"/>
      <c r="Q743" s="102"/>
      <c r="S743" s="71"/>
    </row>
    <row r="744" spans="14:19" s="19" customFormat="1" x14ac:dyDescent="0.25">
      <c r="N744" s="102"/>
      <c r="O744" s="102"/>
      <c r="P744" s="102"/>
      <c r="Q744" s="102"/>
      <c r="S744" s="71"/>
    </row>
    <row r="745" spans="14:19" s="19" customFormat="1" x14ac:dyDescent="0.25">
      <c r="N745" s="102"/>
      <c r="O745" s="102"/>
      <c r="P745" s="102"/>
      <c r="Q745" s="102"/>
      <c r="S745" s="71"/>
    </row>
    <row r="746" spans="14:19" s="19" customFormat="1" x14ac:dyDescent="0.25">
      <c r="N746" s="102"/>
      <c r="O746" s="102"/>
      <c r="P746" s="102"/>
      <c r="Q746" s="102"/>
      <c r="S746" s="71"/>
    </row>
    <row r="747" spans="14:19" s="19" customFormat="1" x14ac:dyDescent="0.25">
      <c r="N747" s="102"/>
      <c r="O747" s="102"/>
      <c r="P747" s="102"/>
      <c r="Q747" s="102"/>
      <c r="S747" s="71"/>
    </row>
    <row r="748" spans="14:19" s="19" customFormat="1" x14ac:dyDescent="0.25">
      <c r="N748" s="102"/>
      <c r="O748" s="102"/>
      <c r="P748" s="102"/>
      <c r="Q748" s="102"/>
      <c r="S748" s="71"/>
    </row>
    <row r="749" spans="14:19" s="19" customFormat="1" x14ac:dyDescent="0.25">
      <c r="N749" s="102"/>
      <c r="O749" s="102"/>
      <c r="P749" s="102"/>
      <c r="Q749" s="102"/>
      <c r="S749" s="71"/>
    </row>
    <row r="750" spans="14:19" s="19" customFormat="1" x14ac:dyDescent="0.25">
      <c r="N750" s="102"/>
      <c r="O750" s="102"/>
      <c r="P750" s="102"/>
      <c r="Q750" s="102"/>
      <c r="S750" s="71"/>
    </row>
    <row r="751" spans="14:19" s="19" customFormat="1" x14ac:dyDescent="0.25">
      <c r="N751" s="102"/>
      <c r="O751" s="102"/>
      <c r="P751" s="102"/>
      <c r="Q751" s="102"/>
      <c r="S751" s="71"/>
    </row>
    <row r="752" spans="14:19" s="19" customFormat="1" x14ac:dyDescent="0.25">
      <c r="N752" s="102"/>
      <c r="O752" s="102"/>
      <c r="P752" s="102"/>
      <c r="Q752" s="102"/>
      <c r="S752" s="71"/>
    </row>
    <row r="753" spans="1:19" s="19" customFormat="1" x14ac:dyDescent="0.25">
      <c r="N753" s="102"/>
      <c r="O753" s="102"/>
      <c r="P753" s="102"/>
      <c r="Q753" s="102"/>
      <c r="S753" s="71"/>
    </row>
    <row r="754" spans="1:19" s="19" customFormat="1" x14ac:dyDescent="0.25">
      <c r="N754" s="102"/>
      <c r="O754" s="102"/>
      <c r="P754" s="102"/>
      <c r="Q754" s="102"/>
      <c r="S754" s="71"/>
    </row>
    <row r="755" spans="1:19" s="19" customFormat="1" x14ac:dyDescent="0.25">
      <c r="N755" s="102"/>
      <c r="O755" s="102"/>
      <c r="P755" s="102"/>
      <c r="Q755" s="102"/>
      <c r="S755" s="71"/>
    </row>
    <row r="756" spans="1:19" s="19" customFormat="1" x14ac:dyDescent="0.25">
      <c r="N756" s="102"/>
      <c r="O756" s="102"/>
      <c r="P756" s="102"/>
      <c r="Q756" s="102"/>
      <c r="S756" s="71"/>
    </row>
    <row r="757" spans="1:19" s="19" customFormat="1" x14ac:dyDescent="0.25">
      <c r="N757" s="102"/>
      <c r="O757" s="102"/>
      <c r="P757" s="102"/>
      <c r="Q757" s="102"/>
      <c r="S757" s="71"/>
    </row>
    <row r="758" spans="1:19" s="19" customFormat="1" x14ac:dyDescent="0.25">
      <c r="N758" s="102"/>
      <c r="O758" s="102"/>
      <c r="P758" s="102"/>
      <c r="Q758" s="102"/>
      <c r="S758" s="71"/>
    </row>
    <row r="759" spans="1:19" s="19" customFormat="1" x14ac:dyDescent="0.25">
      <c r="N759" s="102"/>
      <c r="O759" s="102"/>
      <c r="P759" s="102"/>
      <c r="Q759" s="102"/>
      <c r="S759" s="71"/>
    </row>
    <row r="760" spans="1:19" s="19" customFormat="1" x14ac:dyDescent="0.25">
      <c r="N760" s="102"/>
      <c r="O760" s="102"/>
      <c r="P760" s="102"/>
      <c r="Q760" s="102"/>
      <c r="S760" s="71"/>
    </row>
    <row r="761" spans="1:19" s="19" customFormat="1" x14ac:dyDescent="0.25">
      <c r="N761" s="102"/>
      <c r="O761" s="102"/>
      <c r="P761" s="102"/>
      <c r="Q761" s="102"/>
      <c r="S761" s="71"/>
    </row>
    <row r="762" spans="1:19" s="19" customFormat="1" x14ac:dyDescent="0.25">
      <c r="N762" s="102"/>
      <c r="O762" s="102"/>
      <c r="P762" s="102"/>
      <c r="Q762" s="102"/>
      <c r="S762" s="71"/>
    </row>
    <row r="763" spans="1:19" s="19" customFormat="1" x14ac:dyDescent="0.25">
      <c r="N763" s="102"/>
      <c r="O763" s="102"/>
      <c r="P763" s="102"/>
      <c r="Q763" s="102"/>
      <c r="S763" s="71"/>
    </row>
    <row r="764" spans="1:19" s="19" customFormat="1" x14ac:dyDescent="0.25">
      <c r="N764" s="102"/>
      <c r="O764" s="102"/>
      <c r="P764" s="102"/>
      <c r="Q764" s="102"/>
      <c r="S764" s="71"/>
    </row>
    <row r="765" spans="1:19" s="19" customFormat="1" x14ac:dyDescent="0.25">
      <c r="N765" s="102"/>
      <c r="O765" s="102"/>
      <c r="P765" s="102"/>
      <c r="Q765" s="102"/>
      <c r="S765" s="71"/>
    </row>
    <row r="766" spans="1:19" s="19" customFormat="1" x14ac:dyDescent="0.25">
      <c r="N766" s="102"/>
      <c r="O766" s="102"/>
      <c r="P766" s="102"/>
      <c r="Q766" s="102"/>
      <c r="S766" s="71"/>
    </row>
    <row r="767" spans="1:19" x14ac:dyDescent="0.25">
      <c r="A767" s="19"/>
      <c r="B767" s="19"/>
      <c r="C767" s="19"/>
      <c r="D767" s="19"/>
      <c r="F767" s="19"/>
      <c r="G767" s="19"/>
      <c r="H767" s="19"/>
      <c r="I767" s="19"/>
      <c r="K767" s="19"/>
      <c r="L767" s="19"/>
      <c r="M767" s="19"/>
      <c r="N767" s="102"/>
      <c r="O767" s="102"/>
      <c r="P767" s="102"/>
      <c r="Q767" s="102"/>
      <c r="S767" s="71"/>
    </row>
    <row r="768" spans="1:19" x14ac:dyDescent="0.25">
      <c r="O768" s="102"/>
      <c r="P768" s="102"/>
      <c r="Q768" s="102"/>
      <c r="S768" s="71"/>
    </row>
  </sheetData>
  <phoneticPr fontId="14" type="noConversion"/>
  <pageMargins left="0.75" right="0.75" top="1" bottom="0.75" header="0.5" footer="0.5"/>
  <pageSetup paperSize="3" scale="52" fitToHeight="0" orientation="landscape" r:id="rId1"/>
  <headerFooter>
    <oddHeader>&amp;C&amp;"Calibri,Regular"&amp;20&amp;K000000Budget Dashboard 1.0
&amp;14 2009 through 2018
September 25, 2018</oddHeader>
    <oddFooter>&amp;C&amp;"Calibri,Regular"&amp;K000000&amp;P of &amp;N</oddFooter>
  </headerFooter>
  <rowBreaks count="3" manualBreakCount="3">
    <brk id="66" max="27" man="1"/>
    <brk id="134" max="27" man="1"/>
    <brk id="220" max="27" man="1"/>
  </rowBreaks>
  <ignoredErrors>
    <ignoredError sqref="L2" formula="1"/>
    <ignoredError sqref="Q49" numberStoredAsText="1"/>
    <ignoredError sqref="O55:P55 P243" formulaRange="1"/>
  </ignoredError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CCFF"/>
    <pageSetUpPr fitToPage="1"/>
  </sheetPr>
  <dimension ref="A1:AA2950"/>
  <sheetViews>
    <sheetView zoomScaleNormal="100" workbookViewId="0">
      <pane ySplit="4" topLeftCell="A5" activePane="bottomLeft" state="frozen"/>
      <selection pane="bottomLeft" activeCell="F23" sqref="F23"/>
    </sheetView>
  </sheetViews>
  <sheetFormatPr defaultColWidth="11" defaultRowHeight="15.75" x14ac:dyDescent="0.25"/>
  <cols>
    <col min="1" max="1" width="35.25" customWidth="1"/>
    <col min="2" max="4" width="15.125" bestFit="1" customWidth="1"/>
    <col min="5" max="5" width="14.75" bestFit="1" customWidth="1"/>
    <col min="6" max="6" width="15.125" style="50" bestFit="1" customWidth="1"/>
    <col min="7" max="9" width="15.125" bestFit="1" customWidth="1"/>
    <col min="10" max="10" width="15.125" style="393" bestFit="1" customWidth="1"/>
    <col min="11" max="11" width="16.625" style="50" customWidth="1"/>
    <col min="12" max="12" width="14.75" style="163" bestFit="1" customWidth="1"/>
    <col min="13" max="13" width="15.125" hidden="1" customWidth="1"/>
    <col min="14" max="14" width="12.125" style="124" bestFit="1" customWidth="1"/>
    <col min="16" max="16" width="12.625" bestFit="1" customWidth="1"/>
    <col min="27" max="27" width="70.875" customWidth="1"/>
  </cols>
  <sheetData>
    <row r="1" spans="1:15" ht="18.75" x14ac:dyDescent="0.3">
      <c r="A1" s="375" t="s">
        <v>37</v>
      </c>
      <c r="F1" s="1020" t="s">
        <v>154</v>
      </c>
      <c r="G1" s="1023"/>
      <c r="H1" s="1023"/>
      <c r="I1" s="357"/>
      <c r="J1" s="368"/>
      <c r="K1" s="368"/>
      <c r="L1" s="368"/>
      <c r="M1" s="357"/>
    </row>
    <row r="2" spans="1:15" x14ac:dyDescent="0.25">
      <c r="A2" s="2"/>
      <c r="B2" s="50"/>
      <c r="C2" s="50"/>
      <c r="D2" s="50"/>
      <c r="E2" s="50"/>
      <c r="G2" s="50"/>
      <c r="H2" s="50"/>
      <c r="I2" s="50"/>
      <c r="J2" s="50"/>
      <c r="L2" s="50"/>
      <c r="M2" s="50"/>
    </row>
    <row r="3" spans="1:15" x14ac:dyDescent="0.25">
      <c r="A3" s="2"/>
      <c r="B3" s="435" t="s">
        <v>58</v>
      </c>
      <c r="C3" s="360" t="s">
        <v>58</v>
      </c>
      <c r="D3" s="360" t="s">
        <v>58</v>
      </c>
      <c r="E3" s="360" t="s">
        <v>58</v>
      </c>
      <c r="F3" s="360" t="s">
        <v>58</v>
      </c>
      <c r="G3" s="360" t="s">
        <v>58</v>
      </c>
      <c r="H3" s="360" t="s">
        <v>58</v>
      </c>
      <c r="I3" s="360" t="s">
        <v>58</v>
      </c>
      <c r="J3" s="436" t="s">
        <v>58</v>
      </c>
      <c r="K3" s="360" t="s">
        <v>58</v>
      </c>
      <c r="L3" s="441" t="s">
        <v>58</v>
      </c>
      <c r="M3" s="436" t="s">
        <v>58</v>
      </c>
    </row>
    <row r="4" spans="1:15" x14ac:dyDescent="0.25">
      <c r="A4" s="2"/>
      <c r="B4" s="437" t="s">
        <v>55</v>
      </c>
      <c r="C4" s="205" t="s">
        <v>55</v>
      </c>
      <c r="D4" s="205" t="s">
        <v>55</v>
      </c>
      <c r="E4" s="205" t="s">
        <v>55</v>
      </c>
      <c r="F4" s="205" t="s">
        <v>55</v>
      </c>
      <c r="G4" s="205" t="s">
        <v>55</v>
      </c>
      <c r="H4" s="205" t="s">
        <v>55</v>
      </c>
      <c r="I4" s="205" t="s">
        <v>55</v>
      </c>
      <c r="J4" s="438" t="s">
        <v>55</v>
      </c>
      <c r="K4" s="205" t="s">
        <v>151</v>
      </c>
      <c r="L4" s="442" t="s">
        <v>56</v>
      </c>
      <c r="M4" s="438" t="s">
        <v>253</v>
      </c>
    </row>
    <row r="5" spans="1:15" s="278" customFormat="1" ht="16.5" thickBot="1" x14ac:dyDescent="0.3">
      <c r="A5" s="2"/>
      <c r="B5" s="439">
        <v>2009</v>
      </c>
      <c r="C5" s="367">
        <v>2010</v>
      </c>
      <c r="D5" s="367">
        <v>2011</v>
      </c>
      <c r="E5" s="367">
        <v>2012</v>
      </c>
      <c r="F5" s="367">
        <v>2013</v>
      </c>
      <c r="G5" s="367">
        <v>2014</v>
      </c>
      <c r="H5" s="367">
        <v>2015</v>
      </c>
      <c r="I5" s="367">
        <v>2016</v>
      </c>
      <c r="J5" s="440">
        <v>2017</v>
      </c>
      <c r="K5" s="367">
        <v>2018</v>
      </c>
      <c r="L5" s="456">
        <v>2019</v>
      </c>
      <c r="M5" s="440">
        <v>2018</v>
      </c>
      <c r="N5" s="124"/>
    </row>
    <row r="6" spans="1:15" ht="18.75" x14ac:dyDescent="0.3">
      <c r="A6" s="850" t="s">
        <v>333</v>
      </c>
      <c r="B6" s="371"/>
      <c r="C6" s="371"/>
      <c r="D6" s="371"/>
      <c r="E6" s="371"/>
      <c r="F6" s="371"/>
      <c r="G6" s="371"/>
      <c r="H6" s="371"/>
      <c r="I6" s="371"/>
      <c r="J6" s="379"/>
      <c r="K6" s="463"/>
      <c r="L6" s="464"/>
      <c r="M6" s="379"/>
      <c r="N6" s="126"/>
      <c r="O6" s="2"/>
    </row>
    <row r="7" spans="1:15" x14ac:dyDescent="0.25">
      <c r="A7" s="851" t="s">
        <v>92</v>
      </c>
      <c r="B7" s="315">
        <v>3549788</v>
      </c>
      <c r="C7" s="315">
        <f>444840+299559+788182+870883+976351</f>
        <v>3379815</v>
      </c>
      <c r="D7" s="315">
        <f>179765+145117+9801+444840</f>
        <v>779523</v>
      </c>
      <c r="E7" s="315">
        <f>234880+20210+9225+439480</f>
        <v>703795</v>
      </c>
      <c r="F7" s="315">
        <f>275767+69960+353255+3053795</f>
        <v>3752777</v>
      </c>
      <c r="G7" s="315">
        <f>18282+64969+10000+421305+3142798</f>
        <v>3657354</v>
      </c>
      <c r="H7" s="315">
        <f>12740+343+106536+8300+313468+3295302</f>
        <v>3736689</v>
      </c>
      <c r="I7" s="315">
        <f>12740+112864+5625+249207+2913496</f>
        <v>3293932</v>
      </c>
      <c r="J7" s="381">
        <v>4022487</v>
      </c>
      <c r="K7" s="315">
        <v>5554491</v>
      </c>
      <c r="L7" s="372">
        <v>305000</v>
      </c>
      <c r="M7" s="381">
        <v>5554491</v>
      </c>
      <c r="N7" s="121"/>
      <c r="O7" s="3"/>
    </row>
    <row r="8" spans="1:15" x14ac:dyDescent="0.25">
      <c r="A8" s="852" t="s">
        <v>88</v>
      </c>
      <c r="B8" s="315">
        <v>4692267</v>
      </c>
      <c r="C8" s="315">
        <v>4802684</v>
      </c>
      <c r="D8" s="315">
        <f>1592066+3266127</f>
        <v>4858193</v>
      </c>
      <c r="E8" s="315">
        <f>1384390+3325420</f>
        <v>4709810</v>
      </c>
      <c r="F8" s="315">
        <f>1009573+3713212</f>
        <v>4722785</v>
      </c>
      <c r="G8" s="315">
        <f>1365545+3951592</f>
        <v>5317137</v>
      </c>
      <c r="H8" s="315">
        <f>1688536+3647292</f>
        <v>5335828</v>
      </c>
      <c r="I8" s="315">
        <f>2213162+3883875</f>
        <v>6097037</v>
      </c>
      <c r="J8" s="381">
        <f>2401297+4454326</f>
        <v>6855623</v>
      </c>
      <c r="K8" s="315">
        <f>2683012+5697598</f>
        <v>8380610</v>
      </c>
      <c r="L8" s="372">
        <f>2898159+6051564</f>
        <v>8949723</v>
      </c>
      <c r="M8" s="381">
        <f>2533012+5697598</f>
        <v>8230610</v>
      </c>
      <c r="N8" s="121"/>
      <c r="O8" s="3"/>
    </row>
    <row r="9" spans="1:15" x14ac:dyDescent="0.25">
      <c r="A9" s="853" t="s">
        <v>93</v>
      </c>
      <c r="B9" s="315">
        <v>10060312</v>
      </c>
      <c r="C9" s="315">
        <v>10904128</v>
      </c>
      <c r="D9" s="315">
        <f>6321168+4304072</f>
        <v>10625240</v>
      </c>
      <c r="E9" s="315">
        <f>6241414+4273045</f>
        <v>10514459</v>
      </c>
      <c r="F9" s="315">
        <f>6006276+4286541</f>
        <v>10292817</v>
      </c>
      <c r="G9" s="315">
        <f>6762731+6102060</f>
        <v>12864791</v>
      </c>
      <c r="H9" s="315">
        <f>6636631+7013290</f>
        <v>13649921</v>
      </c>
      <c r="I9" s="315">
        <f>8190339+7706652</f>
        <v>15896991</v>
      </c>
      <c r="J9" s="381">
        <f>8288678+7261123</f>
        <v>15549801</v>
      </c>
      <c r="K9" s="315">
        <f>8038560+7019163</f>
        <v>15057723</v>
      </c>
      <c r="L9" s="372">
        <f>7690253+8394429</f>
        <v>16084682</v>
      </c>
      <c r="M9" s="381">
        <f>7019163+8038560</f>
        <v>15057723</v>
      </c>
      <c r="N9" s="121"/>
      <c r="O9" s="3"/>
    </row>
    <row r="10" spans="1:15" x14ac:dyDescent="0.25">
      <c r="A10" s="854" t="s">
        <v>78</v>
      </c>
      <c r="B10" s="315">
        <v>1996838</v>
      </c>
      <c r="C10" s="315">
        <v>968432</v>
      </c>
      <c r="D10" s="315">
        <f>1557672+1765367+11874845</f>
        <v>15197884</v>
      </c>
      <c r="E10" s="315">
        <f>1374005+1914511+10982377</f>
        <v>14270893</v>
      </c>
      <c r="F10" s="315">
        <f>1232560+1586431+11945059</f>
        <v>14764050</v>
      </c>
      <c r="G10" s="315">
        <f>447588+117349+73+287543+4472715+2104181+39321+1383859+1996703</f>
        <v>10849332</v>
      </c>
      <c r="H10" s="315">
        <f>1456246+14315239+2223890</f>
        <v>17995375</v>
      </c>
      <c r="I10" s="315">
        <f>1526583+17264710+2820372</f>
        <v>21611665</v>
      </c>
      <c r="J10" s="381">
        <f>1775662+21989938+0+2703366</f>
        <v>26468966</v>
      </c>
      <c r="K10" s="315">
        <f>3415906+44607329+771990+2973895</f>
        <v>51769120</v>
      </c>
      <c r="L10" s="372">
        <f>2316733+29268356+271099+3056314</f>
        <v>34912502</v>
      </c>
      <c r="M10" s="381">
        <f>2270906+22865732+144343+2973895</f>
        <v>28254876</v>
      </c>
      <c r="N10" s="121"/>
      <c r="O10" s="3"/>
    </row>
    <row r="11" spans="1:15" ht="16.5" thickBot="1" x14ac:dyDescent="0.3">
      <c r="A11" s="856"/>
      <c r="B11" s="369"/>
      <c r="C11" s="369"/>
      <c r="D11" s="369"/>
      <c r="E11" s="369"/>
      <c r="F11" s="369"/>
      <c r="G11" s="369"/>
      <c r="H11" s="369"/>
      <c r="I11" s="369"/>
      <c r="J11" s="383"/>
      <c r="K11" s="369"/>
      <c r="L11" s="373"/>
      <c r="M11" s="383">
        <v>0</v>
      </c>
      <c r="N11" s="121"/>
      <c r="O11" s="3"/>
    </row>
    <row r="12" spans="1:15" ht="17.25" thickTop="1" thickBot="1" x14ac:dyDescent="0.3">
      <c r="A12" s="857" t="s">
        <v>100</v>
      </c>
      <c r="B12" s="432">
        <f t="shared" ref="B12:M12" si="0">SUM(B7:B10)</f>
        <v>20299205</v>
      </c>
      <c r="C12" s="432">
        <f t="shared" si="0"/>
        <v>20055059</v>
      </c>
      <c r="D12" s="432">
        <f t="shared" si="0"/>
        <v>31460840</v>
      </c>
      <c r="E12" s="432">
        <f t="shared" si="0"/>
        <v>30198957</v>
      </c>
      <c r="F12" s="432">
        <f t="shared" si="0"/>
        <v>33532429</v>
      </c>
      <c r="G12" s="432">
        <f t="shared" si="0"/>
        <v>32688614</v>
      </c>
      <c r="H12" s="432">
        <f t="shared" si="0"/>
        <v>40717813</v>
      </c>
      <c r="I12" s="432">
        <f t="shared" si="0"/>
        <v>46899625</v>
      </c>
      <c r="J12" s="433">
        <f t="shared" si="0"/>
        <v>52896877</v>
      </c>
      <c r="K12" s="432">
        <f t="shared" si="0"/>
        <v>80761944</v>
      </c>
      <c r="L12" s="434">
        <f t="shared" si="0"/>
        <v>60251907</v>
      </c>
      <c r="M12" s="433">
        <f t="shared" si="0"/>
        <v>57097700</v>
      </c>
      <c r="N12" s="126"/>
      <c r="O12" s="2"/>
    </row>
    <row r="13" spans="1:15" x14ac:dyDescent="0.25">
      <c r="A13" s="988"/>
      <c r="B13" s="398"/>
      <c r="C13" s="398"/>
      <c r="D13" s="398"/>
      <c r="E13" s="398"/>
      <c r="F13" s="398"/>
      <c r="G13" s="315"/>
      <c r="H13" s="315"/>
      <c r="I13" s="315"/>
      <c r="J13" s="381"/>
      <c r="K13" s="315"/>
      <c r="L13" s="372"/>
      <c r="M13" s="381"/>
      <c r="N13" s="126"/>
      <c r="O13" s="2"/>
    </row>
    <row r="14" spans="1:15" ht="16.5" thickBot="1" x14ac:dyDescent="0.3">
      <c r="A14" s="874"/>
      <c r="B14" s="1009"/>
      <c r="C14" s="116"/>
      <c r="D14" s="116"/>
      <c r="E14" s="116"/>
      <c r="F14" s="116"/>
      <c r="G14" s="116"/>
      <c r="H14" s="116"/>
      <c r="I14" s="116"/>
      <c r="J14" s="400"/>
      <c r="K14" s="116"/>
      <c r="L14" s="444"/>
      <c r="M14" s="400"/>
      <c r="N14" s="126"/>
      <c r="O14" s="2"/>
    </row>
    <row r="15" spans="1:15" ht="18.75" x14ac:dyDescent="0.3">
      <c r="A15" s="860" t="s">
        <v>332</v>
      </c>
      <c r="B15" s="371"/>
      <c r="C15" s="371"/>
      <c r="D15" s="371"/>
      <c r="E15" s="371"/>
      <c r="F15" s="371"/>
      <c r="G15" s="371"/>
      <c r="H15" s="371"/>
      <c r="I15" s="371"/>
      <c r="J15" s="379"/>
      <c r="K15" s="463"/>
      <c r="L15" s="464"/>
      <c r="M15" s="379"/>
      <c r="N15" s="126"/>
      <c r="O15" s="2"/>
    </row>
    <row r="16" spans="1:15" x14ac:dyDescent="0.25">
      <c r="A16" s="851" t="s">
        <v>92</v>
      </c>
      <c r="B16" s="315">
        <v>10062502</v>
      </c>
      <c r="C16" s="315">
        <v>10673095</v>
      </c>
      <c r="D16" s="315">
        <v>4455067</v>
      </c>
      <c r="E16" s="315">
        <v>4619343</v>
      </c>
      <c r="F16" s="315">
        <v>5178065</v>
      </c>
      <c r="G16" s="315">
        <v>5507029</v>
      </c>
      <c r="H16" s="315">
        <v>5314453</v>
      </c>
      <c r="I16" s="315">
        <v>5437058</v>
      </c>
      <c r="J16" s="381">
        <v>5801294</v>
      </c>
      <c r="K16" s="315">
        <v>7061778</v>
      </c>
      <c r="L16" s="372">
        <v>5641211</v>
      </c>
      <c r="M16" s="381">
        <v>6967532</v>
      </c>
      <c r="N16" s="126"/>
      <c r="O16" s="2"/>
    </row>
    <row r="17" spans="1:27" x14ac:dyDescent="0.25">
      <c r="A17" s="852" t="s">
        <v>88</v>
      </c>
      <c r="B17" s="315">
        <v>4962185</v>
      </c>
      <c r="C17" s="315">
        <f>1288785+2958107</f>
        <v>4246892</v>
      </c>
      <c r="D17" s="315">
        <f>965674+3195312</f>
        <v>4160986</v>
      </c>
      <c r="E17" s="315">
        <f>792314+3314124</f>
        <v>4106438</v>
      </c>
      <c r="F17" s="315">
        <f>924453+3930518</f>
        <v>4854971</v>
      </c>
      <c r="G17" s="315">
        <f>3500650+3956047</f>
        <v>7456697</v>
      </c>
      <c r="H17" s="315">
        <f>1261878+3767840</f>
        <v>5029718</v>
      </c>
      <c r="I17" s="315">
        <f>1081431+3692985</f>
        <v>4774416</v>
      </c>
      <c r="J17" s="381">
        <f>4222858+4425466</f>
        <v>8648324</v>
      </c>
      <c r="K17" s="315">
        <f>2700582+5303385</f>
        <v>8003967</v>
      </c>
      <c r="L17" s="372">
        <f>2130700+5522973</f>
        <v>7653673</v>
      </c>
      <c r="M17" s="381">
        <f>1879620+5303385</f>
        <v>7183005</v>
      </c>
      <c r="N17" s="127"/>
      <c r="O17" s="10"/>
    </row>
    <row r="18" spans="1:27" x14ac:dyDescent="0.25">
      <c r="A18" s="853" t="s">
        <v>93</v>
      </c>
      <c r="B18" s="315">
        <v>9372269</v>
      </c>
      <c r="C18" s="315">
        <f>4131460+6759373</f>
        <v>10890833</v>
      </c>
      <c r="D18" s="315">
        <f>5541846+4480614</f>
        <v>10022460</v>
      </c>
      <c r="E18" s="315">
        <f>5243867+3579566</f>
        <v>8823433</v>
      </c>
      <c r="F18" s="315">
        <f>7442919+4151691</f>
        <v>11594610</v>
      </c>
      <c r="G18" s="315">
        <f>6347055+9290146</f>
        <v>15637201</v>
      </c>
      <c r="H18" s="315">
        <f>4410544+6442450</f>
        <v>10852994</v>
      </c>
      <c r="I18" s="315">
        <f>7078178+6748311</f>
        <v>13826489</v>
      </c>
      <c r="J18" s="381">
        <f>5864697+8424517</f>
        <v>14289214</v>
      </c>
      <c r="K18" s="315">
        <f>12084547+9594209</f>
        <v>21678756</v>
      </c>
      <c r="L18" s="372">
        <f>10094544+8905755</f>
        <v>19000299</v>
      </c>
      <c r="M18" s="381">
        <f>9264269+8071910</f>
        <v>17336179</v>
      </c>
    </row>
    <row r="19" spans="1:27" x14ac:dyDescent="0.25">
      <c r="A19" s="854" t="s">
        <v>78</v>
      </c>
      <c r="B19" s="315">
        <v>3627144</v>
      </c>
      <c r="C19" s="315">
        <v>3842683</v>
      </c>
      <c r="D19" s="315">
        <f>2150651+1765367+11874845</f>
        <v>15790863</v>
      </c>
      <c r="E19" s="315">
        <f>1300656+1914511+10982377</f>
        <v>14197544</v>
      </c>
      <c r="F19" s="315">
        <f>483664+1586431+11945059</f>
        <v>14015154</v>
      </c>
      <c r="G19" s="315">
        <f>13630470+1383859+1379303</f>
        <v>16393632</v>
      </c>
      <c r="H19" s="315">
        <f>1464063+14315239+1049385</f>
        <v>16828687</v>
      </c>
      <c r="I19" s="315">
        <f>1526583+17264710+2505058</f>
        <v>21296351</v>
      </c>
      <c r="J19" s="381">
        <f>1775662+21989938+0+1357668</f>
        <v>25123268</v>
      </c>
      <c r="K19" s="315">
        <f>3415906+44607329+771990+6352834</f>
        <v>55148059</v>
      </c>
      <c r="L19" s="372">
        <f>2382637+29268356+271099+5614101</f>
        <v>37536193</v>
      </c>
      <c r="M19" s="381">
        <f>2270906+22865732+144343+1542109</f>
        <v>26823090</v>
      </c>
    </row>
    <row r="20" spans="1:27" ht="16.5" thickBot="1" x14ac:dyDescent="0.3">
      <c r="A20" s="907"/>
      <c r="B20" s="369"/>
      <c r="C20" s="369"/>
      <c r="D20" s="369"/>
      <c r="E20" s="369"/>
      <c r="F20" s="369"/>
      <c r="G20" s="369"/>
      <c r="H20" s="369"/>
      <c r="I20" s="369"/>
      <c r="J20" s="383"/>
      <c r="K20" s="369"/>
      <c r="L20" s="373"/>
      <c r="M20" s="383">
        <v>0</v>
      </c>
      <c r="N20" s="488"/>
      <c r="O20" s="1"/>
    </row>
    <row r="21" spans="1:27" ht="17.25" thickTop="1" thickBot="1" x14ac:dyDescent="0.3">
      <c r="A21" s="896" t="s">
        <v>102</v>
      </c>
      <c r="B21" s="432">
        <f>SUM(B16:B20)</f>
        <v>28024100</v>
      </c>
      <c r="C21" s="432">
        <f t="shared" ref="C21:L21" si="1">SUM(C16:C19)</f>
        <v>29653503</v>
      </c>
      <c r="D21" s="432">
        <f t="shared" si="1"/>
        <v>34429376</v>
      </c>
      <c r="E21" s="432">
        <f t="shared" si="1"/>
        <v>31746758</v>
      </c>
      <c r="F21" s="432">
        <f t="shared" si="1"/>
        <v>35642800</v>
      </c>
      <c r="G21" s="432">
        <f t="shared" si="1"/>
        <v>44994559</v>
      </c>
      <c r="H21" s="432">
        <f t="shared" si="1"/>
        <v>38025852</v>
      </c>
      <c r="I21" s="432">
        <f t="shared" si="1"/>
        <v>45334314</v>
      </c>
      <c r="J21" s="433">
        <f t="shared" si="1"/>
        <v>53862100</v>
      </c>
      <c r="K21" s="432">
        <f>SUM(K16:K19)</f>
        <v>91892560</v>
      </c>
      <c r="L21" s="434">
        <f t="shared" si="1"/>
        <v>69831376</v>
      </c>
      <c r="M21" s="433">
        <f>SUM(M16:M19)</f>
        <v>58309806</v>
      </c>
      <c r="N21" s="120"/>
      <c r="O21" s="1"/>
    </row>
    <row r="22" spans="1:27" ht="18.75" x14ac:dyDescent="0.3">
      <c r="A22" s="861"/>
      <c r="B22" s="130"/>
      <c r="C22" s="130"/>
      <c r="D22" s="130"/>
      <c r="E22" s="130"/>
      <c r="F22" s="130"/>
      <c r="G22" s="130"/>
      <c r="H22" s="130"/>
      <c r="I22" s="130"/>
      <c r="J22" s="402"/>
      <c r="K22" s="130"/>
      <c r="L22" s="445"/>
      <c r="M22" s="402"/>
      <c r="N22" s="120"/>
      <c r="O22" s="1"/>
    </row>
    <row r="23" spans="1:27" ht="18.75" x14ac:dyDescent="0.3">
      <c r="A23" s="859"/>
      <c r="B23" s="42"/>
      <c r="C23" s="42"/>
      <c r="D23" s="42"/>
      <c r="E23" s="42"/>
      <c r="F23" s="42"/>
      <c r="G23" s="42"/>
      <c r="H23" s="42"/>
      <c r="I23" s="42"/>
      <c r="J23" s="385"/>
      <c r="K23" s="42"/>
      <c r="L23" s="446"/>
      <c r="M23" s="385"/>
      <c r="N23" s="120"/>
      <c r="O23" s="1"/>
    </row>
    <row r="24" spans="1:27" ht="18.75" x14ac:dyDescent="0.3">
      <c r="A24" s="876"/>
      <c r="B24" s="210">
        <v>2009</v>
      </c>
      <c r="C24" s="210">
        <v>2010</v>
      </c>
      <c r="D24" s="210">
        <v>2011</v>
      </c>
      <c r="E24" s="210">
        <v>2012</v>
      </c>
      <c r="F24" s="210">
        <v>2013</v>
      </c>
      <c r="G24" s="210">
        <v>2014</v>
      </c>
      <c r="H24" s="210">
        <v>2015</v>
      </c>
      <c r="I24" s="210">
        <v>2016</v>
      </c>
      <c r="J24" s="387">
        <v>2017</v>
      </c>
      <c r="K24" s="210">
        <v>2018</v>
      </c>
      <c r="L24" s="447">
        <v>2019</v>
      </c>
      <c r="M24" s="387">
        <v>2018</v>
      </c>
      <c r="N24" s="120"/>
      <c r="O24" s="1"/>
    </row>
    <row r="25" spans="1:27" x14ac:dyDescent="0.25">
      <c r="A25" s="851" t="s">
        <v>152</v>
      </c>
      <c r="B25" s="709">
        <f t="shared" ref="B25:M25" si="2">+B16/B26</f>
        <v>159.31259301478738</v>
      </c>
      <c r="C25" s="709">
        <f t="shared" si="2"/>
        <v>157.55506185232204</v>
      </c>
      <c r="D25" s="709">
        <f t="shared" si="2"/>
        <v>64.790608048166845</v>
      </c>
      <c r="E25" s="709">
        <f t="shared" si="2"/>
        <v>66.617773034712513</v>
      </c>
      <c r="F25" s="709">
        <f t="shared" si="2"/>
        <v>73.583416228506465</v>
      </c>
      <c r="G25" s="709">
        <f t="shared" si="2"/>
        <v>77.534303856280005</v>
      </c>
      <c r="H25" s="709">
        <f t="shared" si="2"/>
        <v>72.384268591664394</v>
      </c>
      <c r="I25" s="709">
        <f t="shared" si="2"/>
        <v>73.093473146467701</v>
      </c>
      <c r="J25" s="710">
        <f t="shared" si="2"/>
        <v>76.493855485232061</v>
      </c>
      <c r="K25" s="709">
        <f t="shared" si="2"/>
        <v>91.400403820765703</v>
      </c>
      <c r="L25" s="711">
        <f t="shared" si="2"/>
        <v>71.425816662446195</v>
      </c>
      <c r="M25" s="389">
        <f t="shared" si="2"/>
        <v>90.180580362920963</v>
      </c>
      <c r="N25" s="120"/>
      <c r="O25" s="1"/>
    </row>
    <row r="26" spans="1:27" x14ac:dyDescent="0.25">
      <c r="A26" s="875" t="s">
        <v>340</v>
      </c>
      <c r="B26" s="125">
        <f>Stats!D4</f>
        <v>63162</v>
      </c>
      <c r="C26" s="125">
        <f>Stats!E4</f>
        <v>67742</v>
      </c>
      <c r="D26" s="125">
        <f>Stats!F4</f>
        <v>68761</v>
      </c>
      <c r="E26" s="125">
        <f>Stats!G4</f>
        <v>69341</v>
      </c>
      <c r="F26" s="125">
        <f>Stats!H4</f>
        <v>70370</v>
      </c>
      <c r="G26" s="125">
        <f>Stats!I4</f>
        <v>71027</v>
      </c>
      <c r="H26" s="125">
        <f>Stats!J4</f>
        <v>73420</v>
      </c>
      <c r="I26" s="125">
        <f>Stats!K4</f>
        <v>74385</v>
      </c>
      <c r="J26" s="483">
        <f>Stats!L4</f>
        <v>75840</v>
      </c>
      <c r="K26" s="125">
        <f>Stats!M4</f>
        <v>77262</v>
      </c>
      <c r="L26" s="486">
        <f>Stats!N4</f>
        <v>78980</v>
      </c>
      <c r="M26" s="404">
        <f>Stats!M4</f>
        <v>77262</v>
      </c>
      <c r="N26" s="120"/>
      <c r="O26" s="1"/>
    </row>
    <row r="27" spans="1:27" x14ac:dyDescent="0.25">
      <c r="A27" s="875"/>
      <c r="B27" s="50"/>
      <c r="C27" s="50"/>
      <c r="D27" s="50"/>
      <c r="E27" s="50"/>
      <c r="G27" s="50"/>
      <c r="H27" s="50"/>
      <c r="I27" s="50"/>
      <c r="M27" s="393"/>
      <c r="N27" s="120"/>
      <c r="O27" s="1"/>
      <c r="AA27" s="145"/>
    </row>
    <row r="28" spans="1:27" x14ac:dyDescent="0.25">
      <c r="A28" s="851" t="s">
        <v>130</v>
      </c>
      <c r="B28" s="709">
        <f t="shared" ref="B28:M28" si="3">+B16/B29</f>
        <v>130715.79631073006</v>
      </c>
      <c r="C28" s="709">
        <f t="shared" si="3"/>
        <v>141402.95442501325</v>
      </c>
      <c r="D28" s="709">
        <f t="shared" si="3"/>
        <v>68666.260789149208</v>
      </c>
      <c r="E28" s="709">
        <f t="shared" si="3"/>
        <v>71473.665480427051</v>
      </c>
      <c r="F28" s="709">
        <f t="shared" si="3"/>
        <v>77713.717544649568</v>
      </c>
      <c r="G28" s="709">
        <f t="shared" si="3"/>
        <v>82650.892991145141</v>
      </c>
      <c r="H28" s="709">
        <f t="shared" si="3"/>
        <v>77211.288682260638</v>
      </c>
      <c r="I28" s="709">
        <f t="shared" si="3"/>
        <v>78706.687898089178</v>
      </c>
      <c r="J28" s="710">
        <f t="shared" si="3"/>
        <v>203019.91251093615</v>
      </c>
      <c r="K28" s="709">
        <f t="shared" si="3"/>
        <v>247131.33858267718</v>
      </c>
      <c r="L28" s="711">
        <f t="shared" si="3"/>
        <v>197417.70778652668</v>
      </c>
      <c r="M28" s="385">
        <f t="shared" si="3"/>
        <v>243833.14085739283</v>
      </c>
      <c r="N28" s="120"/>
      <c r="O28" s="1"/>
    </row>
    <row r="29" spans="1:27" x14ac:dyDescent="0.25">
      <c r="A29" s="875" t="s">
        <v>341</v>
      </c>
      <c r="B29" s="125">
        <f t="shared" ref="B29:L29" si="4">+B43</f>
        <v>76.98</v>
      </c>
      <c r="C29" s="125">
        <f t="shared" si="4"/>
        <v>75.48</v>
      </c>
      <c r="D29" s="125">
        <f t="shared" si="4"/>
        <v>64.88</v>
      </c>
      <c r="E29" s="125">
        <f t="shared" si="4"/>
        <v>64.63</v>
      </c>
      <c r="F29" s="125">
        <f t="shared" si="4"/>
        <v>66.63</v>
      </c>
      <c r="G29" s="125">
        <f t="shared" si="4"/>
        <v>66.63</v>
      </c>
      <c r="H29" s="125">
        <f t="shared" si="4"/>
        <v>68.83</v>
      </c>
      <c r="I29" s="125">
        <f t="shared" si="4"/>
        <v>69.08</v>
      </c>
      <c r="J29" s="483">
        <f t="shared" si="4"/>
        <v>28.574999999999999</v>
      </c>
      <c r="K29" s="125">
        <f t="shared" ref="K29" si="5">+K43</f>
        <v>28.574999999999999</v>
      </c>
      <c r="L29" s="486">
        <f t="shared" si="4"/>
        <v>28.574999999999999</v>
      </c>
      <c r="M29" s="406">
        <f>+M43</f>
        <v>28.574999999999999</v>
      </c>
      <c r="N29" s="120"/>
      <c r="O29" s="1"/>
    </row>
    <row r="30" spans="1:27" x14ac:dyDescent="0.25">
      <c r="A30" s="875"/>
      <c r="B30" s="50"/>
      <c r="C30" s="50"/>
      <c r="D30" s="50"/>
      <c r="E30" s="50"/>
      <c r="G30" s="50"/>
      <c r="H30" s="50"/>
      <c r="I30" s="50"/>
      <c r="M30" s="393"/>
      <c r="N30" s="120"/>
      <c r="O30" s="1"/>
    </row>
    <row r="31" spans="1:27" x14ac:dyDescent="0.25">
      <c r="A31" s="877"/>
      <c r="B31" s="409"/>
      <c r="C31" s="409"/>
      <c r="D31" s="409"/>
      <c r="E31" s="409"/>
      <c r="F31" s="409"/>
      <c r="G31" s="124"/>
      <c r="H31" s="124"/>
      <c r="I31" s="124"/>
      <c r="J31" s="410"/>
      <c r="K31" s="409"/>
      <c r="L31" s="449"/>
      <c r="M31" s="410"/>
      <c r="N31" s="120"/>
      <c r="O31" s="1"/>
    </row>
    <row r="32" spans="1:27" x14ac:dyDescent="0.25">
      <c r="A32" s="877"/>
      <c r="B32" s="409"/>
      <c r="C32" s="409"/>
      <c r="D32" s="409"/>
      <c r="E32" s="409"/>
      <c r="F32" s="409"/>
      <c r="G32" s="124"/>
      <c r="H32" s="124"/>
      <c r="I32" s="124"/>
      <c r="J32" s="410"/>
      <c r="K32" s="409"/>
      <c r="L32" s="449"/>
      <c r="M32" s="410"/>
      <c r="N32" s="120"/>
      <c r="O32" s="1"/>
    </row>
    <row r="33" spans="1:15" x14ac:dyDescent="0.25">
      <c r="A33" s="862"/>
      <c r="B33" s="215"/>
      <c r="C33" s="215"/>
      <c r="D33" s="215"/>
      <c r="E33" s="215"/>
      <c r="F33" s="215"/>
      <c r="G33" s="215"/>
      <c r="H33" s="215"/>
      <c r="I33" s="215"/>
      <c r="J33" s="412"/>
      <c r="K33" s="215"/>
      <c r="L33" s="450"/>
      <c r="M33" s="412"/>
      <c r="N33" s="120"/>
      <c r="O33" s="1"/>
    </row>
    <row r="34" spans="1:15" x14ac:dyDescent="0.25">
      <c r="A34" s="875"/>
      <c r="B34" s="42"/>
      <c r="C34" s="42"/>
      <c r="D34" s="42"/>
      <c r="E34" s="42"/>
      <c r="F34" s="42"/>
      <c r="G34" s="1"/>
      <c r="H34" s="1"/>
      <c r="I34" s="1"/>
      <c r="J34" s="385"/>
      <c r="K34" s="42"/>
      <c r="L34" s="446"/>
      <c r="M34" s="385"/>
      <c r="N34" s="120"/>
      <c r="O34" s="1"/>
    </row>
    <row r="35" spans="1:15" x14ac:dyDescent="0.25">
      <c r="A35" s="878" t="s">
        <v>213</v>
      </c>
      <c r="B35" s="414"/>
      <c r="C35" s="414"/>
      <c r="D35" s="414"/>
      <c r="E35" s="414"/>
      <c r="F35" s="414"/>
      <c r="G35" s="15"/>
      <c r="H35" s="15"/>
      <c r="I35" s="15"/>
      <c r="J35" s="415"/>
      <c r="K35" s="414"/>
      <c r="L35" s="451"/>
      <c r="M35" s="415"/>
      <c r="N35" s="120"/>
      <c r="O35" s="1"/>
    </row>
    <row r="36" spans="1:15" x14ac:dyDescent="0.25">
      <c r="A36" s="879" t="s">
        <v>19</v>
      </c>
      <c r="B36" s="804">
        <v>1.2</v>
      </c>
      <c r="C36" s="804">
        <v>1.2</v>
      </c>
      <c r="D36" s="804">
        <v>1.2</v>
      </c>
      <c r="E36" s="804">
        <v>1.2</v>
      </c>
      <c r="F36" s="804">
        <v>2.2000000000000002</v>
      </c>
      <c r="G36" s="805">
        <v>2.2000000000000002</v>
      </c>
      <c r="H36" s="805">
        <v>2.2000000000000002</v>
      </c>
      <c r="I36" s="805">
        <v>2.2000000000000002</v>
      </c>
      <c r="J36" s="806">
        <v>28.574999999999999</v>
      </c>
      <c r="K36" s="807">
        <v>28.574999999999999</v>
      </c>
      <c r="L36" s="808">
        <v>28.574999999999999</v>
      </c>
      <c r="M36" s="427">
        <v>28.574999999999999</v>
      </c>
      <c r="N36" s="120"/>
      <c r="O36" s="1"/>
    </row>
    <row r="37" spans="1:15" x14ac:dyDescent="0.25">
      <c r="A37" s="879" t="s">
        <v>188</v>
      </c>
      <c r="B37" s="804">
        <v>21.25</v>
      </c>
      <c r="C37" s="804">
        <v>21.25</v>
      </c>
      <c r="D37" s="804">
        <v>21.25</v>
      </c>
      <c r="E37" s="804">
        <v>21.25</v>
      </c>
      <c r="F37" s="804">
        <v>22.75</v>
      </c>
      <c r="G37" s="805">
        <v>22.75</v>
      </c>
      <c r="H37" s="805">
        <v>23.25</v>
      </c>
      <c r="I37" s="805">
        <v>23.25</v>
      </c>
      <c r="J37" s="746"/>
      <c r="K37" s="744"/>
      <c r="L37" s="794"/>
      <c r="M37" s="421">
        <v>0</v>
      </c>
      <c r="N37" s="120"/>
      <c r="O37" s="1"/>
    </row>
    <row r="38" spans="1:15" x14ac:dyDescent="0.25">
      <c r="A38" s="879" t="s">
        <v>216</v>
      </c>
      <c r="B38" s="809">
        <v>10.050000000000001</v>
      </c>
      <c r="C38" s="809">
        <v>10.55</v>
      </c>
      <c r="D38" s="809">
        <v>10.85</v>
      </c>
      <c r="E38" s="809">
        <v>10.85</v>
      </c>
      <c r="F38" s="809">
        <v>10.35</v>
      </c>
      <c r="G38" s="810">
        <v>10.35</v>
      </c>
      <c r="H38" s="810">
        <v>11.05</v>
      </c>
      <c r="I38" s="810">
        <v>11.3</v>
      </c>
      <c r="J38" s="811"/>
      <c r="K38" s="812"/>
      <c r="L38" s="813"/>
      <c r="M38" s="393"/>
      <c r="N38" s="120"/>
      <c r="O38" s="1"/>
    </row>
    <row r="39" spans="1:15" x14ac:dyDescent="0.25">
      <c r="A39" s="879" t="s">
        <v>217</v>
      </c>
      <c r="B39" s="809">
        <v>16.579999999999998</v>
      </c>
      <c r="C39" s="809">
        <v>15.58</v>
      </c>
      <c r="D39" s="809">
        <v>15.58</v>
      </c>
      <c r="E39" s="809">
        <v>15.33</v>
      </c>
      <c r="F39" s="809">
        <v>15.33</v>
      </c>
      <c r="G39" s="810">
        <v>15.33</v>
      </c>
      <c r="H39" s="810">
        <v>15.33</v>
      </c>
      <c r="I39" s="810">
        <v>15.33</v>
      </c>
      <c r="J39" s="811"/>
      <c r="K39" s="812"/>
      <c r="L39" s="813"/>
      <c r="M39" s="393"/>
      <c r="N39" s="120"/>
      <c r="O39" s="1"/>
    </row>
    <row r="40" spans="1:15" x14ac:dyDescent="0.25">
      <c r="A40" s="879" t="s">
        <v>218</v>
      </c>
      <c r="B40" s="1010">
        <v>13</v>
      </c>
      <c r="C40" s="809">
        <v>12</v>
      </c>
      <c r="D40" s="809">
        <v>12</v>
      </c>
      <c r="E40" s="809">
        <v>12</v>
      </c>
      <c r="F40" s="809">
        <v>12</v>
      </c>
      <c r="G40" s="810">
        <v>12</v>
      </c>
      <c r="H40" s="810">
        <v>13</v>
      </c>
      <c r="I40" s="810">
        <v>13</v>
      </c>
      <c r="J40" s="811"/>
      <c r="K40" s="812"/>
      <c r="L40" s="813"/>
      <c r="M40" s="393"/>
      <c r="N40" s="120"/>
      <c r="O40" s="1"/>
    </row>
    <row r="41" spans="1:15" x14ac:dyDescent="0.25">
      <c r="A41" s="879" t="s">
        <v>219</v>
      </c>
      <c r="B41" s="1010">
        <v>10.9</v>
      </c>
      <c r="C41" s="809">
        <v>10.9</v>
      </c>
      <c r="D41" s="812">
        <v>0</v>
      </c>
      <c r="E41" s="812"/>
      <c r="F41" s="809"/>
      <c r="G41" s="60"/>
      <c r="H41" s="60"/>
      <c r="I41" s="810"/>
      <c r="J41" s="811"/>
      <c r="K41" s="812"/>
      <c r="L41" s="813"/>
      <c r="M41" s="393"/>
      <c r="N41" s="120"/>
      <c r="O41" s="1"/>
    </row>
    <row r="42" spans="1:15" x14ac:dyDescent="0.25">
      <c r="A42" s="879" t="s">
        <v>189</v>
      </c>
      <c r="B42" s="814">
        <v>4</v>
      </c>
      <c r="C42" s="814">
        <v>4</v>
      </c>
      <c r="D42" s="814">
        <v>4</v>
      </c>
      <c r="E42" s="814">
        <v>4</v>
      </c>
      <c r="F42" s="814">
        <v>4</v>
      </c>
      <c r="G42" s="814">
        <v>4</v>
      </c>
      <c r="H42" s="814">
        <v>4</v>
      </c>
      <c r="I42" s="814">
        <v>4</v>
      </c>
      <c r="J42" s="815"/>
      <c r="K42" s="816"/>
      <c r="L42" s="817"/>
      <c r="M42" s="422">
        <v>0</v>
      </c>
      <c r="N42" s="120"/>
      <c r="O42" s="1"/>
    </row>
    <row r="43" spans="1:15" x14ac:dyDescent="0.25">
      <c r="A43" s="880" t="s">
        <v>335</v>
      </c>
      <c r="B43" s="1008">
        <f t="shared" ref="B43:L43" si="6">SUM(B35:B42)</f>
        <v>76.98</v>
      </c>
      <c r="C43" s="1008">
        <f t="shared" si="6"/>
        <v>75.48</v>
      </c>
      <c r="D43" s="1008">
        <f t="shared" si="6"/>
        <v>64.88</v>
      </c>
      <c r="E43" s="1008">
        <f t="shared" si="6"/>
        <v>64.63</v>
      </c>
      <c r="F43" s="1008">
        <f t="shared" si="6"/>
        <v>66.63</v>
      </c>
      <c r="G43" s="290">
        <f t="shared" si="6"/>
        <v>66.63</v>
      </c>
      <c r="H43" s="290">
        <f t="shared" si="6"/>
        <v>68.83</v>
      </c>
      <c r="I43" s="290">
        <f t="shared" si="6"/>
        <v>69.08</v>
      </c>
      <c r="J43" s="627">
        <f t="shared" si="6"/>
        <v>28.574999999999999</v>
      </c>
      <c r="K43" s="1008">
        <f t="shared" ref="K43" si="7">SUM(K35:K42)</f>
        <v>28.574999999999999</v>
      </c>
      <c r="L43" s="633">
        <f t="shared" si="6"/>
        <v>28.574999999999999</v>
      </c>
      <c r="M43" s="627">
        <f>SUM(M35:M42)</f>
        <v>28.574999999999999</v>
      </c>
      <c r="N43" s="129"/>
    </row>
    <row r="44" spans="1:15" x14ac:dyDescent="0.25">
      <c r="A44" s="885"/>
      <c r="B44" s="93"/>
      <c r="C44" s="93"/>
      <c r="D44" s="93"/>
      <c r="E44" s="93"/>
      <c r="F44" s="93"/>
      <c r="G44" s="93"/>
      <c r="H44" s="93"/>
      <c r="I44" s="93"/>
      <c r="J44" s="417"/>
      <c r="K44" s="93"/>
      <c r="L44" s="465"/>
      <c r="M44" s="417"/>
    </row>
    <row r="45" spans="1:15" x14ac:dyDescent="0.25">
      <c r="A45" s="882"/>
      <c r="B45" s="93"/>
      <c r="C45" s="93"/>
      <c r="D45" s="93"/>
      <c r="E45" s="93"/>
      <c r="F45" s="93"/>
      <c r="G45" s="93"/>
      <c r="H45" s="93"/>
      <c r="I45" s="93"/>
      <c r="J45" s="417"/>
      <c r="K45" s="93"/>
      <c r="L45" s="109"/>
      <c r="M45" s="417"/>
    </row>
    <row r="46" spans="1:15" x14ac:dyDescent="0.25">
      <c r="A46" s="878" t="s">
        <v>220</v>
      </c>
      <c r="B46" s="316"/>
      <c r="C46" s="316"/>
      <c r="D46" s="316"/>
      <c r="E46" s="316"/>
      <c r="F46" s="316"/>
      <c r="G46" s="114"/>
      <c r="H46" s="114"/>
      <c r="I46" s="114"/>
      <c r="J46" s="419"/>
      <c r="K46" s="316"/>
      <c r="L46" s="455"/>
      <c r="M46" s="419"/>
    </row>
    <row r="47" spans="1:15" x14ac:dyDescent="0.25">
      <c r="A47" s="1011" t="s">
        <v>221</v>
      </c>
      <c r="B47" s="804">
        <v>27.62</v>
      </c>
      <c r="C47" s="804">
        <v>27.62</v>
      </c>
      <c r="D47" s="804">
        <v>27.62</v>
      </c>
      <c r="E47" s="804">
        <v>27.62</v>
      </c>
      <c r="F47" s="804">
        <v>27.62</v>
      </c>
      <c r="G47" s="805">
        <v>27.62</v>
      </c>
      <c r="H47" s="805">
        <v>27.62</v>
      </c>
      <c r="I47" s="805">
        <v>27.87</v>
      </c>
      <c r="J47" s="746">
        <v>30</v>
      </c>
      <c r="K47" s="275">
        <v>30</v>
      </c>
      <c r="L47" s="452">
        <v>30</v>
      </c>
      <c r="M47" s="421">
        <v>30</v>
      </c>
    </row>
    <row r="48" spans="1:15" x14ac:dyDescent="0.25">
      <c r="A48" s="1011" t="s">
        <v>121</v>
      </c>
      <c r="B48" s="814">
        <v>12.08</v>
      </c>
      <c r="C48" s="814">
        <v>14.65</v>
      </c>
      <c r="D48" s="814">
        <v>14.35</v>
      </c>
      <c r="E48" s="814">
        <v>14.6</v>
      </c>
      <c r="F48" s="814">
        <v>14.6</v>
      </c>
      <c r="G48" s="814">
        <v>14.6</v>
      </c>
      <c r="H48" s="814">
        <v>13.9</v>
      </c>
      <c r="I48" s="814">
        <v>14.4</v>
      </c>
      <c r="J48" s="815">
        <v>14.55</v>
      </c>
      <c r="K48" s="277">
        <v>15.55</v>
      </c>
      <c r="L48" s="453">
        <v>15.55</v>
      </c>
      <c r="M48" s="422">
        <v>15.55</v>
      </c>
      <c r="N48" s="120"/>
      <c r="O48" s="1"/>
    </row>
    <row r="49" spans="1:16" x14ac:dyDescent="0.25">
      <c r="A49" s="1012"/>
      <c r="B49" s="275">
        <f>SUM(B47:B48)</f>
        <v>39.700000000000003</v>
      </c>
      <c r="C49" s="275">
        <f t="shared" ref="C49:L49" si="8">SUM(C47:C48)</f>
        <v>42.27</v>
      </c>
      <c r="D49" s="275">
        <f t="shared" si="8"/>
        <v>41.97</v>
      </c>
      <c r="E49" s="275">
        <f t="shared" si="8"/>
        <v>42.22</v>
      </c>
      <c r="F49" s="275">
        <f t="shared" si="8"/>
        <v>42.22</v>
      </c>
      <c r="G49" s="22">
        <f t="shared" si="8"/>
        <v>42.22</v>
      </c>
      <c r="H49" s="22">
        <f t="shared" si="8"/>
        <v>41.52</v>
      </c>
      <c r="I49" s="22">
        <f t="shared" si="8"/>
        <v>42.27</v>
      </c>
      <c r="J49" s="421">
        <f t="shared" si="8"/>
        <v>44.55</v>
      </c>
      <c r="K49" s="275">
        <f t="shared" ref="K49" si="9">SUM(K47:K48)</f>
        <v>45.55</v>
      </c>
      <c r="L49" s="452">
        <f t="shared" si="8"/>
        <v>45.55</v>
      </c>
      <c r="M49" s="421">
        <f>SUM(M47:M48)</f>
        <v>45.55</v>
      </c>
    </row>
    <row r="50" spans="1:16" x14ac:dyDescent="0.25">
      <c r="A50" s="984"/>
      <c r="B50" s="275"/>
      <c r="C50" s="275"/>
      <c r="D50" s="275"/>
      <c r="E50" s="275"/>
      <c r="F50" s="275"/>
      <c r="G50" s="22"/>
      <c r="H50" s="22"/>
      <c r="I50" s="22"/>
      <c r="J50" s="421"/>
      <c r="K50" s="275"/>
      <c r="L50" s="452"/>
      <c r="M50" s="421"/>
    </row>
    <row r="51" spans="1:16" x14ac:dyDescent="0.25">
      <c r="A51" s="878" t="s">
        <v>222</v>
      </c>
      <c r="B51" s="275"/>
      <c r="C51" s="275"/>
      <c r="D51" s="275"/>
      <c r="E51" s="275"/>
      <c r="F51" s="275"/>
      <c r="G51" s="22"/>
      <c r="H51" s="22"/>
      <c r="I51" s="22"/>
      <c r="J51" s="421"/>
      <c r="K51" s="275"/>
      <c r="L51" s="452"/>
      <c r="M51" s="421"/>
      <c r="N51" s="120"/>
      <c r="O51" s="1"/>
    </row>
    <row r="52" spans="1:16" x14ac:dyDescent="0.25">
      <c r="A52" s="1011" t="s">
        <v>223</v>
      </c>
      <c r="B52" s="804">
        <v>15.65</v>
      </c>
      <c r="C52" s="804">
        <v>13.65</v>
      </c>
      <c r="D52" s="804">
        <v>13.65</v>
      </c>
      <c r="E52" s="804">
        <v>13.65</v>
      </c>
      <c r="F52" s="804">
        <v>15.15</v>
      </c>
      <c r="G52" s="805">
        <v>15.15</v>
      </c>
      <c r="H52" s="805">
        <v>15.15</v>
      </c>
      <c r="I52" s="805">
        <v>15.15</v>
      </c>
      <c r="J52" s="746">
        <v>18.55</v>
      </c>
      <c r="K52" s="275">
        <v>18.55</v>
      </c>
      <c r="L52" s="452">
        <v>18.55</v>
      </c>
      <c r="M52" s="421">
        <v>18.55</v>
      </c>
      <c r="N52" s="120"/>
      <c r="O52" s="1"/>
    </row>
    <row r="53" spans="1:16" x14ac:dyDescent="0.25">
      <c r="A53" s="1011" t="s">
        <v>224</v>
      </c>
      <c r="B53" s="277">
        <v>0</v>
      </c>
      <c r="C53" s="277"/>
      <c r="D53" s="277"/>
      <c r="E53" s="277"/>
      <c r="F53" s="277"/>
      <c r="G53" s="277"/>
      <c r="H53" s="277"/>
      <c r="I53" s="277"/>
      <c r="J53" s="422"/>
      <c r="K53" s="277"/>
      <c r="L53" s="453"/>
      <c r="M53" s="422"/>
      <c r="N53" s="120"/>
      <c r="O53" s="1"/>
    </row>
    <row r="54" spans="1:16" x14ac:dyDescent="0.25">
      <c r="A54" s="1013"/>
      <c r="B54" s="112">
        <f>SUM(B52:B53)</f>
        <v>15.65</v>
      </c>
      <c r="C54" s="112">
        <f t="shared" ref="C54:L54" si="10">SUM(C52:C53)</f>
        <v>13.65</v>
      </c>
      <c r="D54" s="112">
        <f t="shared" si="10"/>
        <v>13.65</v>
      </c>
      <c r="E54" s="112">
        <f t="shared" si="10"/>
        <v>13.65</v>
      </c>
      <c r="F54" s="112">
        <f t="shared" si="10"/>
        <v>15.15</v>
      </c>
      <c r="G54" s="112">
        <f t="shared" si="10"/>
        <v>15.15</v>
      </c>
      <c r="H54" s="112">
        <f t="shared" si="10"/>
        <v>15.15</v>
      </c>
      <c r="I54" s="112">
        <f t="shared" si="10"/>
        <v>15.15</v>
      </c>
      <c r="J54" s="424">
        <f t="shared" si="10"/>
        <v>18.55</v>
      </c>
      <c r="K54" s="112">
        <f t="shared" ref="K54" si="11">SUM(K52:K53)</f>
        <v>18.55</v>
      </c>
      <c r="L54" s="113">
        <f t="shared" si="10"/>
        <v>18.55</v>
      </c>
      <c r="M54" s="424">
        <f>SUM(M52:M53)</f>
        <v>18.55</v>
      </c>
      <c r="N54" s="120"/>
      <c r="O54" s="1"/>
    </row>
    <row r="55" spans="1:16" x14ac:dyDescent="0.25">
      <c r="A55" s="875"/>
      <c r="B55" s="50"/>
      <c r="C55" s="50"/>
      <c r="D55" s="50"/>
      <c r="E55" s="50"/>
      <c r="M55" s="393"/>
      <c r="N55" s="120"/>
      <c r="O55" s="1"/>
    </row>
    <row r="56" spans="1:16" x14ac:dyDescent="0.25">
      <c r="A56" s="878" t="s">
        <v>331</v>
      </c>
      <c r="B56" s="50"/>
      <c r="C56" s="50"/>
      <c r="D56" s="50"/>
      <c r="E56" s="50"/>
      <c r="M56" s="393"/>
      <c r="N56" s="120"/>
      <c r="O56" s="1"/>
    </row>
    <row r="57" spans="1:16" x14ac:dyDescent="0.25">
      <c r="A57" s="875" t="s">
        <v>219</v>
      </c>
      <c r="B57" s="812">
        <v>0</v>
      </c>
      <c r="C57" s="812">
        <v>0</v>
      </c>
      <c r="D57" s="809">
        <v>11.15</v>
      </c>
      <c r="E57" s="809">
        <v>11.13</v>
      </c>
      <c r="F57" s="809">
        <v>11.57</v>
      </c>
      <c r="G57" s="810">
        <v>11.57</v>
      </c>
      <c r="H57" s="810">
        <v>11.42</v>
      </c>
      <c r="I57" s="810">
        <v>11.42</v>
      </c>
      <c r="J57" s="811">
        <v>13.45</v>
      </c>
      <c r="K57" s="812">
        <v>12.574999999999999</v>
      </c>
      <c r="L57" s="813">
        <v>12.574999999999999</v>
      </c>
      <c r="M57" s="428">
        <v>12.45</v>
      </c>
      <c r="N57" s="120"/>
      <c r="O57" s="1"/>
    </row>
    <row r="58" spans="1:16" x14ac:dyDescent="0.25">
      <c r="A58" s="882" t="s">
        <v>241</v>
      </c>
      <c r="B58" s="177"/>
      <c r="C58" s="177"/>
      <c r="D58" s="809">
        <v>38.43</v>
      </c>
      <c r="E58" s="809">
        <v>38.18</v>
      </c>
      <c r="F58" s="809">
        <v>37.68</v>
      </c>
      <c r="G58" s="810">
        <v>37.68</v>
      </c>
      <c r="H58" s="810">
        <v>39.380000000000003</v>
      </c>
      <c r="I58" s="810">
        <v>39.630000000000003</v>
      </c>
      <c r="J58" s="811">
        <v>45.875</v>
      </c>
      <c r="K58" s="812">
        <v>46.375</v>
      </c>
      <c r="L58" s="813">
        <v>46.375</v>
      </c>
      <c r="M58" s="428">
        <v>46.375</v>
      </c>
      <c r="N58" s="120"/>
      <c r="O58" s="1"/>
    </row>
    <row r="59" spans="1:16" x14ac:dyDescent="0.25">
      <c r="A59" s="882" t="s">
        <v>157</v>
      </c>
      <c r="B59" s="93"/>
      <c r="C59" s="93"/>
      <c r="D59" s="50"/>
      <c r="E59" s="50"/>
      <c r="G59" s="278"/>
      <c r="H59" s="278"/>
      <c r="I59" s="278"/>
      <c r="J59" s="421">
        <v>0</v>
      </c>
      <c r="K59" s="275">
        <v>1</v>
      </c>
      <c r="L59" s="452">
        <v>1</v>
      </c>
      <c r="M59" s="421">
        <v>1</v>
      </c>
      <c r="N59" s="120"/>
      <c r="O59" s="1"/>
    </row>
    <row r="60" spans="1:16" ht="16.5" thickBot="1" x14ac:dyDescent="0.3">
      <c r="A60" s="863"/>
      <c r="B60" s="93"/>
      <c r="C60" s="93"/>
      <c r="D60" s="50"/>
      <c r="E60" s="50"/>
      <c r="G60" s="50"/>
      <c r="H60" s="50"/>
      <c r="I60" s="50"/>
      <c r="M60" s="393"/>
      <c r="N60" s="120"/>
      <c r="O60" s="1"/>
    </row>
    <row r="61" spans="1:16" ht="17.25" thickTop="1" thickBot="1" x14ac:dyDescent="0.3">
      <c r="A61" s="1014" t="s">
        <v>79</v>
      </c>
      <c r="B61" s="819">
        <f t="shared" ref="B61:I61" si="12">+B43+B49+B54+B57+B58+B59</f>
        <v>132.33000000000001</v>
      </c>
      <c r="C61" s="819">
        <f t="shared" si="12"/>
        <v>131.4</v>
      </c>
      <c r="D61" s="819">
        <f t="shared" si="12"/>
        <v>170.08</v>
      </c>
      <c r="E61" s="819">
        <f t="shared" si="12"/>
        <v>169.81</v>
      </c>
      <c r="F61" s="819">
        <f t="shared" si="12"/>
        <v>173.25</v>
      </c>
      <c r="G61" s="819">
        <f t="shared" si="12"/>
        <v>173.25</v>
      </c>
      <c r="H61" s="819">
        <f t="shared" si="12"/>
        <v>176.29999999999998</v>
      </c>
      <c r="I61" s="819">
        <f t="shared" si="12"/>
        <v>177.54999999999998</v>
      </c>
      <c r="J61" s="820">
        <f>+J43+J49+J54+J57+J58+J59</f>
        <v>151</v>
      </c>
      <c r="K61" s="819">
        <f>+K43+K49+K54+K57+K58+K59</f>
        <v>152.625</v>
      </c>
      <c r="L61" s="821">
        <f t="shared" ref="L61" si="13">+L43+L49+L54+L57+L58+L59</f>
        <v>152.625</v>
      </c>
      <c r="M61" s="429">
        <f>+M43+M49+M54+M57+M58+M59</f>
        <v>152.5</v>
      </c>
      <c r="N61" s="742"/>
      <c r="O61" s="1"/>
    </row>
    <row r="62" spans="1:16" x14ac:dyDescent="0.25">
      <c r="A62" s="1015"/>
      <c r="B62" s="93"/>
      <c r="C62" s="93"/>
      <c r="D62" s="93"/>
      <c r="E62" s="93"/>
      <c r="F62" s="93"/>
      <c r="G62" s="93"/>
      <c r="H62" s="93"/>
      <c r="I62" s="93"/>
      <c r="J62" s="892"/>
      <c r="K62" s="93"/>
      <c r="L62" s="894"/>
      <c r="M62" s="93"/>
      <c r="N62" s="120"/>
      <c r="O62" s="1"/>
    </row>
    <row r="63" spans="1:16" s="9" customFormat="1" x14ac:dyDescent="0.25">
      <c r="A63" s="882"/>
      <c r="B63" s="93"/>
      <c r="C63" s="93"/>
      <c r="D63" s="93"/>
      <c r="E63" s="93"/>
      <c r="F63" s="93"/>
      <c r="G63" s="93"/>
      <c r="H63" s="93"/>
      <c r="I63" s="93"/>
      <c r="J63" s="417"/>
      <c r="K63" s="93"/>
      <c r="L63" s="109"/>
      <c r="M63" s="93"/>
      <c r="N63" s="120"/>
      <c r="O63" s="51"/>
    </row>
    <row r="64" spans="1:16" x14ac:dyDescent="0.25">
      <c r="A64" s="864"/>
      <c r="B64" s="93"/>
      <c r="C64" s="93"/>
      <c r="D64" s="93"/>
      <c r="E64" s="93"/>
      <c r="F64" s="93"/>
      <c r="G64" s="93"/>
      <c r="H64" s="93"/>
      <c r="I64" s="93"/>
      <c r="J64" s="417"/>
      <c r="K64" s="93"/>
      <c r="L64" s="109"/>
      <c r="M64" s="93"/>
      <c r="N64" s="120"/>
      <c r="O64" s="1"/>
      <c r="P64">
        <v>13872298</v>
      </c>
    </row>
    <row r="65" spans="1:16" s="39" customFormat="1" x14ac:dyDescent="0.25">
      <c r="A65" s="863"/>
      <c r="B65" s="93"/>
      <c r="C65" s="93"/>
      <c r="D65" s="93"/>
      <c r="E65" s="93"/>
      <c r="F65" s="93"/>
      <c r="G65" s="93"/>
      <c r="H65" s="93"/>
      <c r="I65" s="93"/>
      <c r="J65" s="417"/>
      <c r="K65" s="93"/>
      <c r="L65" s="109"/>
      <c r="M65" s="93"/>
      <c r="N65" s="120"/>
      <c r="O65" s="88"/>
    </row>
    <row r="66" spans="1:16" s="39" customFormat="1" x14ac:dyDescent="0.25">
      <c r="A66" s="1013"/>
      <c r="B66" s="236"/>
      <c r="C66" s="196"/>
      <c r="D66" s="196"/>
      <c r="E66" s="196"/>
      <c r="F66" s="196"/>
      <c r="G66" s="196"/>
      <c r="H66" s="196"/>
      <c r="I66" s="196"/>
      <c r="J66" s="893"/>
      <c r="K66" s="196"/>
      <c r="L66" s="895"/>
      <c r="M66" s="196"/>
      <c r="N66" s="120"/>
      <c r="O66" s="88"/>
    </row>
    <row r="67" spans="1:16" s="39" customFormat="1" x14ac:dyDescent="0.25">
      <c r="A67" s="1016"/>
      <c r="B67" s="93"/>
      <c r="C67" s="93"/>
      <c r="D67" s="93"/>
      <c r="E67" s="93"/>
      <c r="F67" s="93"/>
      <c r="G67" s="93"/>
      <c r="H67" s="93"/>
      <c r="I67" s="93"/>
      <c r="J67" s="417"/>
      <c r="K67" s="93"/>
      <c r="L67" s="109"/>
      <c r="M67" s="93"/>
      <c r="N67" s="120"/>
      <c r="O67" s="88"/>
      <c r="P67" s="123"/>
    </row>
    <row r="68" spans="1:16" s="39" customFormat="1" x14ac:dyDescent="0.25">
      <c r="A68" s="1017"/>
      <c r="B68" s="235"/>
      <c r="C68" s="235"/>
      <c r="D68" s="235"/>
      <c r="E68" s="235"/>
      <c r="F68" s="235"/>
      <c r="G68" s="235"/>
      <c r="H68" s="235"/>
      <c r="I68" s="235"/>
      <c r="J68" s="457"/>
      <c r="K68" s="235"/>
      <c r="L68" s="466"/>
      <c r="M68" s="235"/>
      <c r="N68" s="120"/>
      <c r="O68" s="88"/>
    </row>
    <row r="69" spans="1:16" s="39" customFormat="1" x14ac:dyDescent="0.25">
      <c r="A69" s="1017"/>
      <c r="B69" s="235"/>
      <c r="C69" s="235"/>
      <c r="D69" s="235"/>
      <c r="E69" s="235"/>
      <c r="F69" s="235"/>
      <c r="G69" s="235"/>
      <c r="H69" s="235"/>
      <c r="I69" s="235"/>
      <c r="J69" s="457"/>
      <c r="K69" s="235"/>
      <c r="L69" s="466"/>
      <c r="M69" s="235"/>
      <c r="N69" s="120"/>
      <c r="O69" s="88"/>
    </row>
    <row r="70" spans="1:16" s="39" customFormat="1" x14ac:dyDescent="0.25">
      <c r="A70" s="1017"/>
      <c r="B70" s="235"/>
      <c r="C70" s="235"/>
      <c r="D70" s="235"/>
      <c r="E70" s="235"/>
      <c r="F70" s="235"/>
      <c r="G70" s="235"/>
      <c r="H70" s="235"/>
      <c r="I70" s="235"/>
      <c r="J70" s="457"/>
      <c r="K70" s="235"/>
      <c r="L70" s="466"/>
      <c r="M70" s="235"/>
      <c r="N70" s="120"/>
      <c r="O70" s="88"/>
    </row>
    <row r="71" spans="1:16" s="39" customFormat="1" x14ac:dyDescent="0.25">
      <c r="A71" s="1017"/>
      <c r="B71" s="235"/>
      <c r="C71" s="235"/>
      <c r="D71" s="235"/>
      <c r="E71" s="235"/>
      <c r="F71" s="235"/>
      <c r="G71" s="235"/>
      <c r="H71" s="235"/>
      <c r="I71" s="235"/>
      <c r="J71" s="457"/>
      <c r="K71" s="235"/>
      <c r="L71" s="466"/>
      <c r="M71" s="235"/>
      <c r="N71" s="120"/>
      <c r="O71" s="88"/>
    </row>
    <row r="72" spans="1:16" x14ac:dyDescent="0.25">
      <c r="A72" s="1017"/>
      <c r="B72" s="235"/>
      <c r="C72" s="235"/>
      <c r="D72" s="235"/>
      <c r="E72" s="235"/>
      <c r="F72" s="235"/>
      <c r="G72" s="235"/>
      <c r="H72" s="235"/>
      <c r="I72" s="235"/>
      <c r="J72" s="457"/>
      <c r="K72" s="235"/>
      <c r="L72" s="466"/>
      <c r="M72" s="235"/>
      <c r="N72" s="120"/>
      <c r="O72" s="1"/>
    </row>
    <row r="73" spans="1:16" x14ac:dyDescent="0.25">
      <c r="A73" s="1017"/>
      <c r="B73" s="235"/>
      <c r="C73" s="235"/>
      <c r="D73" s="235"/>
      <c r="E73" s="235"/>
      <c r="F73" s="235"/>
      <c r="G73" s="235"/>
      <c r="H73" s="235"/>
      <c r="I73" s="235"/>
      <c r="J73" s="457"/>
      <c r="K73" s="235"/>
      <c r="L73" s="466"/>
      <c r="M73" s="235"/>
      <c r="N73" s="120"/>
      <c r="O73" s="1"/>
    </row>
    <row r="74" spans="1:16" x14ac:dyDescent="0.25">
      <c r="A74" s="1017"/>
      <c r="B74" s="235"/>
      <c r="C74" s="235"/>
      <c r="D74" s="235"/>
      <c r="E74" s="235"/>
      <c r="F74" s="235"/>
      <c r="G74" s="235"/>
      <c r="H74" s="235"/>
      <c r="I74" s="235"/>
      <c r="J74" s="457"/>
      <c r="K74" s="235"/>
      <c r="L74" s="466"/>
      <c r="M74" s="235"/>
      <c r="N74" s="120"/>
      <c r="O74" s="1"/>
    </row>
    <row r="75" spans="1:16" x14ac:dyDescent="0.25">
      <c r="A75" s="1016"/>
      <c r="B75" s="93"/>
      <c r="C75" s="93"/>
      <c r="D75" s="93"/>
      <c r="E75" s="93"/>
      <c r="F75" s="93"/>
      <c r="G75" s="93"/>
      <c r="H75" s="93"/>
      <c r="I75" s="93"/>
      <c r="J75" s="417"/>
      <c r="K75" s="235"/>
      <c r="L75" s="466"/>
      <c r="M75" s="235"/>
      <c r="N75" s="120"/>
      <c r="O75" s="1"/>
    </row>
    <row r="76" spans="1:16" x14ac:dyDescent="0.25">
      <c r="A76" s="1016"/>
      <c r="B76" s="93"/>
      <c r="C76" s="93"/>
      <c r="D76" s="93"/>
      <c r="E76" s="93"/>
      <c r="F76" s="93"/>
      <c r="G76" s="93"/>
      <c r="H76" s="93"/>
      <c r="I76" s="93"/>
      <c r="J76" s="417"/>
      <c r="K76" s="235"/>
      <c r="L76" s="466"/>
      <c r="M76" s="235"/>
      <c r="N76" s="120"/>
      <c r="O76" s="1"/>
    </row>
    <row r="77" spans="1:16" x14ac:dyDescent="0.25">
      <c r="A77" s="1018"/>
      <c r="B77" s="93"/>
      <c r="C77" s="93"/>
      <c r="D77" s="93"/>
      <c r="E77" s="93"/>
      <c r="F77" s="93"/>
      <c r="G77" s="93"/>
      <c r="H77" s="93"/>
      <c r="I77" s="93"/>
      <c r="J77" s="417"/>
      <c r="K77" s="93"/>
      <c r="L77" s="109"/>
      <c r="M77" s="93"/>
      <c r="N77" s="120"/>
      <c r="O77" s="1"/>
    </row>
    <row r="78" spans="1:16" x14ac:dyDescent="0.25">
      <c r="A78" s="882"/>
      <c r="B78" s="93"/>
      <c r="C78" s="93"/>
      <c r="D78" s="93"/>
      <c r="E78" s="93"/>
      <c r="F78" s="93"/>
      <c r="G78" s="93"/>
      <c r="H78" s="93"/>
      <c r="I78" s="93"/>
      <c r="J78" s="417"/>
      <c r="K78" s="93"/>
      <c r="L78" s="109"/>
      <c r="M78" s="93"/>
      <c r="N78" s="120"/>
      <c r="O78" s="1"/>
    </row>
    <row r="79" spans="1:16" x14ac:dyDescent="0.25">
      <c r="A79" s="882"/>
      <c r="B79" s="114"/>
      <c r="C79" s="114"/>
      <c r="D79" s="114"/>
      <c r="E79" s="114"/>
      <c r="F79" s="316"/>
      <c r="G79" s="114"/>
      <c r="H79" s="114"/>
      <c r="I79" s="114"/>
      <c r="J79" s="419"/>
      <c r="K79" s="316"/>
      <c r="L79" s="455"/>
      <c r="M79" s="114"/>
      <c r="N79" s="120"/>
      <c r="O79" s="1"/>
    </row>
    <row r="80" spans="1:16" x14ac:dyDescent="0.25">
      <c r="A80" s="887"/>
      <c r="B80" s="105"/>
      <c r="C80" s="105"/>
      <c r="D80" s="105"/>
      <c r="E80" s="105"/>
      <c r="F80" s="315"/>
      <c r="G80" s="105"/>
      <c r="H80" s="105"/>
      <c r="I80" s="105"/>
      <c r="J80" s="381"/>
      <c r="K80" s="315"/>
      <c r="L80" s="372"/>
      <c r="M80" s="105"/>
      <c r="N80" s="120"/>
      <c r="O80" s="1"/>
    </row>
    <row r="81" spans="1:15" x14ac:dyDescent="0.25">
      <c r="A81" s="887"/>
      <c r="B81" s="93"/>
      <c r="C81" s="93"/>
      <c r="D81" s="93"/>
      <c r="E81" s="93"/>
      <c r="F81" s="93"/>
      <c r="G81" s="93"/>
      <c r="H81" s="93"/>
      <c r="I81" s="93"/>
      <c r="J81" s="417"/>
      <c r="K81" s="93"/>
      <c r="L81" s="109"/>
      <c r="M81" s="93"/>
      <c r="N81" s="120"/>
      <c r="O81" s="1"/>
    </row>
    <row r="82" spans="1:15" x14ac:dyDescent="0.25">
      <c r="A82" s="888"/>
      <c r="B82" s="237"/>
      <c r="C82" s="237"/>
      <c r="D82" s="237"/>
      <c r="E82" s="237"/>
      <c r="F82" s="237"/>
      <c r="G82" s="237"/>
      <c r="H82" s="237"/>
      <c r="I82" s="237"/>
      <c r="J82" s="458"/>
      <c r="K82" s="237"/>
      <c r="L82" s="467"/>
      <c r="M82" s="237"/>
      <c r="N82" s="120"/>
      <c r="O82" s="1"/>
    </row>
    <row r="83" spans="1:15" x14ac:dyDescent="0.25">
      <c r="A83" s="888"/>
      <c r="B83" s="237"/>
      <c r="C83" s="237"/>
      <c r="D83" s="237"/>
      <c r="E83" s="237"/>
      <c r="F83" s="237"/>
      <c r="G83" s="237"/>
      <c r="H83" s="237"/>
      <c r="I83" s="237"/>
      <c r="J83" s="458"/>
      <c r="K83" s="237"/>
      <c r="L83" s="467"/>
      <c r="M83" s="237"/>
      <c r="N83" s="120"/>
      <c r="O83" s="1"/>
    </row>
    <row r="84" spans="1:15" x14ac:dyDescent="0.25">
      <c r="A84" s="888"/>
      <c r="B84" s="215"/>
      <c r="C84" s="215"/>
      <c r="D84" s="215"/>
      <c r="E84" s="215"/>
      <c r="F84" s="215"/>
      <c r="G84" s="215"/>
      <c r="H84" s="215"/>
      <c r="I84" s="215"/>
      <c r="J84" s="412"/>
      <c r="K84" s="215"/>
      <c r="L84" s="450"/>
      <c r="M84" s="215"/>
      <c r="N84" s="120"/>
      <c r="O84" s="1"/>
    </row>
    <row r="85" spans="1:15" x14ac:dyDescent="0.25">
      <c r="A85" s="887"/>
      <c r="B85" s="93"/>
      <c r="C85" s="93"/>
      <c r="D85" s="93"/>
      <c r="E85" s="93"/>
      <c r="F85" s="93"/>
      <c r="G85" s="93"/>
      <c r="H85" s="93"/>
      <c r="I85" s="93"/>
      <c r="J85" s="417"/>
      <c r="K85" s="93"/>
      <c r="L85" s="109"/>
      <c r="M85" s="93"/>
      <c r="N85" s="120"/>
      <c r="O85" s="1"/>
    </row>
    <row r="86" spans="1:15" x14ac:dyDescent="0.25">
      <c r="A86" s="887"/>
      <c r="B86" s="93"/>
      <c r="C86" s="93"/>
      <c r="D86" s="93"/>
      <c r="E86" s="93"/>
      <c r="F86" s="93"/>
      <c r="G86" s="93"/>
      <c r="H86" s="93"/>
      <c r="I86" s="93"/>
      <c r="J86" s="417"/>
      <c r="K86" s="93"/>
      <c r="L86" s="109"/>
      <c r="M86" s="93"/>
      <c r="N86" s="120"/>
      <c r="O86" s="1"/>
    </row>
    <row r="87" spans="1:15" x14ac:dyDescent="0.25">
      <c r="A87" s="738"/>
      <c r="B87" s="114"/>
      <c r="C87" s="114"/>
      <c r="D87" s="114"/>
      <c r="E87" s="114"/>
      <c r="F87" s="316"/>
      <c r="G87" s="114"/>
      <c r="H87" s="114"/>
      <c r="I87" s="114"/>
      <c r="J87" s="419"/>
      <c r="K87" s="316"/>
      <c r="L87" s="455"/>
      <c r="M87" s="114"/>
      <c r="N87" s="120"/>
      <c r="O87" s="1"/>
    </row>
    <row r="88" spans="1:15" x14ac:dyDescent="0.25">
      <c r="A88" s="741"/>
      <c r="B88" s="93"/>
      <c r="C88" s="93"/>
      <c r="D88" s="93"/>
      <c r="E88" s="93"/>
      <c r="F88" s="93"/>
      <c r="G88" s="93"/>
      <c r="H88" s="93"/>
      <c r="I88" s="93"/>
      <c r="J88" s="93"/>
      <c r="K88" s="93"/>
      <c r="L88" s="93"/>
      <c r="M88" s="93"/>
      <c r="N88" s="19"/>
    </row>
    <row r="89" spans="1:15" x14ac:dyDescent="0.25">
      <c r="A89" s="765"/>
      <c r="B89" s="93"/>
      <c r="C89" s="93"/>
      <c r="D89" s="93"/>
      <c r="E89" s="93"/>
      <c r="F89" s="93"/>
      <c r="G89" s="93"/>
      <c r="H89" s="93"/>
      <c r="I89" s="93"/>
      <c r="J89" s="93"/>
      <c r="K89" s="93"/>
      <c r="L89" s="93"/>
      <c r="M89" s="93"/>
      <c r="N89" s="26"/>
      <c r="O89" s="1"/>
    </row>
    <row r="90" spans="1:15" x14ac:dyDescent="0.25">
      <c r="A90" s="199"/>
      <c r="B90" s="114"/>
      <c r="C90" s="114"/>
      <c r="D90" s="114"/>
      <c r="E90" s="114"/>
      <c r="F90" s="316"/>
      <c r="G90" s="114"/>
      <c r="H90" s="114"/>
      <c r="I90" s="114"/>
      <c r="J90" s="316"/>
      <c r="K90" s="316"/>
      <c r="L90" s="316"/>
      <c r="M90" s="114"/>
      <c r="N90" s="26"/>
      <c r="O90" s="1"/>
    </row>
    <row r="91" spans="1:15" x14ac:dyDescent="0.25">
      <c r="A91" s="199"/>
      <c r="B91" s="114"/>
      <c r="C91" s="114"/>
      <c r="D91" s="114"/>
      <c r="E91" s="114"/>
      <c r="F91" s="316"/>
      <c r="G91" s="114"/>
      <c r="H91" s="114"/>
      <c r="I91" s="114"/>
      <c r="J91" s="316"/>
      <c r="K91" s="316"/>
      <c r="L91" s="316"/>
      <c r="M91" s="114"/>
      <c r="N91" s="26"/>
      <c r="O91" s="1"/>
    </row>
    <row r="92" spans="1:15" x14ac:dyDescent="0.25">
      <c r="A92" s="199"/>
      <c r="B92" s="93"/>
      <c r="C92" s="93"/>
      <c r="D92" s="93"/>
      <c r="E92" s="93"/>
      <c r="F92" s="93"/>
      <c r="G92" s="93"/>
      <c r="H92" s="93"/>
      <c r="I92" s="93"/>
      <c r="J92" s="93"/>
      <c r="K92" s="93"/>
      <c r="L92" s="93"/>
      <c r="M92" s="93"/>
      <c r="N92" s="26"/>
      <c r="O92" s="1"/>
    </row>
    <row r="93" spans="1:15" x14ac:dyDescent="0.25">
      <c r="A93" s="201"/>
      <c r="B93" s="200"/>
      <c r="C93" s="200"/>
      <c r="D93" s="200"/>
      <c r="E93" s="200"/>
      <c r="F93" s="322"/>
      <c r="G93" s="200"/>
      <c r="H93" s="200"/>
      <c r="I93" s="200"/>
      <c r="J93" s="322"/>
      <c r="K93" s="322"/>
      <c r="L93" s="322"/>
      <c r="M93" s="200"/>
      <c r="N93" s="26"/>
      <c r="O93" s="1"/>
    </row>
    <row r="94" spans="1:15" x14ac:dyDescent="0.25">
      <c r="A94" s="201"/>
      <c r="B94" s="202"/>
      <c r="C94" s="202"/>
      <c r="D94" s="202"/>
      <c r="E94" s="202"/>
      <c r="F94" s="202"/>
      <c r="G94" s="202"/>
      <c r="H94" s="202"/>
      <c r="I94" s="202"/>
      <c r="J94" s="202"/>
      <c r="K94" s="202"/>
      <c r="L94" s="202"/>
      <c r="M94" s="202"/>
      <c r="N94" s="26"/>
      <c r="O94" s="1"/>
    </row>
    <row r="95" spans="1:15" s="17" customFormat="1" x14ac:dyDescent="0.25">
      <c r="A95" s="201"/>
      <c r="B95" s="202"/>
      <c r="C95" s="202"/>
      <c r="D95" s="202"/>
      <c r="E95" s="202"/>
      <c r="F95" s="202"/>
      <c r="G95" s="202"/>
      <c r="H95" s="202"/>
      <c r="I95" s="202"/>
      <c r="J95" s="202"/>
      <c r="K95" s="202"/>
      <c r="L95" s="202"/>
      <c r="M95" s="202"/>
      <c r="N95" s="68"/>
      <c r="O95" s="32"/>
    </row>
    <row r="96" spans="1:15" x14ac:dyDescent="0.25">
      <c r="A96" s="201"/>
      <c r="B96" s="202"/>
      <c r="C96" s="202"/>
      <c r="D96" s="202"/>
      <c r="E96" s="202"/>
      <c r="F96" s="202"/>
      <c r="G96" s="202"/>
      <c r="H96" s="202"/>
      <c r="I96" s="202"/>
      <c r="J96" s="202"/>
      <c r="K96" s="202"/>
      <c r="L96" s="202"/>
      <c r="M96" s="202"/>
      <c r="N96" s="26"/>
      <c r="O96" s="1"/>
    </row>
    <row r="97" spans="1:15" x14ac:dyDescent="0.25">
      <c r="A97" s="203"/>
      <c r="B97" s="202"/>
      <c r="C97" s="202"/>
      <c r="D97" s="202"/>
      <c r="E97" s="202"/>
      <c r="F97" s="202"/>
      <c r="G97" s="202"/>
      <c r="H97" s="202"/>
      <c r="I97" s="202"/>
      <c r="J97" s="202"/>
      <c r="K97" s="202"/>
      <c r="L97" s="202"/>
      <c r="M97" s="202"/>
      <c r="N97" s="26"/>
      <c r="O97" s="1"/>
    </row>
    <row r="98" spans="1:15" x14ac:dyDescent="0.25">
      <c r="A98" s="205"/>
      <c r="B98" s="114"/>
      <c r="C98" s="114"/>
      <c r="D98" s="114"/>
      <c r="E98" s="114"/>
      <c r="F98" s="316"/>
      <c r="G98" s="114"/>
      <c r="H98" s="114"/>
      <c r="I98" s="114"/>
      <c r="J98" s="316"/>
      <c r="K98" s="316"/>
      <c r="L98" s="316"/>
      <c r="M98" s="114"/>
      <c r="N98" s="26"/>
      <c r="O98" s="1"/>
    </row>
    <row r="99" spans="1:15" x14ac:dyDescent="0.25">
      <c r="A99" s="141"/>
      <c r="B99" s="200"/>
      <c r="C99" s="140"/>
      <c r="D99" s="140"/>
      <c r="E99" s="140"/>
      <c r="F99" s="140"/>
      <c r="G99" s="140"/>
      <c r="H99" s="140"/>
      <c r="I99" s="140"/>
      <c r="J99" s="140"/>
      <c r="K99" s="140"/>
      <c r="L99" s="140"/>
      <c r="M99" s="140"/>
      <c r="N99" s="26"/>
      <c r="O99" s="1"/>
    </row>
    <row r="100" spans="1:15" x14ac:dyDescent="0.25">
      <c r="A100" s="114"/>
      <c r="B100" s="200"/>
      <c r="C100" s="140"/>
      <c r="D100" s="140"/>
      <c r="E100" s="140"/>
      <c r="F100" s="140"/>
      <c r="G100" s="140"/>
      <c r="H100" s="140"/>
      <c r="I100" s="140"/>
      <c r="J100" s="140"/>
      <c r="K100" s="140"/>
      <c r="L100" s="140"/>
      <c r="M100" s="140"/>
      <c r="N100" s="26"/>
      <c r="O100" s="1"/>
    </row>
    <row r="101" spans="1:15" x14ac:dyDescent="0.25">
      <c r="A101" s="199"/>
      <c r="B101" s="93"/>
      <c r="C101" s="93"/>
      <c r="D101" s="93"/>
      <c r="E101" s="93"/>
      <c r="F101" s="93"/>
      <c r="G101" s="93"/>
      <c r="H101" s="93"/>
      <c r="I101" s="93"/>
      <c r="J101" s="93"/>
      <c r="K101" s="93"/>
      <c r="L101" s="93"/>
      <c r="M101" s="93"/>
      <c r="N101" s="26"/>
      <c r="O101" s="1"/>
    </row>
    <row r="102" spans="1:15" x14ac:dyDescent="0.25">
      <c r="A102" s="201"/>
      <c r="B102" s="202"/>
      <c r="C102" s="202"/>
      <c r="D102" s="202"/>
      <c r="E102" s="202"/>
      <c r="F102" s="202"/>
      <c r="G102" s="202"/>
      <c r="H102" s="202"/>
      <c r="I102" s="202"/>
      <c r="J102" s="202"/>
      <c r="K102" s="202"/>
      <c r="L102" s="202"/>
      <c r="M102" s="202"/>
      <c r="N102" s="19"/>
    </row>
    <row r="103" spans="1:15" x14ac:dyDescent="0.25">
      <c r="A103" s="201"/>
      <c r="B103" s="202"/>
      <c r="C103" s="202"/>
      <c r="D103" s="202"/>
      <c r="E103" s="202"/>
      <c r="F103" s="202"/>
      <c r="G103" s="202"/>
      <c r="H103" s="202"/>
      <c r="I103" s="202"/>
      <c r="J103" s="202"/>
      <c r="K103" s="202"/>
      <c r="L103" s="202"/>
      <c r="M103" s="202"/>
      <c r="N103" s="26"/>
      <c r="O103" s="1"/>
    </row>
    <row r="104" spans="1:15" x14ac:dyDescent="0.25">
      <c r="A104" s="217"/>
      <c r="B104" s="238"/>
      <c r="C104" s="238"/>
      <c r="D104" s="238"/>
      <c r="E104" s="238"/>
      <c r="F104" s="238"/>
      <c r="G104" s="238"/>
      <c r="H104" s="238"/>
      <c r="I104" s="238"/>
      <c r="J104" s="238"/>
      <c r="K104" s="238"/>
      <c r="L104" s="238"/>
      <c r="M104" s="238"/>
      <c r="N104" s="26"/>
      <c r="O104" s="1"/>
    </row>
    <row r="105" spans="1:15" x14ac:dyDescent="0.25">
      <c r="A105" s="114"/>
      <c r="B105" s="114"/>
      <c r="C105" s="114"/>
      <c r="D105" s="114"/>
      <c r="E105" s="114"/>
      <c r="F105" s="316"/>
      <c r="G105" s="114"/>
      <c r="H105" s="114"/>
      <c r="I105" s="114"/>
      <c r="J105" s="316"/>
      <c r="K105" s="316"/>
      <c r="L105" s="316"/>
      <c r="M105" s="114"/>
      <c r="N105" s="26"/>
      <c r="O105" s="1"/>
    </row>
    <row r="106" spans="1:15" x14ac:dyDescent="0.25">
      <c r="A106" s="199"/>
      <c r="B106" s="93"/>
      <c r="C106" s="93"/>
      <c r="D106" s="93"/>
      <c r="E106" s="93"/>
      <c r="F106" s="93"/>
      <c r="G106" s="93"/>
      <c r="H106" s="93"/>
      <c r="I106" s="93"/>
      <c r="J106" s="93"/>
      <c r="K106" s="93"/>
      <c r="L106" s="93"/>
      <c r="M106" s="93"/>
      <c r="N106" s="26"/>
      <c r="O106" s="1"/>
    </row>
    <row r="107" spans="1:15" x14ac:dyDescent="0.25">
      <c r="A107" s="201"/>
      <c r="B107" s="93"/>
      <c r="C107" s="93"/>
      <c r="D107" s="93"/>
      <c r="E107" s="93"/>
      <c r="F107" s="93"/>
      <c r="G107" s="93"/>
      <c r="H107" s="93"/>
      <c r="I107" s="93"/>
      <c r="J107" s="93"/>
      <c r="K107" s="93"/>
      <c r="L107" s="93"/>
      <c r="M107" s="93"/>
      <c r="N107" s="26"/>
      <c r="O107" s="1"/>
    </row>
    <row r="108" spans="1:15" x14ac:dyDescent="0.25">
      <c r="A108" s="201"/>
      <c r="B108" s="202"/>
      <c r="C108" s="202"/>
      <c r="D108" s="202"/>
      <c r="E108" s="202"/>
      <c r="F108" s="202"/>
      <c r="G108" s="202"/>
      <c r="H108" s="202"/>
      <c r="I108" s="202"/>
      <c r="J108" s="202"/>
      <c r="K108" s="202"/>
      <c r="L108" s="202"/>
      <c r="M108" s="202"/>
      <c r="N108" s="26"/>
      <c r="O108" s="1"/>
    </row>
    <row r="109" spans="1:15" x14ac:dyDescent="0.25">
      <c r="A109" s="217"/>
      <c r="B109" s="202"/>
      <c r="C109" s="202"/>
      <c r="D109" s="202"/>
      <c r="E109" s="202"/>
      <c r="F109" s="202"/>
      <c r="G109" s="202"/>
      <c r="H109" s="202"/>
      <c r="I109" s="202"/>
      <c r="J109" s="202"/>
      <c r="K109" s="202"/>
      <c r="L109" s="202"/>
      <c r="M109" s="202"/>
      <c r="N109" s="26"/>
      <c r="O109" s="1"/>
    </row>
    <row r="110" spans="1:15" x14ac:dyDescent="0.25">
      <c r="A110" s="114"/>
      <c r="B110" s="93"/>
      <c r="C110" s="93"/>
      <c r="D110" s="93"/>
      <c r="E110" s="93"/>
      <c r="F110" s="93"/>
      <c r="G110" s="93"/>
      <c r="H110" s="93"/>
      <c r="I110" s="93"/>
      <c r="J110" s="93"/>
      <c r="K110" s="93"/>
      <c r="L110" s="93"/>
      <c r="M110" s="93"/>
      <c r="N110" s="26"/>
      <c r="O110" s="1"/>
    </row>
    <row r="111" spans="1:15" x14ac:dyDescent="0.25">
      <c r="A111" s="199"/>
      <c r="B111" s="93"/>
      <c r="C111" s="93"/>
      <c r="D111" s="93"/>
      <c r="E111" s="93"/>
      <c r="F111" s="93"/>
      <c r="G111" s="93"/>
      <c r="H111" s="93"/>
      <c r="I111" s="93"/>
      <c r="J111" s="93"/>
      <c r="K111" s="93"/>
      <c r="L111" s="93"/>
      <c r="M111" s="93"/>
      <c r="N111" s="26"/>
      <c r="O111" s="1"/>
    </row>
    <row r="112" spans="1:15" x14ac:dyDescent="0.25">
      <c r="A112" s="201"/>
      <c r="B112" s="93"/>
      <c r="C112" s="93"/>
      <c r="D112" s="93"/>
      <c r="E112" s="93"/>
      <c r="F112" s="93"/>
      <c r="G112" s="93"/>
      <c r="H112" s="93"/>
      <c r="I112" s="93"/>
      <c r="J112" s="93"/>
      <c r="K112" s="93"/>
      <c r="L112" s="93"/>
      <c r="M112" s="93"/>
      <c r="N112" s="26"/>
      <c r="O112" s="1"/>
    </row>
    <row r="113" spans="1:15" x14ac:dyDescent="0.25">
      <c r="A113" s="201"/>
      <c r="B113" s="202"/>
      <c r="C113" s="202"/>
      <c r="D113" s="202"/>
      <c r="E113" s="202"/>
      <c r="F113" s="202"/>
      <c r="G113" s="202"/>
      <c r="H113" s="202"/>
      <c r="I113" s="202"/>
      <c r="J113" s="202"/>
      <c r="K113" s="202"/>
      <c r="L113" s="202"/>
      <c r="M113" s="202"/>
      <c r="N113" s="26"/>
      <c r="O113" s="1"/>
    </row>
    <row r="114" spans="1:15" x14ac:dyDescent="0.25">
      <c r="A114" s="217"/>
      <c r="B114" s="202"/>
      <c r="C114" s="202"/>
      <c r="D114" s="202"/>
      <c r="E114" s="202"/>
      <c r="F114" s="202"/>
      <c r="G114" s="202"/>
      <c r="H114" s="202"/>
      <c r="I114" s="202"/>
      <c r="J114" s="202"/>
      <c r="K114" s="202"/>
      <c r="L114" s="202"/>
      <c r="M114" s="202"/>
      <c r="N114" s="26"/>
      <c r="O114" s="1"/>
    </row>
    <row r="115" spans="1:15" x14ac:dyDescent="0.25">
      <c r="A115" s="114"/>
      <c r="B115" s="93"/>
      <c r="C115" s="93"/>
      <c r="D115" s="93"/>
      <c r="E115" s="93"/>
      <c r="F115" s="93"/>
      <c r="G115" s="93"/>
      <c r="H115" s="93"/>
      <c r="I115" s="93"/>
      <c r="J115" s="93"/>
      <c r="K115" s="93"/>
      <c r="L115" s="93"/>
      <c r="M115" s="93"/>
      <c r="N115" s="26"/>
      <c r="O115" s="1"/>
    </row>
    <row r="116" spans="1:15" x14ac:dyDescent="0.25">
      <c r="A116" s="114"/>
      <c r="B116" s="93"/>
      <c r="C116" s="93"/>
      <c r="D116" s="93"/>
      <c r="E116" s="93"/>
      <c r="F116" s="93"/>
      <c r="G116" s="93"/>
      <c r="H116" s="93"/>
      <c r="I116" s="93"/>
      <c r="J116" s="93"/>
      <c r="K116" s="93"/>
      <c r="L116" s="93"/>
      <c r="M116" s="93"/>
      <c r="N116" s="26"/>
      <c r="O116" s="1"/>
    </row>
    <row r="117" spans="1:15" x14ac:dyDescent="0.25">
      <c r="A117" s="199"/>
      <c r="B117" s="93"/>
      <c r="C117" s="93"/>
      <c r="D117" s="93"/>
      <c r="E117" s="93"/>
      <c r="F117" s="93"/>
      <c r="G117" s="93"/>
      <c r="H117" s="93"/>
      <c r="I117" s="93"/>
      <c r="J117" s="93"/>
      <c r="K117" s="93"/>
      <c r="L117" s="93"/>
      <c r="M117" s="93"/>
      <c r="N117" s="26"/>
      <c r="O117" s="1"/>
    </row>
    <row r="118" spans="1:15" x14ac:dyDescent="0.25">
      <c r="A118" s="201"/>
      <c r="B118" s="93"/>
      <c r="C118" s="93"/>
      <c r="D118" s="93"/>
      <c r="E118" s="93"/>
      <c r="F118" s="93"/>
      <c r="G118" s="93"/>
      <c r="H118" s="93"/>
      <c r="I118" s="93"/>
      <c r="J118" s="93"/>
      <c r="K118" s="93"/>
      <c r="L118" s="93"/>
      <c r="M118" s="93"/>
      <c r="N118" s="26"/>
      <c r="O118" s="1"/>
    </row>
    <row r="119" spans="1:15" x14ac:dyDescent="0.25">
      <c r="A119" s="201"/>
      <c r="B119" s="202"/>
      <c r="C119" s="202"/>
      <c r="D119" s="202"/>
      <c r="E119" s="202"/>
      <c r="F119" s="202"/>
      <c r="G119" s="202"/>
      <c r="H119" s="202"/>
      <c r="I119" s="202"/>
      <c r="J119" s="202"/>
      <c r="K119" s="202"/>
      <c r="L119" s="202"/>
      <c r="M119" s="202"/>
      <c r="N119" s="26"/>
      <c r="O119" s="1"/>
    </row>
    <row r="120" spans="1:15" x14ac:dyDescent="0.25">
      <c r="A120" s="201"/>
      <c r="B120" s="202"/>
      <c r="C120" s="202"/>
      <c r="D120" s="202"/>
      <c r="E120" s="202"/>
      <c r="F120" s="202"/>
      <c r="G120" s="202"/>
      <c r="H120" s="202"/>
      <c r="I120" s="202"/>
      <c r="J120" s="202"/>
      <c r="K120" s="202"/>
      <c r="L120" s="202"/>
      <c r="M120" s="202"/>
      <c r="N120" s="26"/>
      <c r="O120" s="1"/>
    </row>
    <row r="121" spans="1:15" x14ac:dyDescent="0.25">
      <c r="A121" s="201"/>
      <c r="B121" s="202"/>
      <c r="C121" s="202"/>
      <c r="D121" s="202"/>
      <c r="E121" s="202"/>
      <c r="F121" s="202"/>
      <c r="G121" s="202"/>
      <c r="H121" s="202"/>
      <c r="I121" s="202"/>
      <c r="J121" s="202"/>
      <c r="K121" s="202"/>
      <c r="L121" s="202"/>
      <c r="M121" s="202"/>
      <c r="N121" s="26"/>
      <c r="O121" s="1"/>
    </row>
    <row r="122" spans="1:15" x14ac:dyDescent="0.25">
      <c r="A122" s="201"/>
      <c r="B122" s="202"/>
      <c r="C122" s="202"/>
      <c r="D122" s="202"/>
      <c r="E122" s="202"/>
      <c r="F122" s="202"/>
      <c r="G122" s="202"/>
      <c r="H122" s="202"/>
      <c r="I122" s="202"/>
      <c r="J122" s="202"/>
      <c r="K122" s="202"/>
      <c r="L122" s="202"/>
      <c r="M122" s="202"/>
      <c r="N122" s="26"/>
      <c r="O122" s="1"/>
    </row>
    <row r="123" spans="1:15" x14ac:dyDescent="0.25">
      <c r="A123" s="201"/>
      <c r="B123" s="202"/>
      <c r="C123" s="202"/>
      <c r="D123" s="202"/>
      <c r="E123" s="202"/>
      <c r="F123" s="202"/>
      <c r="G123" s="202"/>
      <c r="H123" s="202"/>
      <c r="I123" s="202"/>
      <c r="J123" s="202"/>
      <c r="K123" s="202"/>
      <c r="L123" s="202"/>
      <c r="M123" s="202"/>
      <c r="N123" s="26"/>
      <c r="O123" s="1"/>
    </row>
    <row r="124" spans="1:15" x14ac:dyDescent="0.25">
      <c r="A124" s="201"/>
      <c r="B124" s="202"/>
      <c r="C124" s="202"/>
      <c r="D124" s="202"/>
      <c r="E124" s="202"/>
      <c r="F124" s="202"/>
      <c r="G124" s="202"/>
      <c r="H124" s="202"/>
      <c r="I124" s="202"/>
      <c r="J124" s="202"/>
      <c r="K124" s="202"/>
      <c r="L124" s="202"/>
      <c r="M124" s="202"/>
      <c r="N124" s="26"/>
      <c r="O124" s="1"/>
    </row>
    <row r="125" spans="1:15" x14ac:dyDescent="0.25">
      <c r="A125" s="239"/>
      <c r="B125" s="202"/>
      <c r="C125" s="202"/>
      <c r="D125" s="202"/>
      <c r="E125" s="202"/>
      <c r="F125" s="202"/>
      <c r="G125" s="202"/>
      <c r="H125" s="202"/>
      <c r="I125" s="202"/>
      <c r="J125" s="202"/>
      <c r="K125" s="202"/>
      <c r="L125" s="202"/>
      <c r="M125" s="202"/>
      <c r="N125" s="26"/>
      <c r="O125" s="1"/>
    </row>
    <row r="126" spans="1:15" x14ac:dyDescent="0.25">
      <c r="A126" s="114"/>
      <c r="B126" s="202"/>
      <c r="C126" s="202"/>
      <c r="D126" s="202"/>
      <c r="E126" s="202"/>
      <c r="F126" s="202"/>
      <c r="G126" s="202"/>
      <c r="H126" s="202"/>
      <c r="I126" s="202"/>
      <c r="J126" s="202"/>
      <c r="K126" s="202"/>
      <c r="L126" s="202"/>
      <c r="M126" s="202"/>
      <c r="N126" s="26"/>
      <c r="O126" s="1"/>
    </row>
    <row r="127" spans="1:15" x14ac:dyDescent="0.25">
      <c r="A127" s="114"/>
      <c r="B127" s="93"/>
      <c r="C127" s="93"/>
      <c r="D127" s="93"/>
      <c r="E127" s="93"/>
      <c r="F127" s="93"/>
      <c r="G127" s="93"/>
      <c r="H127" s="93"/>
      <c r="I127" s="93"/>
      <c r="J127" s="93"/>
      <c r="K127" s="93"/>
      <c r="L127" s="93"/>
      <c r="M127" s="93"/>
      <c r="N127" s="26"/>
      <c r="O127" s="1"/>
    </row>
    <row r="128" spans="1:15" x14ac:dyDescent="0.25">
      <c r="A128" s="114"/>
      <c r="B128" s="93"/>
      <c r="C128" s="93"/>
      <c r="D128" s="93"/>
      <c r="E128" s="93"/>
      <c r="F128" s="93"/>
      <c r="G128" s="93"/>
      <c r="H128" s="93"/>
      <c r="I128" s="93"/>
      <c r="J128" s="93"/>
      <c r="K128" s="93"/>
      <c r="L128" s="93"/>
      <c r="M128" s="93"/>
      <c r="N128" s="26"/>
      <c r="O128" s="1"/>
    </row>
    <row r="129" spans="1:15" x14ac:dyDescent="0.25">
      <c r="A129" s="114"/>
      <c r="B129" s="93"/>
      <c r="C129" s="93"/>
      <c r="D129" s="93"/>
      <c r="E129" s="93"/>
      <c r="F129" s="93"/>
      <c r="G129" s="93"/>
      <c r="H129" s="93"/>
      <c r="I129" s="93"/>
      <c r="J129" s="93"/>
      <c r="K129" s="93"/>
      <c r="L129" s="93"/>
      <c r="M129" s="93"/>
      <c r="N129" s="26"/>
      <c r="O129" s="1"/>
    </row>
    <row r="130" spans="1:15" x14ac:dyDescent="0.25">
      <c r="A130" s="114"/>
      <c r="B130" s="93"/>
      <c r="C130" s="93"/>
      <c r="D130" s="93"/>
      <c r="E130" s="93"/>
      <c r="F130" s="93"/>
      <c r="G130" s="93"/>
      <c r="H130" s="93"/>
      <c r="I130" s="93"/>
      <c r="J130" s="93"/>
      <c r="K130" s="93"/>
      <c r="L130" s="93"/>
      <c r="M130" s="93"/>
      <c r="N130" s="26"/>
      <c r="O130" s="1"/>
    </row>
    <row r="131" spans="1:15" x14ac:dyDescent="0.25">
      <c r="A131" s="114"/>
      <c r="B131" s="93"/>
      <c r="C131" s="93"/>
      <c r="D131" s="93"/>
      <c r="E131" s="93"/>
      <c r="F131" s="93"/>
      <c r="G131" s="93"/>
      <c r="H131" s="93"/>
      <c r="I131" s="93"/>
      <c r="J131" s="93"/>
      <c r="K131" s="93"/>
      <c r="L131" s="93"/>
      <c r="M131" s="93"/>
      <c r="N131" s="26"/>
      <c r="O131" s="1"/>
    </row>
    <row r="132" spans="1:15" ht="18.75" x14ac:dyDescent="0.3">
      <c r="A132" s="206"/>
      <c r="B132" s="215"/>
      <c r="C132" s="215"/>
      <c r="D132" s="215"/>
      <c r="E132" s="215"/>
      <c r="F132" s="215"/>
      <c r="G132" s="215"/>
      <c r="H132" s="215"/>
      <c r="I132" s="215"/>
      <c r="J132" s="215"/>
      <c r="K132" s="215"/>
      <c r="L132" s="215"/>
      <c r="M132" s="215"/>
      <c r="N132" s="26"/>
      <c r="O132" s="1"/>
    </row>
    <row r="133" spans="1:15" x14ac:dyDescent="0.25">
      <c r="A133" s="116"/>
      <c r="B133" s="207"/>
      <c r="C133" s="207"/>
      <c r="D133" s="207"/>
      <c r="E133" s="207"/>
      <c r="F133" s="207"/>
      <c r="G133" s="207"/>
      <c r="H133" s="207"/>
      <c r="I133" s="207"/>
      <c r="J133" s="207"/>
      <c r="K133" s="207"/>
      <c r="L133" s="207"/>
      <c r="M133" s="207"/>
      <c r="N133" s="26"/>
      <c r="O133" s="1"/>
    </row>
    <row r="134" spans="1:15" x14ac:dyDescent="0.25">
      <c r="A134" s="114"/>
      <c r="B134" s="93"/>
      <c r="C134" s="93"/>
      <c r="D134" s="93"/>
      <c r="E134" s="93"/>
      <c r="F134" s="93"/>
      <c r="G134" s="93"/>
      <c r="H134" s="93"/>
      <c r="I134" s="93"/>
      <c r="J134" s="93"/>
      <c r="K134" s="93"/>
      <c r="L134" s="93"/>
      <c r="M134" s="93"/>
      <c r="N134" s="26"/>
      <c r="O134" s="1"/>
    </row>
    <row r="135" spans="1:15" x14ac:dyDescent="0.25">
      <c r="A135" s="114"/>
      <c r="B135" s="93"/>
      <c r="C135" s="93"/>
      <c r="D135" s="93"/>
      <c r="E135" s="93"/>
      <c r="F135" s="93"/>
      <c r="G135" s="93"/>
      <c r="H135" s="93"/>
      <c r="I135" s="93"/>
      <c r="J135" s="93"/>
      <c r="K135" s="93"/>
      <c r="L135" s="93"/>
      <c r="M135" s="93"/>
      <c r="N135" s="26"/>
      <c r="O135" s="1"/>
    </row>
    <row r="136" spans="1:15" x14ac:dyDescent="0.25">
      <c r="A136" s="201"/>
      <c r="B136" s="93"/>
      <c r="C136" s="93"/>
      <c r="D136" s="93"/>
      <c r="E136" s="93"/>
      <c r="F136" s="93"/>
      <c r="G136" s="93"/>
      <c r="H136" s="93"/>
      <c r="I136" s="93"/>
      <c r="J136" s="93"/>
      <c r="K136" s="93"/>
      <c r="L136" s="93"/>
      <c r="M136" s="93"/>
      <c r="N136" s="26"/>
      <c r="O136" s="1"/>
    </row>
    <row r="137" spans="1:15" x14ac:dyDescent="0.25">
      <c r="A137" s="201"/>
      <c r="B137" s="93"/>
      <c r="C137" s="93"/>
      <c r="D137" s="93"/>
      <c r="E137" s="93"/>
      <c r="F137" s="93"/>
      <c r="G137" s="93"/>
      <c r="H137" s="93"/>
      <c r="I137" s="93"/>
      <c r="J137" s="93"/>
      <c r="K137" s="93"/>
      <c r="L137" s="93"/>
      <c r="M137" s="93"/>
      <c r="N137" s="26"/>
      <c r="O137" s="1"/>
    </row>
    <row r="138" spans="1:15" x14ac:dyDescent="0.25">
      <c r="A138" s="201"/>
      <c r="B138" s="93"/>
      <c r="C138" s="93"/>
      <c r="D138" s="93"/>
      <c r="E138" s="93"/>
      <c r="F138" s="93"/>
      <c r="G138" s="93"/>
      <c r="H138" s="93"/>
      <c r="I138" s="93"/>
      <c r="J138" s="93"/>
      <c r="K138" s="93"/>
      <c r="L138" s="93"/>
      <c r="M138" s="93"/>
      <c r="N138" s="26"/>
      <c r="O138" s="1"/>
    </row>
    <row r="139" spans="1:15" x14ac:dyDescent="0.25">
      <c r="A139" s="201"/>
      <c r="B139" s="93"/>
      <c r="C139" s="93"/>
      <c r="D139" s="93"/>
      <c r="E139" s="93"/>
      <c r="F139" s="93"/>
      <c r="G139" s="93"/>
      <c r="H139" s="93"/>
      <c r="I139" s="93"/>
      <c r="J139" s="93"/>
      <c r="K139" s="93"/>
      <c r="L139" s="93"/>
      <c r="M139" s="93"/>
      <c r="N139" s="26"/>
      <c r="O139" s="1"/>
    </row>
    <row r="140" spans="1:15" x14ac:dyDescent="0.25">
      <c r="A140" s="199"/>
      <c r="B140" s="93"/>
      <c r="C140" s="93"/>
      <c r="D140" s="93"/>
      <c r="E140" s="93"/>
      <c r="F140" s="93"/>
      <c r="G140" s="93"/>
      <c r="H140" s="93"/>
      <c r="I140" s="93"/>
      <c r="J140" s="93"/>
      <c r="K140" s="93"/>
      <c r="L140" s="93"/>
      <c r="M140" s="93"/>
      <c r="N140" s="26"/>
      <c r="O140" s="1"/>
    </row>
    <row r="141" spans="1:15" x14ac:dyDescent="0.25">
      <c r="A141" s="114"/>
      <c r="B141" s="93"/>
      <c r="C141" s="93"/>
      <c r="D141" s="93"/>
      <c r="E141" s="93"/>
      <c r="F141" s="93"/>
      <c r="G141" s="93"/>
      <c r="H141" s="93"/>
      <c r="I141" s="93"/>
      <c r="J141" s="93"/>
      <c r="K141" s="93"/>
      <c r="L141" s="93"/>
      <c r="M141" s="93"/>
      <c r="N141" s="26"/>
      <c r="O141" s="1"/>
    </row>
    <row r="142" spans="1:15" x14ac:dyDescent="0.25">
      <c r="A142" s="114"/>
      <c r="B142" s="215"/>
      <c r="C142" s="215"/>
      <c r="D142" s="215"/>
      <c r="E142" s="215"/>
      <c r="F142" s="215"/>
      <c r="G142" s="215"/>
      <c r="H142" s="215"/>
      <c r="I142" s="215"/>
      <c r="J142" s="215"/>
      <c r="K142" s="215"/>
      <c r="L142" s="215"/>
      <c r="M142" s="215"/>
      <c r="N142" s="26"/>
      <c r="O142" s="1"/>
    </row>
    <row r="143" spans="1:15" x14ac:dyDescent="0.25">
      <c r="A143" s="114"/>
      <c r="B143" s="112"/>
      <c r="C143" s="112"/>
      <c r="D143" s="112"/>
      <c r="E143" s="112"/>
      <c r="F143" s="112"/>
      <c r="G143" s="112"/>
      <c r="H143" s="112"/>
      <c r="I143" s="112"/>
      <c r="J143" s="112"/>
      <c r="K143" s="112"/>
      <c r="L143" s="112"/>
      <c r="M143" s="112"/>
      <c r="N143" s="26"/>
      <c r="O143" s="1"/>
    </row>
    <row r="144" spans="1:15" x14ac:dyDescent="0.25">
      <c r="A144" s="114"/>
      <c r="B144" s="112"/>
      <c r="C144" s="112"/>
      <c r="D144" s="112"/>
      <c r="E144" s="112"/>
      <c r="F144" s="112"/>
      <c r="G144" s="112"/>
      <c r="H144" s="112"/>
      <c r="I144" s="112"/>
      <c r="J144" s="112"/>
      <c r="K144" s="112"/>
      <c r="L144" s="112"/>
      <c r="M144" s="112"/>
      <c r="N144" s="26"/>
      <c r="O144" s="1"/>
    </row>
    <row r="145" spans="1:15" x14ac:dyDescent="0.25">
      <c r="A145" s="114"/>
      <c r="B145" s="93"/>
      <c r="C145" s="93"/>
      <c r="D145" s="93"/>
      <c r="E145" s="93"/>
      <c r="F145" s="93"/>
      <c r="G145" s="93"/>
      <c r="H145" s="93"/>
      <c r="I145" s="93"/>
      <c r="J145" s="93"/>
      <c r="K145" s="93"/>
      <c r="L145" s="93"/>
      <c r="M145" s="93"/>
      <c r="N145" s="26"/>
      <c r="O145" s="1"/>
    </row>
    <row r="146" spans="1:15" x14ac:dyDescent="0.25">
      <c r="A146" s="114"/>
      <c r="B146" s="93"/>
      <c r="C146" s="93"/>
      <c r="D146" s="93"/>
      <c r="E146" s="93"/>
      <c r="F146" s="93"/>
      <c r="G146" s="93"/>
      <c r="H146" s="93"/>
      <c r="I146" s="93"/>
      <c r="J146" s="93"/>
      <c r="K146" s="93"/>
      <c r="L146" s="93"/>
      <c r="M146" s="93"/>
      <c r="N146" s="26"/>
      <c r="O146" s="1"/>
    </row>
    <row r="147" spans="1:15" x14ac:dyDescent="0.25">
      <c r="A147" s="114"/>
      <c r="B147" s="93"/>
      <c r="C147" s="93"/>
      <c r="D147" s="93"/>
      <c r="E147" s="93"/>
      <c r="F147" s="93"/>
      <c r="G147" s="93"/>
      <c r="H147" s="93"/>
      <c r="I147" s="93"/>
      <c r="J147" s="93"/>
      <c r="K147" s="93"/>
      <c r="L147" s="93"/>
      <c r="M147" s="93"/>
      <c r="N147" s="26"/>
      <c r="O147" s="1"/>
    </row>
    <row r="148" spans="1:15" x14ac:dyDescent="0.25">
      <c r="A148" s="114"/>
      <c r="B148" s="93"/>
      <c r="C148" s="93"/>
      <c r="D148" s="93"/>
      <c r="E148" s="93"/>
      <c r="F148" s="93"/>
      <c r="G148" s="93"/>
      <c r="H148" s="93"/>
      <c r="I148" s="93"/>
      <c r="J148" s="93"/>
      <c r="K148" s="93"/>
      <c r="L148" s="93"/>
      <c r="M148" s="93"/>
      <c r="N148" s="26"/>
      <c r="O148" s="1"/>
    </row>
    <row r="149" spans="1:15" x14ac:dyDescent="0.25">
      <c r="A149" s="114"/>
      <c r="B149" s="93"/>
      <c r="C149" s="93"/>
      <c r="D149" s="93"/>
      <c r="E149" s="93"/>
      <c r="F149" s="93"/>
      <c r="G149" s="93"/>
      <c r="H149" s="93"/>
      <c r="I149" s="93"/>
      <c r="J149" s="93"/>
      <c r="K149" s="93"/>
      <c r="L149" s="93"/>
      <c r="M149" s="93"/>
      <c r="N149" s="26"/>
      <c r="O149" s="1"/>
    </row>
    <row r="150" spans="1:15" x14ac:dyDescent="0.25">
      <c r="A150" s="114"/>
      <c r="B150" s="93"/>
      <c r="C150" s="93"/>
      <c r="D150" s="93"/>
      <c r="E150" s="93"/>
      <c r="F150" s="93"/>
      <c r="G150" s="93"/>
      <c r="H150" s="93"/>
      <c r="I150" s="93"/>
      <c r="J150" s="93"/>
      <c r="K150" s="93"/>
      <c r="L150" s="93"/>
      <c r="M150" s="93"/>
      <c r="N150" s="26"/>
      <c r="O150" s="1"/>
    </row>
    <row r="151" spans="1:15" x14ac:dyDescent="0.25">
      <c r="A151" s="114"/>
      <c r="B151" s="93"/>
      <c r="C151" s="93"/>
      <c r="D151" s="93"/>
      <c r="E151" s="93"/>
      <c r="F151" s="93"/>
      <c r="G151" s="93"/>
      <c r="H151" s="93"/>
      <c r="I151" s="93"/>
      <c r="J151" s="93"/>
      <c r="K151" s="93"/>
      <c r="L151" s="93"/>
      <c r="M151" s="93"/>
      <c r="N151" s="26"/>
      <c r="O151" s="1"/>
    </row>
    <row r="152" spans="1:15" x14ac:dyDescent="0.25">
      <c r="A152" s="114"/>
      <c r="B152" s="93"/>
      <c r="C152" s="93"/>
      <c r="D152" s="93"/>
      <c r="E152" s="93"/>
      <c r="F152" s="93"/>
      <c r="G152" s="93"/>
      <c r="H152" s="93"/>
      <c r="I152" s="93"/>
      <c r="J152" s="93"/>
      <c r="K152" s="93"/>
      <c r="L152" s="93"/>
      <c r="M152" s="93"/>
      <c r="N152" s="26"/>
      <c r="O152" s="1"/>
    </row>
    <row r="153" spans="1:15" x14ac:dyDescent="0.25">
      <c r="A153" s="114"/>
      <c r="B153" s="93"/>
      <c r="C153" s="93"/>
      <c r="D153" s="93"/>
      <c r="E153" s="93"/>
      <c r="F153" s="93"/>
      <c r="G153" s="93"/>
      <c r="H153" s="93"/>
      <c r="I153" s="93"/>
      <c r="J153" s="93"/>
      <c r="K153" s="93"/>
      <c r="L153" s="93"/>
      <c r="M153" s="93"/>
      <c r="N153" s="26"/>
      <c r="O153" s="1"/>
    </row>
    <row r="154" spans="1:15" x14ac:dyDescent="0.25">
      <c r="A154" s="114"/>
      <c r="B154" s="93"/>
      <c r="C154" s="93"/>
      <c r="D154" s="93"/>
      <c r="E154" s="93"/>
      <c r="F154" s="93"/>
      <c r="G154" s="93"/>
      <c r="H154" s="93"/>
      <c r="I154" s="93"/>
      <c r="J154" s="93"/>
      <c r="K154" s="93"/>
      <c r="L154" s="93"/>
      <c r="M154" s="93"/>
      <c r="N154" s="26"/>
      <c r="O154" s="1"/>
    </row>
    <row r="155" spans="1:15" x14ac:dyDescent="0.25">
      <c r="A155" s="114"/>
      <c r="B155" s="93"/>
      <c r="C155" s="93"/>
      <c r="D155" s="93"/>
      <c r="E155" s="93"/>
      <c r="F155" s="93"/>
      <c r="G155" s="93"/>
      <c r="H155" s="93"/>
      <c r="I155" s="93"/>
      <c r="J155" s="93"/>
      <c r="K155" s="93"/>
      <c r="L155" s="93"/>
      <c r="M155" s="93"/>
      <c r="N155" s="26"/>
      <c r="O155" s="1"/>
    </row>
    <row r="156" spans="1:15" x14ac:dyDescent="0.25">
      <c r="A156" s="114"/>
      <c r="B156" s="114"/>
      <c r="C156" s="114"/>
      <c r="D156" s="114"/>
      <c r="E156" s="114"/>
      <c r="F156" s="316"/>
      <c r="G156" s="114"/>
      <c r="H156" s="114"/>
      <c r="I156" s="114"/>
      <c r="J156" s="316"/>
      <c r="K156" s="316"/>
      <c r="L156" s="316"/>
      <c r="M156" s="114"/>
      <c r="N156" s="26"/>
      <c r="O156" s="1"/>
    </row>
    <row r="157" spans="1:15" x14ac:dyDescent="0.25">
      <c r="A157" s="114"/>
      <c r="B157" s="114"/>
      <c r="C157" s="114"/>
      <c r="D157" s="114"/>
      <c r="E157" s="114"/>
      <c r="F157" s="316"/>
      <c r="G157" s="114"/>
      <c r="H157" s="114"/>
      <c r="I157" s="114"/>
      <c r="J157" s="316"/>
      <c r="K157" s="316"/>
      <c r="L157" s="316"/>
      <c r="M157" s="114"/>
      <c r="N157" s="26"/>
      <c r="O157" s="1"/>
    </row>
    <row r="158" spans="1:15" x14ac:dyDescent="0.25">
      <c r="A158" s="114"/>
      <c r="B158" s="114"/>
      <c r="C158" s="114"/>
      <c r="D158" s="114"/>
      <c r="E158" s="114"/>
      <c r="F158" s="316"/>
      <c r="G158" s="114"/>
      <c r="H158" s="114"/>
      <c r="I158" s="114"/>
      <c r="J158" s="316"/>
      <c r="K158" s="316"/>
      <c r="L158" s="316"/>
      <c r="M158" s="114"/>
      <c r="N158" s="26"/>
      <c r="O158" s="1"/>
    </row>
    <row r="159" spans="1:15" x14ac:dyDescent="0.25">
      <c r="A159" s="114"/>
      <c r="B159" s="114"/>
      <c r="C159" s="114"/>
      <c r="D159" s="114"/>
      <c r="E159" s="114"/>
      <c r="F159" s="316"/>
      <c r="G159" s="114"/>
      <c r="H159" s="114"/>
      <c r="I159" s="114"/>
      <c r="J159" s="316"/>
      <c r="K159" s="316"/>
      <c r="L159" s="316"/>
      <c r="M159" s="114"/>
      <c r="N159" s="26"/>
      <c r="O159" s="1"/>
    </row>
    <row r="160" spans="1:15" x14ac:dyDescent="0.25">
      <c r="A160" s="114"/>
      <c r="B160" s="114"/>
      <c r="C160" s="114"/>
      <c r="D160" s="114"/>
      <c r="E160" s="114"/>
      <c r="F160" s="316"/>
      <c r="G160" s="114"/>
      <c r="H160" s="114"/>
      <c r="I160" s="114"/>
      <c r="J160" s="316"/>
      <c r="K160" s="316"/>
      <c r="L160" s="316"/>
      <c r="M160" s="114"/>
      <c r="N160" s="26"/>
      <c r="O160" s="1"/>
    </row>
    <row r="161" spans="1:15" x14ac:dyDescent="0.25">
      <c r="A161" s="114"/>
      <c r="B161" s="114"/>
      <c r="C161" s="114"/>
      <c r="D161" s="114"/>
      <c r="E161" s="114"/>
      <c r="F161" s="316"/>
      <c r="G161" s="114"/>
      <c r="H161" s="114"/>
      <c r="I161" s="114"/>
      <c r="J161" s="316"/>
      <c r="K161" s="316"/>
      <c r="L161" s="316"/>
      <c r="M161" s="114"/>
      <c r="N161" s="26"/>
      <c r="O161" s="1"/>
    </row>
    <row r="162" spans="1:15" x14ac:dyDescent="0.25">
      <c r="A162" s="114"/>
      <c r="B162" s="114"/>
      <c r="C162" s="114"/>
      <c r="D162" s="114"/>
      <c r="E162" s="114"/>
      <c r="F162" s="316"/>
      <c r="G162" s="114"/>
      <c r="H162" s="114"/>
      <c r="I162" s="114"/>
      <c r="J162" s="316"/>
      <c r="K162" s="316"/>
      <c r="L162" s="316"/>
      <c r="M162" s="114"/>
      <c r="N162" s="26"/>
      <c r="O162" s="1"/>
    </row>
    <row r="163" spans="1:15" x14ac:dyDescent="0.25">
      <c r="A163" s="114"/>
      <c r="B163" s="114"/>
      <c r="C163" s="114"/>
      <c r="D163" s="114"/>
      <c r="E163" s="114"/>
      <c r="F163" s="316"/>
      <c r="G163" s="114"/>
      <c r="H163" s="114"/>
      <c r="I163" s="114"/>
      <c r="J163" s="316"/>
      <c r="K163" s="316"/>
      <c r="L163" s="316"/>
      <c r="M163" s="114"/>
      <c r="N163" s="26"/>
      <c r="O163" s="1"/>
    </row>
    <row r="164" spans="1:15" x14ac:dyDescent="0.25">
      <c r="A164" s="114"/>
      <c r="B164" s="114"/>
      <c r="C164" s="114"/>
      <c r="D164" s="114"/>
      <c r="E164" s="114"/>
      <c r="F164" s="316"/>
      <c r="G164" s="114"/>
      <c r="H164" s="114"/>
      <c r="I164" s="114"/>
      <c r="J164" s="316"/>
      <c r="K164" s="316"/>
      <c r="L164" s="316"/>
      <c r="M164" s="114"/>
      <c r="N164" s="26"/>
      <c r="O164" s="1"/>
    </row>
    <row r="165" spans="1:15" x14ac:dyDescent="0.25">
      <c r="A165" s="114"/>
      <c r="B165" s="114"/>
      <c r="C165" s="114"/>
      <c r="D165" s="114"/>
      <c r="E165" s="114"/>
      <c r="F165" s="316"/>
      <c r="G165" s="114"/>
      <c r="H165" s="114"/>
      <c r="I165" s="114"/>
      <c r="J165" s="316"/>
      <c r="K165" s="316"/>
      <c r="L165" s="316"/>
      <c r="M165" s="114"/>
      <c r="N165" s="26"/>
      <c r="O165" s="1"/>
    </row>
    <row r="166" spans="1:15" x14ac:dyDescent="0.25">
      <c r="A166" s="114"/>
      <c r="B166" s="114"/>
      <c r="C166" s="114"/>
      <c r="D166" s="114"/>
      <c r="E166" s="114"/>
      <c r="F166" s="316"/>
      <c r="G166" s="114"/>
      <c r="H166" s="114"/>
      <c r="I166" s="114"/>
      <c r="J166" s="316"/>
      <c r="K166" s="316"/>
      <c r="L166" s="316"/>
      <c r="M166" s="114"/>
      <c r="N166" s="26"/>
      <c r="O166" s="1"/>
    </row>
    <row r="167" spans="1:15" x14ac:dyDescent="0.25">
      <c r="A167" s="114"/>
      <c r="B167" s="114"/>
      <c r="C167" s="114"/>
      <c r="D167" s="114"/>
      <c r="E167" s="114"/>
      <c r="F167" s="316"/>
      <c r="G167" s="114"/>
      <c r="H167" s="114"/>
      <c r="I167" s="114"/>
      <c r="J167" s="316"/>
      <c r="K167" s="316"/>
      <c r="L167" s="316"/>
      <c r="M167" s="114"/>
      <c r="N167" s="26"/>
      <c r="O167" s="1"/>
    </row>
    <row r="168" spans="1:15" x14ac:dyDescent="0.25">
      <c r="A168" s="114"/>
      <c r="B168" s="114"/>
      <c r="C168" s="114"/>
      <c r="D168" s="114"/>
      <c r="E168" s="114"/>
      <c r="F168" s="316"/>
      <c r="G168" s="114"/>
      <c r="H168" s="114"/>
      <c r="I168" s="114"/>
      <c r="J168" s="316"/>
      <c r="K168" s="316"/>
      <c r="L168" s="316"/>
      <c r="M168" s="114"/>
      <c r="N168" s="26"/>
      <c r="O168" s="1"/>
    </row>
    <row r="169" spans="1:15" x14ac:dyDescent="0.25">
      <c r="A169" s="114"/>
      <c r="B169" s="114"/>
      <c r="C169" s="114"/>
      <c r="D169" s="114"/>
      <c r="E169" s="114"/>
      <c r="F169" s="316"/>
      <c r="G169" s="114"/>
      <c r="H169" s="114"/>
      <c r="I169" s="114"/>
      <c r="J169" s="316"/>
      <c r="K169" s="316"/>
      <c r="L169" s="316"/>
      <c r="M169" s="114"/>
      <c r="N169" s="26"/>
      <c r="O169" s="1"/>
    </row>
    <row r="170" spans="1:15" x14ac:dyDescent="0.25">
      <c r="A170" s="114"/>
      <c r="B170" s="114"/>
      <c r="C170" s="114"/>
      <c r="D170" s="114"/>
      <c r="E170" s="114"/>
      <c r="F170" s="316"/>
      <c r="G170" s="114"/>
      <c r="H170" s="114"/>
      <c r="I170" s="114"/>
      <c r="J170" s="316"/>
      <c r="K170" s="316"/>
      <c r="L170" s="316"/>
      <c r="M170" s="114"/>
      <c r="N170" s="26"/>
      <c r="O170" s="1"/>
    </row>
    <row r="171" spans="1:15" x14ac:dyDescent="0.25">
      <c r="A171" s="114"/>
      <c r="B171" s="114"/>
      <c r="C171" s="114"/>
      <c r="D171" s="114"/>
      <c r="E171" s="114"/>
      <c r="F171" s="316"/>
      <c r="G171" s="114"/>
      <c r="H171" s="114"/>
      <c r="I171" s="114"/>
      <c r="J171" s="316"/>
      <c r="K171" s="316"/>
      <c r="L171" s="316"/>
      <c r="M171" s="114"/>
      <c r="N171" s="26"/>
      <c r="O171" s="1"/>
    </row>
    <row r="172" spans="1:15" x14ac:dyDescent="0.25">
      <c r="A172" s="114"/>
      <c r="B172" s="114"/>
      <c r="C172" s="114"/>
      <c r="D172" s="114"/>
      <c r="E172" s="114"/>
      <c r="F172" s="316"/>
      <c r="G172" s="114"/>
      <c r="H172" s="114"/>
      <c r="I172" s="114"/>
      <c r="J172" s="316"/>
      <c r="K172" s="316"/>
      <c r="L172" s="316"/>
      <c r="M172" s="114"/>
      <c r="N172" s="26"/>
      <c r="O172" s="1"/>
    </row>
    <row r="173" spans="1:15" x14ac:dyDescent="0.25">
      <c r="A173" s="114"/>
      <c r="B173" s="114"/>
      <c r="C173" s="114"/>
      <c r="D173" s="114"/>
      <c r="E173" s="114"/>
      <c r="F173" s="316"/>
      <c r="G173" s="114"/>
      <c r="H173" s="114"/>
      <c r="I173" s="114"/>
      <c r="J173" s="316"/>
      <c r="K173" s="316"/>
      <c r="L173" s="316"/>
      <c r="M173" s="114"/>
      <c r="N173" s="26"/>
      <c r="O173" s="1"/>
    </row>
    <row r="174" spans="1:15" x14ac:dyDescent="0.25">
      <c r="A174" s="114"/>
      <c r="B174" s="114"/>
      <c r="C174" s="114"/>
      <c r="D174" s="114"/>
      <c r="E174" s="114"/>
      <c r="F174" s="316"/>
      <c r="G174" s="114"/>
      <c r="H174" s="114"/>
      <c r="I174" s="114"/>
      <c r="J174" s="316"/>
      <c r="K174" s="316"/>
      <c r="L174" s="316"/>
      <c r="M174" s="114"/>
      <c r="N174" s="26"/>
      <c r="O174" s="1"/>
    </row>
    <row r="175" spans="1:15" x14ac:dyDescent="0.25">
      <c r="A175" s="114"/>
      <c r="B175" s="114"/>
      <c r="C175" s="114"/>
      <c r="D175" s="114"/>
      <c r="E175" s="114"/>
      <c r="F175" s="316"/>
      <c r="G175" s="114"/>
      <c r="H175" s="114"/>
      <c r="I175" s="114"/>
      <c r="J175" s="316"/>
      <c r="K175" s="316"/>
      <c r="L175" s="316"/>
      <c r="M175" s="114"/>
      <c r="N175" s="26"/>
      <c r="O175" s="1"/>
    </row>
    <row r="176" spans="1:15" x14ac:dyDescent="0.25">
      <c r="A176" s="114"/>
      <c r="B176" s="114"/>
      <c r="C176" s="114"/>
      <c r="D176" s="114"/>
      <c r="E176" s="114"/>
      <c r="F176" s="316"/>
      <c r="G176" s="114"/>
      <c r="H176" s="114"/>
      <c r="I176" s="114"/>
      <c r="J176" s="316"/>
      <c r="K176" s="316"/>
      <c r="L176" s="316"/>
      <c r="M176" s="114"/>
      <c r="N176" s="26"/>
      <c r="O176" s="1"/>
    </row>
    <row r="177" spans="1:15" x14ac:dyDescent="0.25">
      <c r="A177" s="114"/>
      <c r="B177" s="114"/>
      <c r="C177" s="114"/>
      <c r="D177" s="114"/>
      <c r="E177" s="114"/>
      <c r="F177" s="316"/>
      <c r="G177" s="114"/>
      <c r="H177" s="114"/>
      <c r="I177" s="114"/>
      <c r="J177" s="316"/>
      <c r="K177" s="316"/>
      <c r="L177" s="316"/>
      <c r="M177" s="114"/>
      <c r="N177" s="26"/>
      <c r="O177" s="1"/>
    </row>
    <row r="178" spans="1:15" x14ac:dyDescent="0.25">
      <c r="A178" s="114"/>
      <c r="B178" s="114"/>
      <c r="C178" s="114"/>
      <c r="D178" s="114"/>
      <c r="E178" s="114"/>
      <c r="F178" s="316"/>
      <c r="G178" s="114"/>
      <c r="H178" s="114"/>
      <c r="I178" s="114"/>
      <c r="J178" s="316"/>
      <c r="K178" s="316"/>
      <c r="L178" s="316"/>
      <c r="M178" s="114"/>
      <c r="N178" s="26"/>
      <c r="O178" s="1"/>
    </row>
    <row r="179" spans="1:15" x14ac:dyDescent="0.25">
      <c r="A179" s="114"/>
      <c r="B179" s="114"/>
      <c r="C179" s="114"/>
      <c r="D179" s="114"/>
      <c r="E179" s="114"/>
      <c r="F179" s="316"/>
      <c r="G179" s="114"/>
      <c r="H179" s="114"/>
      <c r="I179" s="114"/>
      <c r="J179" s="316"/>
      <c r="K179" s="316"/>
      <c r="L179" s="316"/>
      <c r="M179" s="114"/>
      <c r="N179" s="26"/>
      <c r="O179" s="1"/>
    </row>
    <row r="180" spans="1:15" x14ac:dyDescent="0.25">
      <c r="A180" s="114"/>
      <c r="B180" s="114"/>
      <c r="C180" s="114"/>
      <c r="D180" s="114"/>
      <c r="E180" s="114"/>
      <c r="F180" s="316"/>
      <c r="G180" s="114"/>
      <c r="H180" s="114"/>
      <c r="I180" s="114"/>
      <c r="J180" s="316"/>
      <c r="K180" s="316"/>
      <c r="L180" s="316"/>
      <c r="M180" s="114"/>
      <c r="N180" s="26"/>
      <c r="O180" s="1"/>
    </row>
    <row r="181" spans="1:15" x14ac:dyDescent="0.25">
      <c r="A181" s="114"/>
      <c r="B181" s="114"/>
      <c r="C181" s="114"/>
      <c r="D181" s="114"/>
      <c r="E181" s="114"/>
      <c r="F181" s="316"/>
      <c r="G181" s="114"/>
      <c r="H181" s="114"/>
      <c r="I181" s="114"/>
      <c r="J181" s="316"/>
      <c r="K181" s="316"/>
      <c r="L181" s="316"/>
      <c r="M181" s="114"/>
      <c r="N181" s="26"/>
      <c r="O181" s="1"/>
    </row>
    <row r="182" spans="1:15" x14ac:dyDescent="0.25">
      <c r="A182" s="114"/>
      <c r="B182" s="114"/>
      <c r="C182" s="114"/>
      <c r="D182" s="114"/>
      <c r="E182" s="114"/>
      <c r="F182" s="316"/>
      <c r="G182" s="114"/>
      <c r="H182" s="114"/>
      <c r="I182" s="114"/>
      <c r="J182" s="316"/>
      <c r="K182" s="316"/>
      <c r="L182" s="316"/>
      <c r="M182" s="114"/>
      <c r="N182" s="26"/>
      <c r="O182" s="1"/>
    </row>
    <row r="183" spans="1:15" x14ac:dyDescent="0.25">
      <c r="A183" s="114"/>
      <c r="B183" s="114"/>
      <c r="C183" s="114"/>
      <c r="D183" s="114"/>
      <c r="E183" s="114"/>
      <c r="F183" s="316"/>
      <c r="G183" s="114"/>
      <c r="H183" s="114"/>
      <c r="I183" s="114"/>
      <c r="J183" s="316"/>
      <c r="K183" s="316"/>
      <c r="L183" s="316"/>
      <c r="M183" s="114"/>
      <c r="N183" s="26"/>
      <c r="O183" s="1"/>
    </row>
    <row r="184" spans="1:15" x14ac:dyDescent="0.25">
      <c r="A184" s="114"/>
      <c r="B184" s="114"/>
      <c r="C184" s="114"/>
      <c r="D184" s="114"/>
      <c r="E184" s="114"/>
      <c r="F184" s="316"/>
      <c r="G184" s="114"/>
      <c r="H184" s="114"/>
      <c r="I184" s="114"/>
      <c r="J184" s="316"/>
      <c r="K184" s="316"/>
      <c r="L184" s="316"/>
      <c r="M184" s="114"/>
      <c r="N184" s="26"/>
      <c r="O184" s="1"/>
    </row>
    <row r="185" spans="1:15" x14ac:dyDescent="0.25">
      <c r="A185" s="114"/>
      <c r="B185" s="114"/>
      <c r="C185" s="114"/>
      <c r="D185" s="114"/>
      <c r="E185" s="114"/>
      <c r="F185" s="316"/>
      <c r="G185" s="114"/>
      <c r="H185" s="114"/>
      <c r="I185" s="114"/>
      <c r="J185" s="316"/>
      <c r="K185" s="316"/>
      <c r="L185" s="316"/>
      <c r="M185" s="114"/>
      <c r="N185" s="26"/>
      <c r="O185" s="1"/>
    </row>
    <row r="186" spans="1:15" x14ac:dyDescent="0.25">
      <c r="A186" s="114"/>
      <c r="B186" s="114"/>
      <c r="C186" s="114"/>
      <c r="D186" s="114"/>
      <c r="E186" s="114"/>
      <c r="F186" s="316"/>
      <c r="G186" s="114"/>
      <c r="H186" s="114"/>
      <c r="I186" s="114"/>
      <c r="J186" s="316"/>
      <c r="K186" s="316"/>
      <c r="L186" s="316"/>
      <c r="M186" s="114"/>
      <c r="N186" s="26"/>
      <c r="O186" s="1"/>
    </row>
    <row r="187" spans="1:15" x14ac:dyDescent="0.25">
      <c r="A187" s="114"/>
      <c r="B187" s="114"/>
      <c r="C187" s="114"/>
      <c r="D187" s="114"/>
      <c r="E187" s="114"/>
      <c r="F187" s="316"/>
      <c r="G187" s="114"/>
      <c r="H187" s="114"/>
      <c r="I187" s="114"/>
      <c r="J187" s="316"/>
      <c r="K187" s="316"/>
      <c r="L187" s="316"/>
      <c r="M187" s="114"/>
      <c r="N187" s="26"/>
      <c r="O187" s="1"/>
    </row>
    <row r="188" spans="1:15" x14ac:dyDescent="0.25">
      <c r="A188" s="114"/>
      <c r="B188" s="114"/>
      <c r="C188" s="114"/>
      <c r="D188" s="114"/>
      <c r="E188" s="114"/>
      <c r="F188" s="316"/>
      <c r="G188" s="114"/>
      <c r="H188" s="114"/>
      <c r="I188" s="114"/>
      <c r="J188" s="316"/>
      <c r="K188" s="316"/>
      <c r="L188" s="316"/>
      <c r="M188" s="114"/>
      <c r="N188" s="26"/>
      <c r="O188" s="1"/>
    </row>
    <row r="189" spans="1:15" x14ac:dyDescent="0.25">
      <c r="A189" s="114"/>
      <c r="B189" s="114"/>
      <c r="C189" s="114"/>
      <c r="D189" s="114"/>
      <c r="E189" s="114"/>
      <c r="F189" s="316"/>
      <c r="G189" s="114"/>
      <c r="H189" s="114"/>
      <c r="I189" s="114"/>
      <c r="J189" s="316"/>
      <c r="K189" s="316"/>
      <c r="L189" s="316"/>
      <c r="M189" s="114"/>
      <c r="N189" s="26"/>
      <c r="O189" s="1"/>
    </row>
    <row r="190" spans="1:15" x14ac:dyDescent="0.25">
      <c r="A190" s="114"/>
      <c r="B190" s="114"/>
      <c r="C190" s="114"/>
      <c r="D190" s="114"/>
      <c r="E190" s="114"/>
      <c r="F190" s="316"/>
      <c r="G190" s="114"/>
      <c r="H190" s="114"/>
      <c r="I190" s="114"/>
      <c r="J190" s="316"/>
      <c r="K190" s="316"/>
      <c r="L190" s="316"/>
      <c r="M190" s="114"/>
      <c r="N190" s="26"/>
      <c r="O190" s="1"/>
    </row>
    <row r="191" spans="1:15" x14ac:dyDescent="0.25">
      <c r="B191" s="1"/>
      <c r="C191" s="1"/>
      <c r="D191" s="1"/>
      <c r="E191" s="1"/>
      <c r="F191" s="42"/>
      <c r="G191" s="1"/>
      <c r="H191" s="1"/>
      <c r="I191" s="1"/>
      <c r="J191" s="42"/>
      <c r="K191" s="42"/>
      <c r="L191" s="42"/>
      <c r="M191" s="1"/>
      <c r="N191" s="26"/>
      <c r="O191" s="1"/>
    </row>
    <row r="192" spans="1:15" x14ac:dyDescent="0.25">
      <c r="B192" s="1"/>
      <c r="C192" s="1"/>
      <c r="D192" s="1"/>
      <c r="E192" s="1"/>
      <c r="F192" s="42"/>
      <c r="G192" s="1"/>
      <c r="H192" s="1"/>
      <c r="I192" s="1"/>
      <c r="J192" s="42"/>
      <c r="K192" s="42"/>
      <c r="L192" s="42"/>
      <c r="M192" s="1"/>
      <c r="N192" s="26"/>
      <c r="O192" s="1"/>
    </row>
    <row r="193" spans="2:15" x14ac:dyDescent="0.25">
      <c r="B193" s="1"/>
      <c r="C193" s="1"/>
      <c r="D193" s="1"/>
      <c r="E193" s="1"/>
      <c r="F193" s="42"/>
      <c r="G193" s="1"/>
      <c r="H193" s="1"/>
      <c r="I193" s="1"/>
      <c r="J193" s="42"/>
      <c r="K193" s="42"/>
      <c r="L193" s="42"/>
      <c r="M193" s="1"/>
      <c r="N193" s="26"/>
      <c r="O193" s="1"/>
    </row>
    <row r="194" spans="2:15" x14ac:dyDescent="0.25">
      <c r="B194" s="1"/>
      <c r="C194" s="1"/>
      <c r="D194" s="1"/>
      <c r="E194" s="1"/>
      <c r="F194" s="42"/>
      <c r="G194" s="1"/>
      <c r="H194" s="1"/>
      <c r="I194" s="1"/>
      <c r="J194" s="42"/>
      <c r="K194" s="42"/>
      <c r="L194" s="42"/>
      <c r="M194" s="1"/>
      <c r="N194" s="26"/>
      <c r="O194" s="1"/>
    </row>
    <row r="195" spans="2:15" x14ac:dyDescent="0.25">
      <c r="B195" s="1"/>
      <c r="C195" s="1"/>
      <c r="D195" s="1"/>
      <c r="E195" s="1"/>
      <c r="F195" s="42"/>
      <c r="G195" s="1"/>
      <c r="H195" s="1"/>
      <c r="I195" s="1"/>
      <c r="J195" s="42"/>
      <c r="K195" s="42"/>
      <c r="L195" s="42"/>
      <c r="M195" s="1"/>
      <c r="N195" s="26"/>
      <c r="O195" s="1"/>
    </row>
    <row r="196" spans="2:15" x14ac:dyDescent="0.25">
      <c r="B196" s="1"/>
      <c r="C196" s="1"/>
      <c r="D196" s="1"/>
      <c r="E196" s="1"/>
      <c r="F196" s="42"/>
      <c r="G196" s="1"/>
      <c r="H196" s="1"/>
      <c r="I196" s="1"/>
      <c r="J196" s="42"/>
      <c r="K196" s="42"/>
      <c r="L196" s="42"/>
      <c r="M196" s="1"/>
      <c r="N196" s="26"/>
      <c r="O196" s="1"/>
    </row>
    <row r="197" spans="2:15" x14ac:dyDescent="0.25">
      <c r="B197" s="1"/>
      <c r="C197" s="1"/>
      <c r="D197" s="1"/>
      <c r="E197" s="1"/>
      <c r="F197" s="42"/>
      <c r="G197" s="1"/>
      <c r="H197" s="1"/>
      <c r="I197" s="1"/>
      <c r="J197" s="42"/>
      <c r="K197" s="42"/>
      <c r="L197" s="42"/>
      <c r="M197" s="1"/>
      <c r="N197" s="26"/>
      <c r="O197" s="1"/>
    </row>
    <row r="198" spans="2:15" x14ac:dyDescent="0.25">
      <c r="B198" s="1"/>
      <c r="C198" s="1"/>
      <c r="D198" s="1"/>
      <c r="E198" s="1"/>
      <c r="F198" s="42"/>
      <c r="G198" s="1"/>
      <c r="H198" s="1"/>
      <c r="I198" s="1"/>
      <c r="J198" s="42"/>
      <c r="K198" s="42"/>
      <c r="L198" s="42"/>
      <c r="M198" s="1"/>
      <c r="N198" s="26"/>
      <c r="O198" s="1"/>
    </row>
    <row r="199" spans="2:15" x14ac:dyDescent="0.25">
      <c r="B199" s="1"/>
      <c r="C199" s="1"/>
      <c r="D199" s="1"/>
      <c r="E199" s="1"/>
      <c r="F199" s="42"/>
      <c r="G199" s="1"/>
      <c r="H199" s="1"/>
      <c r="I199" s="1"/>
      <c r="J199" s="42"/>
      <c r="K199" s="42"/>
      <c r="L199" s="42"/>
      <c r="M199" s="1"/>
      <c r="N199" s="26"/>
      <c r="O199" s="1"/>
    </row>
    <row r="200" spans="2:15" x14ac:dyDescent="0.25">
      <c r="B200" s="1"/>
      <c r="C200" s="1"/>
      <c r="D200" s="1"/>
      <c r="E200" s="1"/>
      <c r="F200" s="42"/>
      <c r="G200" s="1"/>
      <c r="H200" s="1"/>
      <c r="I200" s="1"/>
      <c r="J200" s="42"/>
      <c r="K200" s="42"/>
      <c r="L200" s="42"/>
      <c r="M200" s="1"/>
      <c r="N200" s="26"/>
      <c r="O200" s="1"/>
    </row>
    <row r="201" spans="2:15" x14ac:dyDescent="0.25">
      <c r="B201" s="1"/>
      <c r="C201" s="1"/>
      <c r="D201" s="1"/>
      <c r="E201" s="1"/>
      <c r="F201" s="42"/>
      <c r="G201" s="1"/>
      <c r="H201" s="1"/>
      <c r="I201" s="1"/>
      <c r="J201" s="42"/>
      <c r="K201" s="42"/>
      <c r="L201" s="42"/>
      <c r="M201" s="1"/>
      <c r="N201" s="26"/>
      <c r="O201" s="1"/>
    </row>
    <row r="202" spans="2:15" x14ac:dyDescent="0.25">
      <c r="B202" s="1"/>
      <c r="C202" s="1"/>
      <c r="D202" s="1"/>
      <c r="E202" s="1"/>
      <c r="F202" s="42"/>
      <c r="G202" s="1"/>
      <c r="H202" s="1"/>
      <c r="I202" s="1"/>
      <c r="J202" s="42"/>
      <c r="K202" s="42"/>
      <c r="L202" s="42"/>
      <c r="M202" s="1"/>
      <c r="N202" s="26"/>
      <c r="O202" s="1"/>
    </row>
    <row r="203" spans="2:15" x14ac:dyDescent="0.25">
      <c r="B203" s="1"/>
      <c r="C203" s="1"/>
      <c r="D203" s="1"/>
      <c r="E203" s="1"/>
      <c r="F203" s="42"/>
      <c r="G203" s="1"/>
      <c r="H203" s="1"/>
      <c r="I203" s="1"/>
      <c r="J203" s="42"/>
      <c r="K203" s="42"/>
      <c r="L203" s="42"/>
      <c r="M203" s="1"/>
      <c r="N203" s="26"/>
      <c r="O203" s="1"/>
    </row>
    <row r="204" spans="2:15" x14ac:dyDescent="0.25">
      <c r="B204" s="1"/>
      <c r="C204" s="1"/>
      <c r="D204" s="1"/>
      <c r="E204" s="1"/>
      <c r="F204" s="42"/>
      <c r="G204" s="1"/>
      <c r="H204" s="1"/>
      <c r="I204" s="1"/>
      <c r="J204" s="42"/>
      <c r="K204" s="42"/>
      <c r="L204" s="42"/>
      <c r="M204" s="1"/>
      <c r="N204" s="26"/>
      <c r="O204" s="1"/>
    </row>
    <row r="205" spans="2:15" x14ac:dyDescent="0.25">
      <c r="B205" s="1"/>
      <c r="C205" s="1"/>
      <c r="D205" s="1"/>
      <c r="E205" s="1"/>
      <c r="F205" s="42"/>
      <c r="G205" s="1"/>
      <c r="H205" s="1"/>
      <c r="I205" s="1"/>
      <c r="J205" s="42"/>
      <c r="K205" s="42"/>
      <c r="L205" s="42"/>
      <c r="M205" s="1"/>
      <c r="N205" s="26"/>
      <c r="O205" s="1"/>
    </row>
    <row r="206" spans="2:15" x14ac:dyDescent="0.25">
      <c r="B206" s="1"/>
      <c r="C206" s="1"/>
      <c r="D206" s="1"/>
      <c r="E206" s="1"/>
      <c r="F206" s="42"/>
      <c r="G206" s="1"/>
      <c r="H206" s="1"/>
      <c r="I206" s="1"/>
      <c r="J206" s="42"/>
      <c r="K206" s="42"/>
      <c r="L206" s="42"/>
      <c r="M206" s="1"/>
      <c r="N206" s="26"/>
      <c r="O206" s="1"/>
    </row>
    <row r="207" spans="2:15" x14ac:dyDescent="0.25">
      <c r="B207" s="1"/>
      <c r="C207" s="1"/>
      <c r="D207" s="1"/>
      <c r="E207" s="1"/>
      <c r="F207" s="42"/>
      <c r="G207" s="1"/>
      <c r="H207" s="1"/>
      <c r="I207" s="1"/>
      <c r="J207" s="42"/>
      <c r="K207" s="42"/>
      <c r="L207" s="42"/>
      <c r="M207" s="1"/>
      <c r="N207" s="26"/>
      <c r="O207" s="1"/>
    </row>
    <row r="208" spans="2:15" x14ac:dyDescent="0.25">
      <c r="B208" s="1"/>
      <c r="C208" s="1"/>
      <c r="D208" s="1"/>
      <c r="E208" s="1"/>
      <c r="F208" s="42"/>
      <c r="G208" s="1"/>
      <c r="H208" s="1"/>
      <c r="I208" s="1"/>
      <c r="J208" s="42"/>
      <c r="K208" s="42"/>
      <c r="L208" s="42"/>
      <c r="M208" s="1"/>
      <c r="N208" s="26"/>
      <c r="O208" s="1"/>
    </row>
    <row r="209" spans="2:15" x14ac:dyDescent="0.25">
      <c r="B209" s="1"/>
      <c r="C209" s="1"/>
      <c r="D209" s="1"/>
      <c r="E209" s="1"/>
      <c r="F209" s="42"/>
      <c r="G209" s="1"/>
      <c r="H209" s="1"/>
      <c r="I209" s="1"/>
      <c r="J209" s="42"/>
      <c r="K209" s="42"/>
      <c r="L209" s="42"/>
      <c r="M209" s="1"/>
      <c r="N209" s="26"/>
      <c r="O209" s="1"/>
    </row>
    <row r="210" spans="2:15" x14ac:dyDescent="0.25">
      <c r="B210" s="1"/>
      <c r="C210" s="1"/>
      <c r="D210" s="1"/>
      <c r="E210" s="1"/>
      <c r="F210" s="42"/>
      <c r="G210" s="1"/>
      <c r="H210" s="1"/>
      <c r="I210" s="1"/>
      <c r="J210" s="42"/>
      <c r="K210" s="42"/>
      <c r="L210" s="42"/>
      <c r="M210" s="1"/>
      <c r="N210" s="26"/>
      <c r="O210" s="1"/>
    </row>
    <row r="211" spans="2:15" x14ac:dyDescent="0.25">
      <c r="B211" s="1"/>
      <c r="C211" s="1"/>
      <c r="D211" s="1"/>
      <c r="E211" s="1"/>
      <c r="F211" s="42"/>
      <c r="G211" s="1"/>
      <c r="H211" s="1"/>
      <c r="I211" s="1"/>
      <c r="J211" s="42"/>
      <c r="K211" s="42"/>
      <c r="L211" s="42"/>
      <c r="M211" s="1"/>
      <c r="N211" s="26"/>
      <c r="O211" s="1"/>
    </row>
    <row r="212" spans="2:15" x14ac:dyDescent="0.25">
      <c r="B212" s="1"/>
      <c r="C212" s="1"/>
      <c r="D212" s="1"/>
      <c r="E212" s="1"/>
      <c r="F212" s="42"/>
      <c r="G212" s="1"/>
      <c r="H212" s="1"/>
      <c r="I212" s="1"/>
      <c r="J212" s="42"/>
      <c r="K212" s="42"/>
      <c r="L212" s="42"/>
      <c r="M212" s="1"/>
      <c r="N212" s="26"/>
      <c r="O212" s="1"/>
    </row>
    <row r="213" spans="2:15" x14ac:dyDescent="0.25">
      <c r="B213" s="1"/>
      <c r="C213" s="1"/>
      <c r="D213" s="1"/>
      <c r="E213" s="1"/>
      <c r="F213" s="42"/>
      <c r="G213" s="1"/>
      <c r="H213" s="1"/>
      <c r="I213" s="1"/>
      <c r="J213" s="42"/>
      <c r="K213" s="42"/>
      <c r="L213" s="42"/>
      <c r="M213" s="1"/>
      <c r="N213" s="26"/>
      <c r="O213" s="1"/>
    </row>
    <row r="214" spans="2:15" x14ac:dyDescent="0.25">
      <c r="B214" s="1"/>
      <c r="C214" s="1"/>
      <c r="D214" s="1"/>
      <c r="E214" s="1"/>
      <c r="F214" s="42"/>
      <c r="G214" s="1"/>
      <c r="H214" s="1"/>
      <c r="I214" s="1"/>
      <c r="J214" s="42"/>
      <c r="K214" s="42"/>
      <c r="L214" s="42"/>
      <c r="M214" s="1"/>
      <c r="N214" s="26"/>
      <c r="O214" s="1"/>
    </row>
    <row r="215" spans="2:15" x14ac:dyDescent="0.25">
      <c r="B215" s="1"/>
      <c r="C215" s="1"/>
      <c r="D215" s="1"/>
      <c r="E215" s="1"/>
      <c r="F215" s="42"/>
      <c r="G215" s="1"/>
      <c r="H215" s="1"/>
      <c r="I215" s="1"/>
      <c r="J215" s="42"/>
      <c r="K215" s="42"/>
      <c r="L215" s="42"/>
      <c r="M215" s="1"/>
      <c r="N215" s="26"/>
      <c r="O215" s="1"/>
    </row>
    <row r="216" spans="2:15" x14ac:dyDescent="0.25">
      <c r="B216" s="1"/>
      <c r="C216" s="1"/>
      <c r="D216" s="1"/>
      <c r="E216" s="1"/>
      <c r="F216" s="42"/>
      <c r="G216" s="1"/>
      <c r="H216" s="1"/>
      <c r="I216" s="1"/>
      <c r="J216" s="42"/>
      <c r="K216" s="42"/>
      <c r="L216" s="42"/>
      <c r="M216" s="1"/>
      <c r="N216" s="26"/>
      <c r="O216" s="1"/>
    </row>
    <row r="217" spans="2:15" x14ac:dyDescent="0.25">
      <c r="B217" s="1"/>
      <c r="C217" s="1"/>
      <c r="D217" s="1"/>
      <c r="E217" s="1"/>
      <c r="F217" s="42"/>
      <c r="G217" s="1"/>
      <c r="H217" s="1"/>
      <c r="I217" s="1"/>
      <c r="J217" s="42"/>
      <c r="K217" s="42"/>
      <c r="L217" s="42"/>
      <c r="M217" s="1"/>
      <c r="N217" s="26"/>
      <c r="O217" s="1"/>
    </row>
    <row r="218" spans="2:15" x14ac:dyDescent="0.25">
      <c r="B218" s="1"/>
      <c r="C218" s="1"/>
      <c r="D218" s="1"/>
      <c r="E218" s="1"/>
      <c r="F218" s="42"/>
      <c r="G218" s="1"/>
      <c r="H218" s="1"/>
      <c r="I218" s="1"/>
      <c r="J218" s="42"/>
      <c r="K218" s="42"/>
      <c r="L218" s="42"/>
      <c r="M218" s="1"/>
      <c r="N218" s="26"/>
      <c r="O218" s="1"/>
    </row>
    <row r="219" spans="2:15" x14ac:dyDescent="0.25">
      <c r="B219" s="1"/>
      <c r="C219" s="1"/>
      <c r="D219" s="1"/>
      <c r="E219" s="1"/>
      <c r="F219" s="42"/>
      <c r="G219" s="1"/>
      <c r="H219" s="1"/>
      <c r="I219" s="1"/>
      <c r="J219" s="42"/>
      <c r="K219" s="42"/>
      <c r="L219" s="42"/>
      <c r="M219" s="1"/>
      <c r="N219" s="26"/>
      <c r="O219" s="1"/>
    </row>
    <row r="220" spans="2:15" x14ac:dyDescent="0.25">
      <c r="B220" s="1"/>
      <c r="C220" s="1"/>
      <c r="D220" s="1"/>
      <c r="E220" s="1"/>
      <c r="F220" s="42"/>
      <c r="G220" s="1"/>
      <c r="H220" s="1"/>
      <c r="I220" s="1"/>
      <c r="J220" s="42"/>
      <c r="K220" s="42"/>
      <c r="L220" s="42"/>
      <c r="M220" s="1"/>
      <c r="N220" s="26"/>
      <c r="O220" s="1"/>
    </row>
    <row r="221" spans="2:15" x14ac:dyDescent="0.25">
      <c r="B221" s="1"/>
      <c r="C221" s="1"/>
      <c r="D221" s="1"/>
      <c r="E221" s="1"/>
      <c r="F221" s="42"/>
      <c r="G221" s="1"/>
      <c r="H221" s="1"/>
      <c r="I221" s="1"/>
      <c r="J221" s="42"/>
      <c r="K221" s="42"/>
      <c r="L221" s="42"/>
      <c r="M221" s="1"/>
      <c r="N221" s="26"/>
      <c r="O221" s="1"/>
    </row>
    <row r="222" spans="2:15" x14ac:dyDescent="0.25">
      <c r="B222" s="1"/>
      <c r="C222" s="1"/>
      <c r="D222" s="1"/>
      <c r="E222" s="1"/>
      <c r="F222" s="42"/>
      <c r="G222" s="1"/>
      <c r="H222" s="1"/>
      <c r="I222" s="1"/>
      <c r="J222" s="42"/>
      <c r="K222" s="42"/>
      <c r="L222" s="42"/>
      <c r="M222" s="1"/>
      <c r="N222" s="26"/>
      <c r="O222" s="1"/>
    </row>
    <row r="223" spans="2:15" x14ac:dyDescent="0.25">
      <c r="B223" s="1"/>
      <c r="C223" s="1"/>
      <c r="D223" s="1"/>
      <c r="E223" s="1"/>
      <c r="F223" s="42"/>
      <c r="G223" s="1"/>
      <c r="H223" s="1"/>
      <c r="I223" s="1"/>
      <c r="J223" s="42"/>
      <c r="K223" s="42"/>
      <c r="L223" s="42"/>
      <c r="M223" s="1"/>
      <c r="N223" s="26"/>
      <c r="O223" s="1"/>
    </row>
    <row r="224" spans="2:15" x14ac:dyDescent="0.25">
      <c r="B224" s="1"/>
      <c r="C224" s="1"/>
      <c r="D224" s="1"/>
      <c r="E224" s="1"/>
      <c r="F224" s="42"/>
      <c r="G224" s="1"/>
      <c r="H224" s="1"/>
      <c r="I224" s="1"/>
      <c r="J224" s="42"/>
      <c r="K224" s="42"/>
      <c r="L224" s="42"/>
      <c r="M224" s="1"/>
      <c r="N224" s="26"/>
      <c r="O224" s="1"/>
    </row>
    <row r="225" spans="1:15" x14ac:dyDescent="0.25">
      <c r="B225" s="1"/>
      <c r="C225" s="1"/>
      <c r="D225" s="1"/>
      <c r="E225" s="1"/>
      <c r="F225" s="42"/>
      <c r="G225" s="1"/>
      <c r="H225" s="1"/>
      <c r="I225" s="1"/>
      <c r="J225" s="42"/>
      <c r="K225" s="42"/>
      <c r="L225" s="42"/>
      <c r="M225" s="1"/>
      <c r="N225" s="26"/>
      <c r="O225" s="1"/>
    </row>
    <row r="226" spans="1:15" x14ac:dyDescent="0.25">
      <c r="B226" s="1"/>
      <c r="C226" s="1"/>
      <c r="D226" s="1"/>
      <c r="E226" s="1"/>
      <c r="F226" s="42"/>
      <c r="G226" s="1"/>
      <c r="H226" s="1"/>
      <c r="I226" s="1"/>
      <c r="J226" s="42"/>
      <c r="K226" s="42"/>
      <c r="L226" s="42"/>
      <c r="M226" s="1"/>
      <c r="N226" s="26"/>
      <c r="O226" s="1"/>
    </row>
    <row r="227" spans="1:15" x14ac:dyDescent="0.25">
      <c r="B227" s="1"/>
      <c r="C227" s="1"/>
      <c r="D227" s="1"/>
      <c r="E227" s="1"/>
      <c r="F227" s="42"/>
      <c r="G227" s="1"/>
      <c r="H227" s="1"/>
      <c r="I227" s="1"/>
      <c r="J227" s="42"/>
      <c r="K227" s="42"/>
      <c r="L227" s="42"/>
      <c r="M227" s="1"/>
      <c r="N227" s="26"/>
      <c r="O227" s="1"/>
    </row>
    <row r="228" spans="1:15" x14ac:dyDescent="0.25">
      <c r="B228" s="1"/>
      <c r="C228" s="1"/>
      <c r="D228" s="1"/>
      <c r="E228" s="1"/>
      <c r="F228" s="42"/>
      <c r="G228" s="1"/>
      <c r="H228" s="1"/>
      <c r="I228" s="1"/>
      <c r="J228" s="42"/>
      <c r="K228" s="42"/>
      <c r="L228" s="42"/>
      <c r="M228" s="1"/>
      <c r="N228" s="26"/>
      <c r="O228" s="1"/>
    </row>
    <row r="229" spans="1:15" x14ac:dyDescent="0.25">
      <c r="B229" s="1"/>
      <c r="C229" s="1"/>
      <c r="D229" s="1"/>
      <c r="E229" s="1"/>
      <c r="F229" s="42"/>
      <c r="G229" s="1"/>
      <c r="H229" s="1"/>
      <c r="I229" s="1"/>
      <c r="J229" s="42"/>
      <c r="K229" s="42"/>
      <c r="L229" s="42"/>
      <c r="M229" s="1"/>
      <c r="N229" s="26"/>
      <c r="O229" s="1"/>
    </row>
    <row r="230" spans="1:15" x14ac:dyDescent="0.25">
      <c r="B230" s="1"/>
      <c r="C230" s="1"/>
      <c r="D230" s="1"/>
      <c r="E230" s="1"/>
      <c r="F230" s="42"/>
      <c r="G230" s="1"/>
      <c r="H230" s="1"/>
      <c r="I230" s="1"/>
      <c r="J230" s="42"/>
      <c r="K230" s="42"/>
      <c r="L230" s="42"/>
      <c r="M230" s="1"/>
      <c r="N230" s="26"/>
      <c r="O230" s="1"/>
    </row>
    <row r="231" spans="1:15" x14ac:dyDescent="0.25">
      <c r="B231" s="1"/>
      <c r="C231" s="1"/>
      <c r="D231" s="1"/>
      <c r="E231" s="1"/>
      <c r="F231" s="42"/>
      <c r="G231" s="1"/>
      <c r="H231" s="1"/>
      <c r="I231" s="1"/>
      <c r="J231" s="42"/>
      <c r="K231" s="42"/>
      <c r="L231" s="42"/>
      <c r="M231" s="1"/>
      <c r="N231" s="26"/>
      <c r="O231" s="1"/>
    </row>
    <row r="232" spans="1:15" x14ac:dyDescent="0.25">
      <c r="B232" s="1"/>
      <c r="C232" s="1"/>
      <c r="D232" s="1"/>
      <c r="E232" s="1"/>
      <c r="F232" s="42"/>
      <c r="G232" s="1"/>
      <c r="H232" s="1"/>
      <c r="I232" s="1"/>
      <c r="J232" s="42"/>
      <c r="K232" s="42"/>
      <c r="L232" s="42"/>
      <c r="M232" s="1"/>
      <c r="N232" s="26"/>
      <c r="O232" s="1"/>
    </row>
    <row r="233" spans="1:15" x14ac:dyDescent="0.25">
      <c r="J233" s="50"/>
      <c r="L233" s="50"/>
      <c r="N233" s="19"/>
    </row>
    <row r="234" spans="1:15" x14ac:dyDescent="0.25">
      <c r="J234" s="50"/>
      <c r="L234" s="50"/>
      <c r="N234" s="19"/>
    </row>
    <row r="235" spans="1:15" x14ac:dyDescent="0.25">
      <c r="J235" s="50"/>
      <c r="L235" s="50"/>
      <c r="N235" s="19"/>
    </row>
    <row r="236" spans="1:15" ht="18.75" x14ac:dyDescent="0.3">
      <c r="A236" s="80"/>
      <c r="B236" s="1"/>
      <c r="C236" s="1"/>
      <c r="D236" s="1"/>
      <c r="E236" s="1"/>
      <c r="F236" s="42"/>
      <c r="G236" s="1"/>
      <c r="H236" s="1"/>
      <c r="I236" s="1"/>
      <c r="J236" s="42"/>
      <c r="K236" s="42"/>
      <c r="L236" s="42"/>
      <c r="M236" s="1"/>
      <c r="N236" s="19"/>
    </row>
    <row r="237" spans="1:15" x14ac:dyDescent="0.25">
      <c r="J237" s="50"/>
      <c r="L237" s="50"/>
      <c r="N237" s="19"/>
    </row>
    <row r="238" spans="1:15" x14ac:dyDescent="0.25">
      <c r="J238" s="50"/>
      <c r="L238" s="50"/>
      <c r="N238" s="19"/>
    </row>
    <row r="239" spans="1:15" x14ac:dyDescent="0.25">
      <c r="J239" s="50"/>
      <c r="L239" s="50"/>
      <c r="N239" s="19"/>
    </row>
    <row r="240" spans="1:15" x14ac:dyDescent="0.25">
      <c r="J240" s="50"/>
      <c r="L240" s="50"/>
      <c r="N240" s="19"/>
    </row>
    <row r="241" spans="10:14" x14ac:dyDescent="0.25">
      <c r="J241" s="50"/>
      <c r="L241" s="50"/>
      <c r="N241" s="19"/>
    </row>
    <row r="242" spans="10:14" x14ac:dyDescent="0.25">
      <c r="J242" s="50"/>
      <c r="L242" s="50"/>
      <c r="N242" s="19"/>
    </row>
    <row r="243" spans="10:14" x14ac:dyDescent="0.25">
      <c r="J243" s="50"/>
      <c r="L243" s="50"/>
      <c r="N243" s="19"/>
    </row>
    <row r="244" spans="10:14" x14ac:dyDescent="0.25">
      <c r="J244" s="50"/>
      <c r="L244" s="50"/>
      <c r="N244" s="19"/>
    </row>
    <row r="245" spans="10:14" x14ac:dyDescent="0.25">
      <c r="J245" s="50"/>
      <c r="L245" s="50"/>
      <c r="N245" s="19"/>
    </row>
    <row r="246" spans="10:14" x14ac:dyDescent="0.25">
      <c r="J246" s="50"/>
      <c r="L246" s="50"/>
      <c r="N246" s="19"/>
    </row>
    <row r="247" spans="10:14" x14ac:dyDescent="0.25">
      <c r="J247" s="50"/>
      <c r="L247" s="50"/>
      <c r="N247" s="19"/>
    </row>
    <row r="248" spans="10:14" x14ac:dyDescent="0.25">
      <c r="J248" s="50"/>
      <c r="L248" s="50"/>
      <c r="N248" s="19"/>
    </row>
    <row r="249" spans="10:14" x14ac:dyDescent="0.25">
      <c r="J249" s="50"/>
      <c r="L249" s="50"/>
      <c r="N249" s="19"/>
    </row>
    <row r="250" spans="10:14" x14ac:dyDescent="0.25">
      <c r="J250" s="50"/>
      <c r="L250" s="50"/>
      <c r="N250" s="19"/>
    </row>
    <row r="251" spans="10:14" x14ac:dyDescent="0.25">
      <c r="J251" s="50"/>
      <c r="L251" s="50"/>
      <c r="N251" s="19"/>
    </row>
    <row r="252" spans="10:14" x14ac:dyDescent="0.25">
      <c r="J252" s="50"/>
      <c r="L252" s="50"/>
      <c r="N252" s="19"/>
    </row>
    <row r="253" spans="10:14" x14ac:dyDescent="0.25">
      <c r="J253" s="50"/>
      <c r="L253" s="50"/>
      <c r="N253" s="19"/>
    </row>
    <row r="254" spans="10:14" x14ac:dyDescent="0.25">
      <c r="J254" s="50"/>
      <c r="L254" s="50"/>
      <c r="N254" s="19"/>
    </row>
    <row r="255" spans="10:14" x14ac:dyDescent="0.25">
      <c r="J255" s="50"/>
      <c r="L255" s="50"/>
      <c r="N255" s="19"/>
    </row>
    <row r="256" spans="10:14" x14ac:dyDescent="0.25">
      <c r="J256" s="50"/>
      <c r="L256" s="50"/>
      <c r="N256" s="19"/>
    </row>
    <row r="257" spans="10:14" x14ac:dyDescent="0.25">
      <c r="J257" s="50"/>
      <c r="L257" s="50"/>
      <c r="N257" s="19"/>
    </row>
    <row r="258" spans="10:14" x14ac:dyDescent="0.25">
      <c r="J258" s="50"/>
      <c r="L258" s="50"/>
      <c r="N258" s="19"/>
    </row>
    <row r="259" spans="10:14" x14ac:dyDescent="0.25">
      <c r="J259" s="50"/>
      <c r="L259" s="50"/>
      <c r="N259" s="19"/>
    </row>
    <row r="260" spans="10:14" x14ac:dyDescent="0.25">
      <c r="J260" s="50"/>
      <c r="L260" s="50"/>
      <c r="N260" s="19"/>
    </row>
    <row r="261" spans="10:14" x14ac:dyDescent="0.25">
      <c r="J261" s="50"/>
      <c r="L261" s="50"/>
      <c r="N261" s="19"/>
    </row>
    <row r="262" spans="10:14" x14ac:dyDescent="0.25">
      <c r="J262" s="50"/>
      <c r="L262" s="50"/>
      <c r="N262" s="19"/>
    </row>
    <row r="263" spans="10:14" x14ac:dyDescent="0.25">
      <c r="J263" s="50"/>
      <c r="L263" s="50"/>
      <c r="N263" s="19"/>
    </row>
    <row r="264" spans="10:14" x14ac:dyDescent="0.25">
      <c r="J264" s="50"/>
      <c r="L264" s="50"/>
      <c r="N264" s="19"/>
    </row>
    <row r="265" spans="10:14" x14ac:dyDescent="0.25">
      <c r="J265" s="50"/>
      <c r="L265" s="50"/>
      <c r="N265" s="19"/>
    </row>
    <row r="266" spans="10:14" x14ac:dyDescent="0.25">
      <c r="J266" s="50"/>
      <c r="L266" s="50"/>
      <c r="N266" s="19"/>
    </row>
    <row r="267" spans="10:14" x14ac:dyDescent="0.25">
      <c r="J267" s="50"/>
      <c r="L267" s="50"/>
      <c r="N267" s="19"/>
    </row>
    <row r="268" spans="10:14" x14ac:dyDescent="0.25">
      <c r="J268" s="50"/>
      <c r="L268" s="50"/>
      <c r="N268" s="19"/>
    </row>
    <row r="269" spans="10:14" x14ac:dyDescent="0.25">
      <c r="J269" s="50"/>
      <c r="L269" s="50"/>
      <c r="N269" s="19"/>
    </row>
    <row r="270" spans="10:14" x14ac:dyDescent="0.25">
      <c r="J270" s="50"/>
      <c r="L270" s="50"/>
      <c r="N270" s="19"/>
    </row>
    <row r="271" spans="10:14" x14ac:dyDescent="0.25">
      <c r="J271" s="50"/>
      <c r="L271" s="50"/>
      <c r="N271" s="19"/>
    </row>
    <row r="272" spans="10:14" x14ac:dyDescent="0.25">
      <c r="J272" s="50"/>
      <c r="L272" s="50"/>
      <c r="N272" s="19"/>
    </row>
    <row r="273" spans="10:14" x14ac:dyDescent="0.25">
      <c r="J273" s="50"/>
      <c r="L273" s="50"/>
      <c r="N273" s="19"/>
    </row>
    <row r="274" spans="10:14" x14ac:dyDescent="0.25">
      <c r="J274" s="50"/>
      <c r="L274" s="50"/>
      <c r="N274" s="19"/>
    </row>
    <row r="275" spans="10:14" x14ac:dyDescent="0.25">
      <c r="J275" s="50"/>
      <c r="L275" s="50"/>
      <c r="N275" s="19"/>
    </row>
    <row r="276" spans="10:14" x14ac:dyDescent="0.25">
      <c r="J276" s="50"/>
      <c r="L276" s="50"/>
      <c r="N276" s="19"/>
    </row>
    <row r="277" spans="10:14" x14ac:dyDescent="0.25">
      <c r="J277" s="50"/>
      <c r="L277" s="50"/>
      <c r="N277" s="19"/>
    </row>
    <row r="278" spans="10:14" x14ac:dyDescent="0.25">
      <c r="J278" s="50"/>
      <c r="L278" s="50"/>
      <c r="N278" s="19"/>
    </row>
    <row r="279" spans="10:14" x14ac:dyDescent="0.25">
      <c r="J279" s="50"/>
      <c r="L279" s="50"/>
      <c r="N279" s="19"/>
    </row>
    <row r="280" spans="10:14" x14ac:dyDescent="0.25">
      <c r="J280" s="50"/>
      <c r="L280" s="50"/>
      <c r="N280" s="19"/>
    </row>
    <row r="281" spans="10:14" x14ac:dyDescent="0.25">
      <c r="J281" s="50"/>
      <c r="L281" s="50"/>
      <c r="N281" s="19"/>
    </row>
    <row r="282" spans="10:14" x14ac:dyDescent="0.25">
      <c r="J282" s="50"/>
      <c r="L282" s="50"/>
      <c r="N282" s="19"/>
    </row>
    <row r="283" spans="10:14" x14ac:dyDescent="0.25">
      <c r="J283" s="50"/>
      <c r="L283" s="50"/>
      <c r="N283" s="19"/>
    </row>
    <row r="284" spans="10:14" x14ac:dyDescent="0.25">
      <c r="J284" s="50"/>
      <c r="L284" s="50"/>
      <c r="N284" s="19"/>
    </row>
    <row r="285" spans="10:14" x14ac:dyDescent="0.25">
      <c r="J285" s="50"/>
      <c r="L285" s="50"/>
      <c r="N285" s="19"/>
    </row>
    <row r="286" spans="10:14" x14ac:dyDescent="0.25">
      <c r="J286" s="50"/>
      <c r="L286" s="50"/>
      <c r="N286" s="19"/>
    </row>
    <row r="287" spans="10:14" x14ac:dyDescent="0.25">
      <c r="J287" s="50"/>
      <c r="L287" s="50"/>
      <c r="N287" s="19"/>
    </row>
    <row r="288" spans="10:14" x14ac:dyDescent="0.25">
      <c r="J288" s="50"/>
      <c r="L288" s="50"/>
      <c r="N288" s="19"/>
    </row>
    <row r="289" spans="10:14" x14ac:dyDescent="0.25">
      <c r="J289" s="50"/>
      <c r="L289" s="50"/>
      <c r="N289" s="19"/>
    </row>
    <row r="290" spans="10:14" x14ac:dyDescent="0.25">
      <c r="J290" s="50"/>
      <c r="L290" s="50"/>
      <c r="N290" s="19"/>
    </row>
    <row r="291" spans="10:14" x14ac:dyDescent="0.25">
      <c r="J291" s="50"/>
      <c r="L291" s="50"/>
      <c r="N291" s="19"/>
    </row>
    <row r="292" spans="10:14" x14ac:dyDescent="0.25">
      <c r="J292" s="50"/>
      <c r="L292" s="50"/>
      <c r="N292" s="19"/>
    </row>
    <row r="293" spans="10:14" x14ac:dyDescent="0.25">
      <c r="J293" s="50"/>
      <c r="L293" s="50"/>
      <c r="N293" s="19"/>
    </row>
    <row r="294" spans="10:14" x14ac:dyDescent="0.25">
      <c r="J294" s="50"/>
      <c r="L294" s="50"/>
      <c r="N294" s="19"/>
    </row>
    <row r="295" spans="10:14" x14ac:dyDescent="0.25">
      <c r="J295" s="50"/>
      <c r="L295" s="50"/>
      <c r="N295" s="19"/>
    </row>
    <row r="296" spans="10:14" x14ac:dyDescent="0.25">
      <c r="J296" s="50"/>
      <c r="L296" s="50"/>
      <c r="N296" s="19"/>
    </row>
    <row r="297" spans="10:14" x14ac:dyDescent="0.25">
      <c r="J297" s="50"/>
      <c r="L297" s="50"/>
      <c r="N297" s="19"/>
    </row>
    <row r="298" spans="10:14" x14ac:dyDescent="0.25">
      <c r="J298" s="50"/>
      <c r="L298" s="50"/>
      <c r="N298" s="19"/>
    </row>
    <row r="299" spans="10:14" x14ac:dyDescent="0.25">
      <c r="J299" s="50"/>
      <c r="L299" s="50"/>
      <c r="N299" s="19"/>
    </row>
    <row r="300" spans="10:14" x14ac:dyDescent="0.25">
      <c r="J300" s="50"/>
      <c r="L300" s="50"/>
      <c r="N300" s="19"/>
    </row>
    <row r="301" spans="10:14" x14ac:dyDescent="0.25">
      <c r="J301" s="50"/>
      <c r="L301" s="50"/>
      <c r="N301" s="19"/>
    </row>
    <row r="302" spans="10:14" x14ac:dyDescent="0.25">
      <c r="J302" s="50"/>
      <c r="L302" s="50"/>
      <c r="N302" s="19"/>
    </row>
    <row r="303" spans="10:14" x14ac:dyDescent="0.25">
      <c r="J303" s="50"/>
      <c r="L303" s="50"/>
      <c r="N303" s="19"/>
    </row>
    <row r="304" spans="10:14" x14ac:dyDescent="0.25">
      <c r="J304" s="50"/>
      <c r="L304" s="50"/>
      <c r="N304" s="19"/>
    </row>
    <row r="305" spans="10:14" x14ac:dyDescent="0.25">
      <c r="J305" s="50"/>
      <c r="L305" s="50"/>
      <c r="N305" s="19"/>
    </row>
    <row r="306" spans="10:14" x14ac:dyDescent="0.25">
      <c r="J306" s="50"/>
      <c r="L306" s="50"/>
      <c r="N306" s="19"/>
    </row>
    <row r="307" spans="10:14" x14ac:dyDescent="0.25">
      <c r="J307" s="50"/>
      <c r="L307" s="50"/>
      <c r="N307" s="19"/>
    </row>
    <row r="308" spans="10:14" x14ac:dyDescent="0.25">
      <c r="J308" s="50"/>
      <c r="L308" s="50"/>
      <c r="N308" s="19"/>
    </row>
    <row r="309" spans="10:14" x14ac:dyDescent="0.25">
      <c r="J309" s="50"/>
      <c r="L309" s="50"/>
      <c r="N309" s="19"/>
    </row>
    <row r="310" spans="10:14" x14ac:dyDescent="0.25">
      <c r="J310" s="50"/>
      <c r="L310" s="50"/>
      <c r="N310" s="19"/>
    </row>
    <row r="311" spans="10:14" x14ac:dyDescent="0.25">
      <c r="J311" s="50"/>
      <c r="L311" s="50"/>
      <c r="N311" s="19"/>
    </row>
    <row r="312" spans="10:14" x14ac:dyDescent="0.25">
      <c r="J312" s="50"/>
      <c r="L312" s="50"/>
      <c r="N312" s="19"/>
    </row>
    <row r="313" spans="10:14" x14ac:dyDescent="0.25">
      <c r="J313" s="50"/>
      <c r="L313" s="50"/>
      <c r="N313" s="19"/>
    </row>
    <row r="314" spans="10:14" x14ac:dyDescent="0.25">
      <c r="J314" s="50"/>
      <c r="L314" s="50"/>
      <c r="N314" s="19"/>
    </row>
    <row r="315" spans="10:14" x14ac:dyDescent="0.25">
      <c r="J315" s="50"/>
      <c r="L315" s="50"/>
      <c r="N315" s="19"/>
    </row>
    <row r="316" spans="10:14" x14ac:dyDescent="0.25">
      <c r="J316" s="50"/>
      <c r="L316" s="50"/>
      <c r="N316" s="19"/>
    </row>
    <row r="317" spans="10:14" x14ac:dyDescent="0.25">
      <c r="J317" s="50"/>
      <c r="L317" s="50"/>
      <c r="N317" s="19"/>
    </row>
    <row r="318" spans="10:14" x14ac:dyDescent="0.25">
      <c r="J318" s="50"/>
      <c r="L318" s="50"/>
      <c r="N318" s="19"/>
    </row>
    <row r="319" spans="10:14" x14ac:dyDescent="0.25">
      <c r="J319" s="50"/>
      <c r="L319" s="50"/>
      <c r="N319" s="19"/>
    </row>
    <row r="320" spans="10:14" x14ac:dyDescent="0.25">
      <c r="J320" s="50"/>
      <c r="L320" s="50"/>
      <c r="N320" s="19"/>
    </row>
    <row r="321" spans="10:14" x14ac:dyDescent="0.25">
      <c r="J321" s="50"/>
      <c r="L321" s="50"/>
      <c r="N321" s="19"/>
    </row>
    <row r="322" spans="10:14" x14ac:dyDescent="0.25">
      <c r="J322" s="50"/>
      <c r="L322" s="50"/>
      <c r="N322" s="19"/>
    </row>
    <row r="323" spans="10:14" x14ac:dyDescent="0.25">
      <c r="J323" s="50"/>
      <c r="L323" s="50"/>
      <c r="N323" s="19"/>
    </row>
    <row r="324" spans="10:14" x14ac:dyDescent="0.25">
      <c r="J324" s="50"/>
      <c r="L324" s="50"/>
      <c r="N324" s="19"/>
    </row>
    <row r="325" spans="10:14" x14ac:dyDescent="0.25">
      <c r="J325" s="50"/>
      <c r="L325" s="50"/>
      <c r="N325" s="19"/>
    </row>
    <row r="326" spans="10:14" x14ac:dyDescent="0.25">
      <c r="J326" s="50"/>
      <c r="L326" s="50"/>
      <c r="N326" s="19"/>
    </row>
    <row r="327" spans="10:14" x14ac:dyDescent="0.25">
      <c r="J327" s="50"/>
      <c r="L327" s="50"/>
      <c r="N327" s="19"/>
    </row>
    <row r="328" spans="10:14" x14ac:dyDescent="0.25">
      <c r="J328" s="50"/>
      <c r="L328" s="50"/>
      <c r="N328" s="19"/>
    </row>
    <row r="329" spans="10:14" x14ac:dyDescent="0.25">
      <c r="J329" s="50"/>
      <c r="L329" s="50"/>
      <c r="N329" s="19"/>
    </row>
    <row r="330" spans="10:14" x14ac:dyDescent="0.25">
      <c r="J330" s="50"/>
      <c r="L330" s="50"/>
      <c r="N330" s="19"/>
    </row>
    <row r="331" spans="10:14" x14ac:dyDescent="0.25">
      <c r="J331" s="50"/>
      <c r="L331" s="50"/>
      <c r="N331" s="19"/>
    </row>
    <row r="332" spans="10:14" x14ac:dyDescent="0.25">
      <c r="J332" s="50"/>
      <c r="L332" s="50"/>
      <c r="N332" s="19"/>
    </row>
    <row r="333" spans="10:14" x14ac:dyDescent="0.25">
      <c r="J333" s="50"/>
      <c r="L333" s="50"/>
      <c r="N333" s="19"/>
    </row>
    <row r="334" spans="10:14" x14ac:dyDescent="0.25">
      <c r="J334" s="50"/>
      <c r="L334" s="50"/>
      <c r="N334" s="19"/>
    </row>
    <row r="335" spans="10:14" x14ac:dyDescent="0.25">
      <c r="J335" s="50"/>
      <c r="L335" s="50"/>
      <c r="N335" s="19"/>
    </row>
    <row r="336" spans="10:14" x14ac:dyDescent="0.25">
      <c r="J336" s="50"/>
      <c r="L336" s="50"/>
      <c r="N336" s="19"/>
    </row>
    <row r="337" spans="10:14" x14ac:dyDescent="0.25">
      <c r="J337" s="50"/>
      <c r="L337" s="50"/>
      <c r="N337" s="19"/>
    </row>
    <row r="338" spans="10:14" x14ac:dyDescent="0.25">
      <c r="J338" s="50"/>
      <c r="L338" s="50"/>
      <c r="N338" s="19"/>
    </row>
    <row r="339" spans="10:14" x14ac:dyDescent="0.25">
      <c r="J339" s="50"/>
      <c r="L339" s="50"/>
      <c r="N339" s="19"/>
    </row>
    <row r="340" spans="10:14" x14ac:dyDescent="0.25">
      <c r="J340" s="50"/>
      <c r="L340" s="50"/>
      <c r="N340" s="19"/>
    </row>
    <row r="341" spans="10:14" x14ac:dyDescent="0.25">
      <c r="J341" s="50"/>
      <c r="L341" s="50"/>
      <c r="N341" s="19"/>
    </row>
    <row r="342" spans="10:14" x14ac:dyDescent="0.25">
      <c r="J342" s="50"/>
      <c r="L342" s="50"/>
      <c r="N342" s="19"/>
    </row>
    <row r="343" spans="10:14" x14ac:dyDescent="0.25">
      <c r="J343" s="50"/>
      <c r="L343" s="50"/>
      <c r="N343" s="19"/>
    </row>
    <row r="344" spans="10:14" x14ac:dyDescent="0.25">
      <c r="J344" s="50"/>
      <c r="L344" s="50"/>
      <c r="N344" s="19"/>
    </row>
    <row r="345" spans="10:14" x14ac:dyDescent="0.25">
      <c r="J345" s="50"/>
      <c r="L345" s="50"/>
      <c r="N345" s="19"/>
    </row>
    <row r="346" spans="10:14" x14ac:dyDescent="0.25">
      <c r="J346" s="50"/>
      <c r="L346" s="50"/>
      <c r="N346" s="19"/>
    </row>
    <row r="347" spans="10:14" x14ac:dyDescent="0.25">
      <c r="J347" s="50"/>
      <c r="L347" s="50"/>
      <c r="N347" s="19"/>
    </row>
    <row r="348" spans="10:14" x14ac:dyDescent="0.25">
      <c r="J348" s="50"/>
      <c r="L348" s="50"/>
      <c r="N348" s="19"/>
    </row>
    <row r="349" spans="10:14" x14ac:dyDescent="0.25">
      <c r="J349" s="50"/>
      <c r="L349" s="50"/>
      <c r="N349" s="19"/>
    </row>
    <row r="350" spans="10:14" x14ac:dyDescent="0.25">
      <c r="J350" s="50"/>
      <c r="L350" s="50"/>
      <c r="N350" s="19"/>
    </row>
    <row r="351" spans="10:14" x14ac:dyDescent="0.25">
      <c r="J351" s="50"/>
      <c r="L351" s="50"/>
      <c r="N351" s="19"/>
    </row>
    <row r="352" spans="10:14" x14ac:dyDescent="0.25">
      <c r="J352" s="50"/>
      <c r="L352" s="50"/>
      <c r="N352" s="19"/>
    </row>
    <row r="353" spans="10:14" x14ac:dyDescent="0.25">
      <c r="J353" s="50"/>
      <c r="L353" s="50"/>
      <c r="N353" s="19"/>
    </row>
    <row r="354" spans="10:14" x14ac:dyDescent="0.25">
      <c r="J354" s="50"/>
      <c r="L354" s="50"/>
      <c r="N354" s="19"/>
    </row>
    <row r="355" spans="10:14" x14ac:dyDescent="0.25">
      <c r="J355" s="50"/>
      <c r="L355" s="50"/>
      <c r="N355" s="19"/>
    </row>
    <row r="356" spans="10:14" x14ac:dyDescent="0.25">
      <c r="J356" s="50"/>
      <c r="L356" s="50"/>
      <c r="N356" s="19"/>
    </row>
    <row r="357" spans="10:14" x14ac:dyDescent="0.25">
      <c r="J357" s="50"/>
      <c r="L357" s="50"/>
      <c r="N357" s="19"/>
    </row>
    <row r="358" spans="10:14" x14ac:dyDescent="0.25">
      <c r="J358" s="50"/>
      <c r="L358" s="50"/>
      <c r="N358" s="19"/>
    </row>
    <row r="359" spans="10:14" x14ac:dyDescent="0.25">
      <c r="J359" s="50"/>
      <c r="L359" s="50"/>
      <c r="N359" s="19"/>
    </row>
    <row r="360" spans="10:14" x14ac:dyDescent="0.25">
      <c r="J360" s="50"/>
      <c r="L360" s="50"/>
      <c r="N360" s="19"/>
    </row>
    <row r="361" spans="10:14" x14ac:dyDescent="0.25">
      <c r="J361" s="50"/>
      <c r="L361" s="50"/>
      <c r="N361" s="19"/>
    </row>
    <row r="362" spans="10:14" x14ac:dyDescent="0.25">
      <c r="J362" s="50"/>
      <c r="L362" s="50"/>
      <c r="N362" s="19"/>
    </row>
    <row r="363" spans="10:14" x14ac:dyDescent="0.25">
      <c r="J363" s="50"/>
      <c r="L363" s="50"/>
      <c r="N363" s="19"/>
    </row>
    <row r="364" spans="10:14" x14ac:dyDescent="0.25">
      <c r="J364" s="50"/>
      <c r="L364" s="50"/>
      <c r="N364" s="19"/>
    </row>
    <row r="365" spans="10:14" x14ac:dyDescent="0.25">
      <c r="J365" s="50"/>
      <c r="L365" s="50"/>
      <c r="N365" s="19"/>
    </row>
    <row r="366" spans="10:14" x14ac:dyDescent="0.25">
      <c r="J366" s="50"/>
      <c r="L366" s="50"/>
      <c r="N366" s="19"/>
    </row>
    <row r="367" spans="10:14" x14ac:dyDescent="0.25">
      <c r="J367" s="50"/>
      <c r="L367" s="50"/>
      <c r="N367" s="19"/>
    </row>
    <row r="368" spans="10:14" x14ac:dyDescent="0.25">
      <c r="J368" s="50"/>
      <c r="L368" s="50"/>
      <c r="N368" s="19"/>
    </row>
    <row r="369" spans="2:14" x14ac:dyDescent="0.25">
      <c r="J369" s="50"/>
      <c r="L369" s="50"/>
      <c r="N369" s="19"/>
    </row>
    <row r="370" spans="2:14" x14ac:dyDescent="0.25">
      <c r="J370" s="50"/>
      <c r="L370" s="50"/>
      <c r="N370" s="19"/>
    </row>
    <row r="371" spans="2:14" x14ac:dyDescent="0.25">
      <c r="J371" s="50"/>
      <c r="L371" s="50"/>
      <c r="N371" s="19"/>
    </row>
    <row r="372" spans="2:14" x14ac:dyDescent="0.25">
      <c r="J372" s="50"/>
      <c r="L372" s="50"/>
      <c r="N372" s="19"/>
    </row>
    <row r="373" spans="2:14" x14ac:dyDescent="0.25">
      <c r="B373" s="1"/>
      <c r="C373" s="1"/>
      <c r="D373" s="1"/>
      <c r="E373" s="1"/>
      <c r="F373" s="42"/>
      <c r="G373" s="1"/>
      <c r="H373" s="1"/>
      <c r="I373" s="1"/>
      <c r="J373" s="42"/>
      <c r="K373" s="42"/>
      <c r="L373" s="42"/>
      <c r="M373" s="1"/>
      <c r="N373" s="19"/>
    </row>
    <row r="374" spans="2:14" x14ac:dyDescent="0.25">
      <c r="B374" s="1"/>
      <c r="C374" s="1"/>
      <c r="D374" s="1"/>
      <c r="E374" s="1"/>
      <c r="F374" s="42"/>
      <c r="G374" s="1"/>
      <c r="H374" s="1"/>
      <c r="I374" s="1"/>
      <c r="J374" s="42"/>
      <c r="K374" s="42"/>
      <c r="L374" s="42"/>
      <c r="M374" s="1"/>
      <c r="N374" s="19"/>
    </row>
    <row r="375" spans="2:14" x14ac:dyDescent="0.25">
      <c r="B375" s="1"/>
      <c r="C375" s="1"/>
      <c r="D375" s="1"/>
      <c r="E375" s="1"/>
      <c r="F375" s="42"/>
      <c r="G375" s="1"/>
      <c r="H375" s="1"/>
      <c r="I375" s="1"/>
      <c r="J375" s="42"/>
      <c r="K375" s="42"/>
      <c r="L375" s="42"/>
      <c r="M375" s="1"/>
      <c r="N375" s="19"/>
    </row>
    <row r="376" spans="2:14" x14ac:dyDescent="0.25">
      <c r="B376" s="1"/>
      <c r="C376" s="1"/>
      <c r="D376" s="1"/>
      <c r="E376" s="1"/>
      <c r="F376" s="42"/>
      <c r="G376" s="1"/>
      <c r="H376" s="1"/>
      <c r="I376" s="1"/>
      <c r="J376" s="42"/>
      <c r="K376" s="42"/>
      <c r="L376" s="42"/>
      <c r="M376" s="1"/>
      <c r="N376" s="19"/>
    </row>
    <row r="377" spans="2:14" x14ac:dyDescent="0.25">
      <c r="B377" s="1"/>
      <c r="C377" s="1"/>
      <c r="D377" s="1"/>
      <c r="E377" s="1"/>
      <c r="F377" s="42"/>
      <c r="G377" s="1"/>
      <c r="H377" s="1"/>
      <c r="I377" s="1"/>
      <c r="J377" s="42"/>
      <c r="K377" s="42"/>
      <c r="L377" s="42"/>
      <c r="M377" s="1"/>
      <c r="N377" s="19"/>
    </row>
    <row r="378" spans="2:14" x14ac:dyDescent="0.25">
      <c r="B378" s="1"/>
      <c r="C378" s="1"/>
      <c r="D378" s="1"/>
      <c r="E378" s="1"/>
      <c r="F378" s="42"/>
      <c r="G378" s="1"/>
      <c r="H378" s="1"/>
      <c r="I378" s="1"/>
      <c r="J378" s="42"/>
      <c r="K378" s="42"/>
      <c r="L378" s="42"/>
      <c r="M378" s="1"/>
      <c r="N378" s="19"/>
    </row>
    <row r="379" spans="2:14" x14ac:dyDescent="0.25">
      <c r="B379" s="1"/>
      <c r="C379" s="1"/>
      <c r="D379" s="1"/>
      <c r="E379" s="1"/>
      <c r="F379" s="42"/>
      <c r="G379" s="1"/>
      <c r="H379" s="1"/>
      <c r="I379" s="1"/>
      <c r="J379" s="42"/>
      <c r="K379" s="42"/>
      <c r="L379" s="42"/>
      <c r="M379" s="1"/>
      <c r="N379" s="19"/>
    </row>
    <row r="380" spans="2:14" x14ac:dyDescent="0.25">
      <c r="B380" s="1"/>
      <c r="C380" s="1"/>
      <c r="D380" s="1"/>
      <c r="E380" s="1"/>
      <c r="F380" s="42"/>
      <c r="G380" s="1"/>
      <c r="H380" s="1"/>
      <c r="I380" s="1"/>
      <c r="J380" s="42"/>
      <c r="K380" s="42"/>
      <c r="L380" s="42"/>
      <c r="M380" s="1"/>
      <c r="N380" s="19"/>
    </row>
    <row r="381" spans="2:14" x14ac:dyDescent="0.25">
      <c r="B381" s="1"/>
      <c r="C381" s="1"/>
      <c r="D381" s="1"/>
      <c r="E381" s="1"/>
      <c r="F381" s="42"/>
      <c r="G381" s="1"/>
      <c r="H381" s="1"/>
      <c r="I381" s="1"/>
      <c r="J381" s="42"/>
      <c r="K381" s="42"/>
      <c r="L381" s="42"/>
      <c r="M381" s="1"/>
      <c r="N381" s="19"/>
    </row>
    <row r="382" spans="2:14" x14ac:dyDescent="0.25">
      <c r="B382" s="1"/>
      <c r="C382" s="1"/>
      <c r="D382" s="1"/>
      <c r="E382" s="1"/>
      <c r="F382" s="42"/>
      <c r="G382" s="1"/>
      <c r="H382" s="1"/>
      <c r="I382" s="1"/>
      <c r="J382" s="42"/>
      <c r="K382" s="42"/>
      <c r="L382" s="42"/>
      <c r="M382" s="1"/>
      <c r="N382" s="19"/>
    </row>
    <row r="383" spans="2:14" x14ac:dyDescent="0.25">
      <c r="B383" s="1"/>
      <c r="C383" s="1"/>
      <c r="D383" s="1"/>
      <c r="E383" s="1"/>
      <c r="F383" s="42"/>
      <c r="G383" s="1"/>
      <c r="H383" s="1"/>
      <c r="I383" s="1"/>
      <c r="J383" s="42"/>
      <c r="K383" s="42"/>
      <c r="L383" s="42"/>
      <c r="M383" s="1"/>
      <c r="N383" s="19"/>
    </row>
    <row r="384" spans="2:14" x14ac:dyDescent="0.25">
      <c r="B384" s="1"/>
      <c r="C384" s="1"/>
      <c r="D384" s="1"/>
      <c r="E384" s="1"/>
      <c r="F384" s="42"/>
      <c r="G384" s="1"/>
      <c r="H384" s="1"/>
      <c r="I384" s="1"/>
      <c r="J384" s="42"/>
      <c r="K384" s="42"/>
      <c r="L384" s="42"/>
      <c r="M384" s="1"/>
      <c r="N384" s="19"/>
    </row>
    <row r="385" spans="2:14" x14ac:dyDescent="0.25">
      <c r="B385" s="1"/>
      <c r="C385" s="1"/>
      <c r="D385" s="1"/>
      <c r="E385" s="1"/>
      <c r="F385" s="42"/>
      <c r="G385" s="1"/>
      <c r="H385" s="1"/>
      <c r="I385" s="1"/>
      <c r="J385" s="42"/>
      <c r="K385" s="42"/>
      <c r="L385" s="42"/>
      <c r="M385" s="1"/>
      <c r="N385" s="19"/>
    </row>
    <row r="386" spans="2:14" x14ac:dyDescent="0.25">
      <c r="B386" s="1"/>
      <c r="C386" s="1"/>
      <c r="D386" s="1"/>
      <c r="E386" s="1"/>
      <c r="F386" s="42"/>
      <c r="G386" s="1"/>
      <c r="H386" s="1"/>
      <c r="I386" s="1"/>
      <c r="J386" s="42"/>
      <c r="K386" s="42"/>
      <c r="L386" s="42"/>
      <c r="M386" s="1"/>
      <c r="N386" s="19"/>
    </row>
    <row r="387" spans="2:14" x14ac:dyDescent="0.25">
      <c r="B387" s="1"/>
      <c r="C387" s="1"/>
      <c r="D387" s="1"/>
      <c r="E387" s="1"/>
      <c r="F387" s="42"/>
      <c r="G387" s="1"/>
      <c r="H387" s="1"/>
      <c r="I387" s="1"/>
      <c r="J387" s="42"/>
      <c r="K387" s="42"/>
      <c r="L387" s="42"/>
      <c r="M387" s="1"/>
      <c r="N387" s="19"/>
    </row>
    <row r="388" spans="2:14" x14ac:dyDescent="0.25">
      <c r="B388" s="1"/>
      <c r="C388" s="1"/>
      <c r="D388" s="1"/>
      <c r="E388" s="1"/>
      <c r="F388" s="42"/>
      <c r="G388" s="1"/>
      <c r="H388" s="1"/>
      <c r="I388" s="1"/>
      <c r="J388" s="42"/>
      <c r="K388" s="42"/>
      <c r="L388" s="42"/>
      <c r="M388" s="1"/>
      <c r="N388" s="19"/>
    </row>
    <row r="389" spans="2:14" x14ac:dyDescent="0.25">
      <c r="B389" s="1"/>
      <c r="C389" s="1"/>
      <c r="D389" s="1"/>
      <c r="E389" s="1"/>
      <c r="F389" s="42"/>
      <c r="G389" s="1"/>
      <c r="H389" s="1"/>
      <c r="I389" s="1"/>
      <c r="J389" s="42"/>
      <c r="K389" s="42"/>
      <c r="L389" s="42"/>
      <c r="M389" s="1"/>
      <c r="N389" s="19"/>
    </row>
    <row r="390" spans="2:14" x14ac:dyDescent="0.25">
      <c r="B390" s="1"/>
      <c r="C390" s="1"/>
      <c r="D390" s="1"/>
      <c r="E390" s="1"/>
      <c r="F390" s="42"/>
      <c r="G390" s="1"/>
      <c r="H390" s="1"/>
      <c r="I390" s="1"/>
      <c r="J390" s="42"/>
      <c r="K390" s="42"/>
      <c r="L390" s="42"/>
      <c r="M390" s="1"/>
      <c r="N390" s="19"/>
    </row>
    <row r="391" spans="2:14" x14ac:dyDescent="0.25">
      <c r="B391" s="1"/>
      <c r="C391" s="1"/>
      <c r="D391" s="1"/>
      <c r="E391" s="1"/>
      <c r="F391" s="42"/>
      <c r="G391" s="1"/>
      <c r="H391" s="1"/>
      <c r="I391" s="1"/>
      <c r="J391" s="42"/>
      <c r="K391" s="42"/>
      <c r="L391" s="42"/>
      <c r="M391" s="1"/>
      <c r="N391" s="19"/>
    </row>
    <row r="392" spans="2:14" x14ac:dyDescent="0.25">
      <c r="B392" s="1"/>
      <c r="C392" s="1"/>
      <c r="D392" s="1"/>
      <c r="E392" s="1"/>
      <c r="F392" s="42"/>
      <c r="G392" s="1"/>
      <c r="H392" s="1"/>
      <c r="I392" s="1"/>
      <c r="J392" s="42"/>
      <c r="K392" s="42"/>
      <c r="L392" s="42"/>
      <c r="M392" s="1"/>
      <c r="N392" s="19"/>
    </row>
    <row r="393" spans="2:14" x14ac:dyDescent="0.25">
      <c r="B393" s="1"/>
      <c r="C393" s="1"/>
      <c r="D393" s="1"/>
      <c r="E393" s="1"/>
      <c r="F393" s="42"/>
      <c r="G393" s="1"/>
      <c r="H393" s="1"/>
      <c r="I393" s="1"/>
      <c r="J393" s="42"/>
      <c r="K393" s="42"/>
      <c r="L393" s="42"/>
      <c r="M393" s="1"/>
      <c r="N393" s="19"/>
    </row>
    <row r="394" spans="2:14" x14ac:dyDescent="0.25">
      <c r="B394" s="1"/>
      <c r="C394" s="1"/>
      <c r="D394" s="1"/>
      <c r="E394" s="1"/>
      <c r="F394" s="42"/>
      <c r="G394" s="1"/>
      <c r="H394" s="1"/>
      <c r="I394" s="1"/>
      <c r="J394" s="42"/>
      <c r="K394" s="42"/>
      <c r="L394" s="42"/>
      <c r="M394" s="1"/>
      <c r="N394" s="19"/>
    </row>
    <row r="395" spans="2:14" x14ac:dyDescent="0.25">
      <c r="B395" s="1"/>
      <c r="C395" s="1"/>
      <c r="D395" s="1"/>
      <c r="E395" s="1"/>
      <c r="F395" s="42"/>
      <c r="G395" s="1"/>
      <c r="H395" s="1"/>
      <c r="I395" s="1"/>
      <c r="J395" s="42"/>
      <c r="K395" s="42"/>
      <c r="L395" s="42"/>
      <c r="M395" s="1"/>
      <c r="N395" s="19"/>
    </row>
    <row r="396" spans="2:14" x14ac:dyDescent="0.25">
      <c r="B396" s="1"/>
      <c r="C396" s="1"/>
      <c r="D396" s="1"/>
      <c r="E396" s="1"/>
      <c r="F396" s="42"/>
      <c r="G396" s="1"/>
      <c r="H396" s="1"/>
      <c r="I396" s="1"/>
      <c r="J396" s="42"/>
      <c r="K396" s="42"/>
      <c r="L396" s="42"/>
      <c r="M396" s="1"/>
      <c r="N396" s="19"/>
    </row>
    <row r="397" spans="2:14" x14ac:dyDescent="0.25">
      <c r="B397" s="1"/>
      <c r="C397" s="1"/>
      <c r="D397" s="1"/>
      <c r="E397" s="1"/>
      <c r="F397" s="42"/>
      <c r="G397" s="1"/>
      <c r="H397" s="1"/>
      <c r="I397" s="1"/>
      <c r="J397" s="42"/>
      <c r="K397" s="42"/>
      <c r="L397" s="42"/>
      <c r="M397" s="1"/>
      <c r="N397" s="19"/>
    </row>
    <row r="398" spans="2:14" x14ac:dyDescent="0.25">
      <c r="B398" s="1"/>
      <c r="C398" s="1"/>
      <c r="D398" s="1"/>
      <c r="E398" s="1"/>
      <c r="F398" s="42"/>
      <c r="G398" s="1"/>
      <c r="H398" s="1"/>
      <c r="I398" s="1"/>
      <c r="J398" s="42"/>
      <c r="K398" s="42"/>
      <c r="L398" s="42"/>
      <c r="M398" s="1"/>
      <c r="N398" s="19"/>
    </row>
    <row r="399" spans="2:14" x14ac:dyDescent="0.25">
      <c r="B399" s="1"/>
      <c r="C399" s="1"/>
      <c r="D399" s="1"/>
      <c r="E399" s="1"/>
      <c r="F399" s="42"/>
      <c r="G399" s="1"/>
      <c r="H399" s="1"/>
      <c r="I399" s="1"/>
      <c r="J399" s="42"/>
      <c r="K399" s="42"/>
      <c r="L399" s="42"/>
      <c r="M399" s="1"/>
      <c r="N399" s="19"/>
    </row>
    <row r="400" spans="2:14" x14ac:dyDescent="0.25">
      <c r="B400" s="1"/>
      <c r="C400" s="1"/>
      <c r="D400" s="1"/>
      <c r="E400" s="1"/>
      <c r="F400" s="42"/>
      <c r="G400" s="1"/>
      <c r="H400" s="1"/>
      <c r="I400" s="1"/>
      <c r="J400" s="42"/>
      <c r="K400" s="42"/>
      <c r="L400" s="42"/>
      <c r="M400" s="1"/>
      <c r="N400" s="19"/>
    </row>
    <row r="401" spans="2:14" x14ac:dyDescent="0.25">
      <c r="B401" s="1"/>
      <c r="C401" s="1"/>
      <c r="D401" s="1"/>
      <c r="E401" s="1"/>
      <c r="F401" s="42"/>
      <c r="G401" s="1"/>
      <c r="H401" s="1"/>
      <c r="I401" s="1"/>
      <c r="J401" s="42"/>
      <c r="K401" s="42"/>
      <c r="L401" s="42"/>
      <c r="M401" s="1"/>
      <c r="N401" s="19"/>
    </row>
    <row r="402" spans="2:14" x14ac:dyDescent="0.25">
      <c r="B402" s="1"/>
      <c r="C402" s="1"/>
      <c r="D402" s="1"/>
      <c r="E402" s="1"/>
      <c r="F402" s="42"/>
      <c r="G402" s="1"/>
      <c r="H402" s="1"/>
      <c r="I402" s="1"/>
      <c r="J402" s="42"/>
      <c r="K402" s="42"/>
      <c r="L402" s="42"/>
      <c r="M402" s="1"/>
      <c r="N402" s="19"/>
    </row>
    <row r="403" spans="2:14" x14ac:dyDescent="0.25">
      <c r="B403" s="1"/>
      <c r="C403" s="1"/>
      <c r="D403" s="1"/>
      <c r="E403" s="1"/>
      <c r="F403" s="42"/>
      <c r="G403" s="1"/>
      <c r="H403" s="1"/>
      <c r="I403" s="1"/>
      <c r="J403" s="42"/>
      <c r="K403" s="42"/>
      <c r="L403" s="42"/>
      <c r="M403" s="1"/>
      <c r="N403" s="19"/>
    </row>
    <row r="404" spans="2:14" x14ac:dyDescent="0.25">
      <c r="B404" s="1"/>
      <c r="C404" s="1"/>
      <c r="D404" s="1"/>
      <c r="E404" s="1"/>
      <c r="F404" s="42"/>
      <c r="G404" s="1"/>
      <c r="H404" s="1"/>
      <c r="I404" s="1"/>
      <c r="J404" s="42"/>
      <c r="K404" s="42"/>
      <c r="L404" s="42"/>
      <c r="M404" s="1"/>
      <c r="N404" s="19"/>
    </row>
    <row r="405" spans="2:14" x14ac:dyDescent="0.25">
      <c r="B405" s="1"/>
      <c r="C405" s="1"/>
      <c r="D405" s="1"/>
      <c r="E405" s="1"/>
      <c r="F405" s="42"/>
      <c r="G405" s="1"/>
      <c r="H405" s="1"/>
      <c r="I405" s="1"/>
      <c r="J405" s="42"/>
      <c r="K405" s="42"/>
      <c r="L405" s="42"/>
      <c r="M405" s="1"/>
      <c r="N405" s="19"/>
    </row>
    <row r="406" spans="2:14" x14ac:dyDescent="0.25">
      <c r="B406" s="1"/>
      <c r="C406" s="1"/>
      <c r="D406" s="1"/>
      <c r="E406" s="1"/>
      <c r="F406" s="42"/>
      <c r="G406" s="1"/>
      <c r="H406" s="1"/>
      <c r="I406" s="1"/>
      <c r="J406" s="42"/>
      <c r="K406" s="42"/>
      <c r="L406" s="42"/>
      <c r="M406" s="1"/>
      <c r="N406" s="19"/>
    </row>
    <row r="407" spans="2:14" x14ac:dyDescent="0.25">
      <c r="B407" s="1"/>
      <c r="C407" s="1"/>
      <c r="D407" s="1"/>
      <c r="E407" s="1"/>
      <c r="F407" s="42"/>
      <c r="G407" s="1"/>
      <c r="H407" s="1"/>
      <c r="I407" s="1"/>
      <c r="J407" s="42"/>
      <c r="K407" s="42"/>
      <c r="L407" s="42"/>
      <c r="M407" s="1"/>
      <c r="N407" s="19"/>
    </row>
    <row r="408" spans="2:14" x14ac:dyDescent="0.25">
      <c r="B408" s="1"/>
      <c r="C408" s="1"/>
      <c r="D408" s="1"/>
      <c r="E408" s="1"/>
      <c r="F408" s="42"/>
      <c r="G408" s="1"/>
      <c r="H408" s="1"/>
      <c r="I408" s="1"/>
      <c r="J408" s="42"/>
      <c r="K408" s="42"/>
      <c r="L408" s="42"/>
      <c r="M408" s="1"/>
      <c r="N408" s="19"/>
    </row>
    <row r="409" spans="2:14" x14ac:dyDescent="0.25">
      <c r="B409" s="1"/>
      <c r="C409" s="1"/>
      <c r="D409" s="1"/>
      <c r="E409" s="1"/>
      <c r="F409" s="42"/>
      <c r="G409" s="1"/>
      <c r="H409" s="1"/>
      <c r="I409" s="1"/>
      <c r="J409" s="42"/>
      <c r="K409" s="42"/>
      <c r="L409" s="42"/>
      <c r="M409" s="1"/>
      <c r="N409" s="19"/>
    </row>
    <row r="410" spans="2:14" x14ac:dyDescent="0.25">
      <c r="B410" s="1"/>
      <c r="C410" s="1"/>
      <c r="D410" s="1"/>
      <c r="E410" s="1"/>
      <c r="F410" s="42"/>
      <c r="G410" s="1"/>
      <c r="H410" s="1"/>
      <c r="I410" s="1"/>
      <c r="J410" s="42"/>
      <c r="K410" s="42"/>
      <c r="L410" s="42"/>
      <c r="M410" s="1"/>
      <c r="N410" s="19"/>
    </row>
    <row r="411" spans="2:14" x14ac:dyDescent="0.25">
      <c r="J411" s="50"/>
      <c r="L411" s="50"/>
      <c r="N411" s="19"/>
    </row>
    <row r="412" spans="2:14" x14ac:dyDescent="0.25">
      <c r="J412" s="50"/>
      <c r="L412" s="50"/>
      <c r="N412" s="19"/>
    </row>
    <row r="413" spans="2:14" x14ac:dyDescent="0.25">
      <c r="J413" s="50"/>
      <c r="L413" s="50"/>
      <c r="N413" s="19"/>
    </row>
    <row r="414" spans="2:14" x14ac:dyDescent="0.25">
      <c r="J414" s="50"/>
      <c r="L414" s="50"/>
      <c r="N414" s="19"/>
    </row>
    <row r="415" spans="2:14" x14ac:dyDescent="0.25">
      <c r="J415" s="50"/>
      <c r="L415" s="50"/>
      <c r="N415" s="19"/>
    </row>
    <row r="416" spans="2:14" x14ac:dyDescent="0.25">
      <c r="J416" s="50"/>
      <c r="L416" s="50"/>
      <c r="N416" s="19"/>
    </row>
    <row r="417" spans="10:14" x14ac:dyDescent="0.25">
      <c r="J417" s="50"/>
      <c r="L417" s="50"/>
      <c r="N417" s="19"/>
    </row>
    <row r="418" spans="10:14" x14ac:dyDescent="0.25">
      <c r="J418" s="50"/>
      <c r="L418" s="50"/>
      <c r="N418" s="19"/>
    </row>
    <row r="419" spans="10:14" x14ac:dyDescent="0.25">
      <c r="J419" s="50"/>
      <c r="L419" s="50"/>
      <c r="N419" s="19"/>
    </row>
    <row r="420" spans="10:14" x14ac:dyDescent="0.25">
      <c r="J420" s="50"/>
      <c r="L420" s="50"/>
      <c r="N420" s="19"/>
    </row>
    <row r="421" spans="10:14" x14ac:dyDescent="0.25">
      <c r="J421" s="50"/>
      <c r="L421" s="50"/>
      <c r="N421" s="19"/>
    </row>
    <row r="422" spans="10:14" x14ac:dyDescent="0.25">
      <c r="J422" s="50"/>
      <c r="L422" s="50"/>
      <c r="N422" s="19"/>
    </row>
    <row r="423" spans="10:14" x14ac:dyDescent="0.25">
      <c r="J423" s="50"/>
      <c r="L423" s="50"/>
      <c r="N423" s="19"/>
    </row>
    <row r="424" spans="10:14" x14ac:dyDescent="0.25">
      <c r="J424" s="50"/>
      <c r="L424" s="50"/>
      <c r="N424" s="19"/>
    </row>
    <row r="425" spans="10:14" x14ac:dyDescent="0.25">
      <c r="J425" s="50"/>
      <c r="L425" s="50"/>
      <c r="N425" s="19"/>
    </row>
    <row r="426" spans="10:14" x14ac:dyDescent="0.25">
      <c r="J426" s="50"/>
      <c r="L426" s="50"/>
      <c r="N426" s="19"/>
    </row>
    <row r="427" spans="10:14" x14ac:dyDescent="0.25">
      <c r="J427" s="50"/>
      <c r="L427" s="50"/>
      <c r="N427" s="19"/>
    </row>
    <row r="428" spans="10:14" x14ac:dyDescent="0.25">
      <c r="J428" s="50"/>
      <c r="L428" s="50"/>
      <c r="N428" s="19"/>
    </row>
    <row r="429" spans="10:14" x14ac:dyDescent="0.25">
      <c r="J429" s="50"/>
      <c r="L429" s="50"/>
      <c r="N429" s="19"/>
    </row>
    <row r="430" spans="10:14" x14ac:dyDescent="0.25">
      <c r="J430" s="50"/>
      <c r="L430" s="50"/>
      <c r="N430" s="19"/>
    </row>
    <row r="431" spans="10:14" x14ac:dyDescent="0.25">
      <c r="J431" s="50"/>
      <c r="L431" s="50"/>
      <c r="N431" s="19"/>
    </row>
    <row r="432" spans="10:14" x14ac:dyDescent="0.25">
      <c r="J432" s="50"/>
      <c r="L432" s="50"/>
      <c r="N432" s="19"/>
    </row>
    <row r="433" spans="10:14" x14ac:dyDescent="0.25">
      <c r="J433" s="50"/>
      <c r="L433" s="50"/>
      <c r="N433" s="19"/>
    </row>
    <row r="434" spans="10:14" x14ac:dyDescent="0.25">
      <c r="J434" s="50"/>
      <c r="L434" s="50"/>
      <c r="N434" s="19"/>
    </row>
    <row r="435" spans="10:14" x14ac:dyDescent="0.25">
      <c r="J435" s="50"/>
      <c r="L435" s="50"/>
      <c r="N435" s="19"/>
    </row>
    <row r="436" spans="10:14" x14ac:dyDescent="0.25">
      <c r="J436" s="50"/>
      <c r="L436" s="50"/>
      <c r="N436" s="19"/>
    </row>
    <row r="437" spans="10:14" x14ac:dyDescent="0.25">
      <c r="J437" s="50"/>
      <c r="L437" s="50"/>
      <c r="N437" s="19"/>
    </row>
    <row r="438" spans="10:14" x14ac:dyDescent="0.25">
      <c r="J438" s="50"/>
      <c r="L438" s="50"/>
      <c r="N438" s="19"/>
    </row>
    <row r="439" spans="10:14" x14ac:dyDescent="0.25">
      <c r="J439" s="50"/>
      <c r="L439" s="50"/>
      <c r="N439" s="19"/>
    </row>
    <row r="440" spans="10:14" x14ac:dyDescent="0.25">
      <c r="J440" s="50"/>
      <c r="L440" s="50"/>
      <c r="N440" s="19"/>
    </row>
    <row r="441" spans="10:14" x14ac:dyDescent="0.25">
      <c r="J441" s="50"/>
      <c r="L441" s="50"/>
      <c r="N441" s="19"/>
    </row>
    <row r="442" spans="10:14" x14ac:dyDescent="0.25">
      <c r="J442" s="50"/>
      <c r="L442" s="50"/>
      <c r="N442" s="19"/>
    </row>
    <row r="443" spans="10:14" x14ac:dyDescent="0.25">
      <c r="J443" s="50"/>
      <c r="L443" s="50"/>
      <c r="N443" s="19"/>
    </row>
    <row r="444" spans="10:14" x14ac:dyDescent="0.25">
      <c r="J444" s="50"/>
      <c r="L444" s="50"/>
      <c r="N444" s="19"/>
    </row>
    <row r="445" spans="10:14" x14ac:dyDescent="0.25">
      <c r="J445" s="50"/>
      <c r="L445" s="50"/>
      <c r="N445" s="19"/>
    </row>
    <row r="446" spans="10:14" x14ac:dyDescent="0.25">
      <c r="J446" s="50"/>
      <c r="L446" s="50"/>
      <c r="N446" s="19"/>
    </row>
    <row r="447" spans="10:14" x14ac:dyDescent="0.25">
      <c r="J447" s="50"/>
      <c r="L447" s="50"/>
      <c r="N447" s="19"/>
    </row>
    <row r="448" spans="10:14" x14ac:dyDescent="0.25">
      <c r="J448" s="50"/>
      <c r="L448" s="50"/>
      <c r="N448" s="19"/>
    </row>
    <row r="449" spans="10:14" x14ac:dyDescent="0.25">
      <c r="J449" s="50"/>
      <c r="L449" s="50"/>
      <c r="N449" s="19"/>
    </row>
    <row r="450" spans="10:14" x14ac:dyDescent="0.25">
      <c r="J450" s="50"/>
      <c r="L450" s="50"/>
      <c r="N450" s="19"/>
    </row>
    <row r="451" spans="10:14" x14ac:dyDescent="0.25">
      <c r="J451" s="50"/>
      <c r="L451" s="50"/>
      <c r="N451" s="19"/>
    </row>
    <row r="452" spans="10:14" x14ac:dyDescent="0.25">
      <c r="J452" s="50"/>
      <c r="L452" s="50"/>
      <c r="N452" s="19"/>
    </row>
    <row r="453" spans="10:14" x14ac:dyDescent="0.25">
      <c r="J453" s="50"/>
      <c r="L453" s="50"/>
      <c r="N453" s="19"/>
    </row>
    <row r="454" spans="10:14" x14ac:dyDescent="0.25">
      <c r="J454" s="50"/>
      <c r="L454" s="50"/>
      <c r="N454" s="19"/>
    </row>
    <row r="455" spans="10:14" x14ac:dyDescent="0.25">
      <c r="J455" s="50"/>
      <c r="L455" s="50"/>
      <c r="N455" s="19"/>
    </row>
    <row r="456" spans="10:14" x14ac:dyDescent="0.25">
      <c r="J456" s="50"/>
      <c r="L456" s="50"/>
      <c r="N456" s="19"/>
    </row>
    <row r="457" spans="10:14" x14ac:dyDescent="0.25">
      <c r="J457" s="50"/>
      <c r="L457" s="50"/>
    </row>
    <row r="458" spans="10:14" x14ac:dyDescent="0.25">
      <c r="J458" s="50"/>
      <c r="L458" s="50"/>
    </row>
    <row r="459" spans="10:14" x14ac:dyDescent="0.25">
      <c r="J459" s="50"/>
      <c r="L459" s="50"/>
    </row>
    <row r="460" spans="10:14" x14ac:dyDescent="0.25">
      <c r="J460" s="50"/>
      <c r="L460" s="50"/>
    </row>
    <row r="461" spans="10:14" x14ac:dyDescent="0.25">
      <c r="J461" s="50"/>
      <c r="L461" s="50"/>
    </row>
    <row r="462" spans="10:14" x14ac:dyDescent="0.25">
      <c r="J462" s="50"/>
      <c r="L462" s="50"/>
    </row>
    <row r="463" spans="10:14" x14ac:dyDescent="0.25">
      <c r="J463" s="50"/>
      <c r="L463" s="50"/>
    </row>
    <row r="464" spans="10:14" x14ac:dyDescent="0.25">
      <c r="J464" s="50"/>
      <c r="L464" s="50"/>
    </row>
    <row r="465" spans="10:12" x14ac:dyDescent="0.25">
      <c r="J465" s="50"/>
      <c r="L465" s="50"/>
    </row>
    <row r="466" spans="10:12" x14ac:dyDescent="0.25">
      <c r="J466" s="50"/>
      <c r="L466" s="50"/>
    </row>
    <row r="467" spans="10:12" x14ac:dyDescent="0.25">
      <c r="J467" s="50"/>
      <c r="L467" s="50"/>
    </row>
    <row r="468" spans="10:12" x14ac:dyDescent="0.25">
      <c r="J468" s="50"/>
      <c r="L468" s="50"/>
    </row>
    <row r="469" spans="10:12" x14ac:dyDescent="0.25">
      <c r="J469" s="50"/>
      <c r="L469" s="50"/>
    </row>
    <row r="470" spans="10:12" x14ac:dyDescent="0.25">
      <c r="J470" s="50"/>
      <c r="L470" s="50"/>
    </row>
    <row r="471" spans="10:12" x14ac:dyDescent="0.25">
      <c r="J471" s="50"/>
      <c r="L471" s="50"/>
    </row>
    <row r="472" spans="10:12" x14ac:dyDescent="0.25">
      <c r="J472" s="50"/>
      <c r="L472" s="50"/>
    </row>
    <row r="473" spans="10:12" x14ac:dyDescent="0.25">
      <c r="J473" s="50"/>
      <c r="L473" s="50"/>
    </row>
    <row r="474" spans="10:12" x14ac:dyDescent="0.25">
      <c r="J474" s="50"/>
      <c r="L474" s="50"/>
    </row>
    <row r="475" spans="10:12" x14ac:dyDescent="0.25">
      <c r="J475" s="50"/>
      <c r="L475" s="50"/>
    </row>
    <row r="476" spans="10:12" x14ac:dyDescent="0.25">
      <c r="J476" s="50"/>
      <c r="L476" s="50"/>
    </row>
    <row r="477" spans="10:12" x14ac:dyDescent="0.25">
      <c r="J477" s="50"/>
      <c r="L477" s="50"/>
    </row>
    <row r="478" spans="10:12" x14ac:dyDescent="0.25">
      <c r="J478" s="50"/>
      <c r="L478" s="50"/>
    </row>
    <row r="479" spans="10:12" x14ac:dyDescent="0.25">
      <c r="J479" s="50"/>
      <c r="L479" s="50"/>
    </row>
    <row r="480" spans="10:12" x14ac:dyDescent="0.25">
      <c r="J480" s="50"/>
      <c r="L480" s="50"/>
    </row>
    <row r="481" spans="10:12" x14ac:dyDescent="0.25">
      <c r="J481" s="50"/>
      <c r="L481" s="50"/>
    </row>
    <row r="482" spans="10:12" x14ac:dyDescent="0.25">
      <c r="J482" s="50"/>
      <c r="L482" s="50"/>
    </row>
    <row r="483" spans="10:12" x14ac:dyDescent="0.25">
      <c r="J483" s="50"/>
      <c r="L483" s="50"/>
    </row>
    <row r="484" spans="10:12" x14ac:dyDescent="0.25">
      <c r="J484" s="50"/>
      <c r="L484" s="50"/>
    </row>
    <row r="485" spans="10:12" x14ac:dyDescent="0.25">
      <c r="J485" s="50"/>
      <c r="L485" s="50"/>
    </row>
    <row r="486" spans="10:12" x14ac:dyDescent="0.25">
      <c r="J486" s="50"/>
      <c r="L486" s="50"/>
    </row>
    <row r="487" spans="10:12" x14ac:dyDescent="0.25">
      <c r="J487" s="50"/>
      <c r="L487" s="50"/>
    </row>
    <row r="488" spans="10:12" x14ac:dyDescent="0.25">
      <c r="J488" s="50"/>
      <c r="L488" s="50"/>
    </row>
    <row r="489" spans="10:12" x14ac:dyDescent="0.25">
      <c r="J489" s="50"/>
      <c r="L489" s="50"/>
    </row>
    <row r="490" spans="10:12" x14ac:dyDescent="0.25">
      <c r="J490" s="50"/>
      <c r="L490" s="50"/>
    </row>
    <row r="491" spans="10:12" x14ac:dyDescent="0.25">
      <c r="J491" s="50"/>
      <c r="L491" s="50"/>
    </row>
    <row r="492" spans="10:12" x14ac:dyDescent="0.25">
      <c r="J492" s="50"/>
      <c r="L492" s="50"/>
    </row>
    <row r="493" spans="10:12" x14ac:dyDescent="0.25">
      <c r="J493" s="50"/>
      <c r="L493" s="50"/>
    </row>
    <row r="494" spans="10:12" x14ac:dyDescent="0.25">
      <c r="J494" s="50"/>
      <c r="L494" s="50"/>
    </row>
    <row r="495" spans="10:12" x14ac:dyDescent="0.25">
      <c r="J495" s="50"/>
      <c r="L495" s="50"/>
    </row>
    <row r="496" spans="10:12" x14ac:dyDescent="0.25">
      <c r="J496" s="50"/>
      <c r="L496" s="50"/>
    </row>
    <row r="497" spans="10:12" x14ac:dyDescent="0.25">
      <c r="J497" s="50"/>
      <c r="L497" s="50"/>
    </row>
    <row r="498" spans="10:12" x14ac:dyDescent="0.25">
      <c r="J498" s="50"/>
      <c r="L498" s="50"/>
    </row>
    <row r="499" spans="10:12" x14ac:dyDescent="0.25">
      <c r="J499" s="50"/>
      <c r="L499" s="50"/>
    </row>
    <row r="500" spans="10:12" x14ac:dyDescent="0.25">
      <c r="J500" s="50"/>
      <c r="L500" s="50"/>
    </row>
    <row r="501" spans="10:12" x14ac:dyDescent="0.25">
      <c r="J501" s="50"/>
      <c r="L501" s="50"/>
    </row>
    <row r="502" spans="10:12" x14ac:dyDescent="0.25">
      <c r="J502" s="50"/>
      <c r="L502" s="50"/>
    </row>
    <row r="503" spans="10:12" x14ac:dyDescent="0.25">
      <c r="J503" s="50"/>
      <c r="L503" s="50"/>
    </row>
    <row r="504" spans="10:12" x14ac:dyDescent="0.25">
      <c r="J504" s="50"/>
      <c r="L504" s="50"/>
    </row>
    <row r="505" spans="10:12" x14ac:dyDescent="0.25">
      <c r="J505" s="50"/>
      <c r="L505" s="50"/>
    </row>
    <row r="506" spans="10:12" x14ac:dyDescent="0.25">
      <c r="J506" s="50"/>
      <c r="L506" s="50"/>
    </row>
    <row r="507" spans="10:12" x14ac:dyDescent="0.25">
      <c r="J507" s="50"/>
      <c r="L507" s="50"/>
    </row>
    <row r="508" spans="10:12" x14ac:dyDescent="0.25">
      <c r="J508" s="50"/>
      <c r="L508" s="50"/>
    </row>
    <row r="509" spans="10:12" x14ac:dyDescent="0.25">
      <c r="J509" s="50"/>
      <c r="L509" s="50"/>
    </row>
    <row r="510" spans="10:12" x14ac:dyDescent="0.25">
      <c r="J510" s="50"/>
      <c r="L510" s="50"/>
    </row>
    <row r="511" spans="10:12" x14ac:dyDescent="0.25">
      <c r="J511" s="50"/>
      <c r="L511" s="50"/>
    </row>
    <row r="512" spans="10:12" x14ac:dyDescent="0.25">
      <c r="J512" s="50"/>
      <c r="L512" s="50"/>
    </row>
    <row r="513" spans="10:12" x14ac:dyDescent="0.25">
      <c r="J513" s="50"/>
      <c r="L513" s="50"/>
    </row>
    <row r="514" spans="10:12" x14ac:dyDescent="0.25">
      <c r="J514" s="50"/>
      <c r="L514" s="50"/>
    </row>
    <row r="515" spans="10:12" x14ac:dyDescent="0.25">
      <c r="J515" s="50"/>
      <c r="L515" s="50"/>
    </row>
    <row r="516" spans="10:12" x14ac:dyDescent="0.25">
      <c r="J516" s="50"/>
      <c r="L516" s="50"/>
    </row>
    <row r="517" spans="10:12" x14ac:dyDescent="0.25">
      <c r="J517" s="50"/>
      <c r="L517" s="50"/>
    </row>
    <row r="518" spans="10:12" x14ac:dyDescent="0.25">
      <c r="J518" s="50"/>
      <c r="L518" s="50"/>
    </row>
    <row r="519" spans="10:12" x14ac:dyDescent="0.25">
      <c r="J519" s="50"/>
      <c r="L519" s="50"/>
    </row>
    <row r="520" spans="10:12" x14ac:dyDescent="0.25">
      <c r="J520" s="50"/>
      <c r="L520" s="50"/>
    </row>
    <row r="521" spans="10:12" x14ac:dyDescent="0.25">
      <c r="J521" s="50"/>
      <c r="L521" s="50"/>
    </row>
    <row r="522" spans="10:12" x14ac:dyDescent="0.25">
      <c r="J522" s="50"/>
      <c r="L522" s="50"/>
    </row>
    <row r="523" spans="10:12" x14ac:dyDescent="0.25">
      <c r="J523" s="50"/>
      <c r="L523" s="50"/>
    </row>
    <row r="524" spans="10:12" x14ac:dyDescent="0.25">
      <c r="J524" s="50"/>
      <c r="L524" s="50"/>
    </row>
    <row r="525" spans="10:12" x14ac:dyDescent="0.25">
      <c r="J525" s="50"/>
      <c r="L525" s="50"/>
    </row>
    <row r="526" spans="10:12" x14ac:dyDescent="0.25">
      <c r="J526" s="50"/>
      <c r="L526" s="50"/>
    </row>
    <row r="527" spans="10:12" x14ac:dyDescent="0.25">
      <c r="J527" s="50"/>
      <c r="L527" s="50"/>
    </row>
    <row r="528" spans="10:12" x14ac:dyDescent="0.25">
      <c r="J528" s="50"/>
      <c r="L528" s="50"/>
    </row>
    <row r="529" spans="10:12" x14ac:dyDescent="0.25">
      <c r="J529" s="50"/>
      <c r="L529" s="50"/>
    </row>
    <row r="530" spans="10:12" x14ac:dyDescent="0.25">
      <c r="J530" s="50"/>
      <c r="L530" s="50"/>
    </row>
    <row r="531" spans="10:12" x14ac:dyDescent="0.25">
      <c r="J531" s="50"/>
      <c r="L531" s="50"/>
    </row>
    <row r="532" spans="10:12" x14ac:dyDescent="0.25">
      <c r="J532" s="50"/>
      <c r="L532" s="50"/>
    </row>
    <row r="533" spans="10:12" x14ac:dyDescent="0.25">
      <c r="J533" s="50"/>
      <c r="L533" s="50"/>
    </row>
    <row r="534" spans="10:12" x14ac:dyDescent="0.25">
      <c r="J534" s="50"/>
      <c r="L534" s="50"/>
    </row>
    <row r="535" spans="10:12" x14ac:dyDescent="0.25">
      <c r="J535" s="50"/>
      <c r="L535" s="50"/>
    </row>
    <row r="536" spans="10:12" x14ac:dyDescent="0.25">
      <c r="J536" s="50"/>
      <c r="L536" s="50"/>
    </row>
    <row r="537" spans="10:12" x14ac:dyDescent="0.25">
      <c r="J537" s="50"/>
      <c r="L537" s="50"/>
    </row>
    <row r="538" spans="10:12" x14ac:dyDescent="0.25">
      <c r="J538" s="50"/>
      <c r="L538" s="50"/>
    </row>
    <row r="539" spans="10:12" x14ac:dyDescent="0.25">
      <c r="J539" s="50"/>
      <c r="L539" s="50"/>
    </row>
    <row r="540" spans="10:12" x14ac:dyDescent="0.25">
      <c r="J540" s="50"/>
      <c r="L540" s="50"/>
    </row>
    <row r="541" spans="10:12" x14ac:dyDescent="0.25">
      <c r="J541" s="50"/>
      <c r="L541" s="50"/>
    </row>
    <row r="542" spans="10:12" x14ac:dyDescent="0.25">
      <c r="J542" s="50"/>
      <c r="L542" s="50"/>
    </row>
    <row r="543" spans="10:12" x14ac:dyDescent="0.25">
      <c r="J543" s="50"/>
      <c r="L543" s="50"/>
    </row>
    <row r="544" spans="10:12" x14ac:dyDescent="0.25">
      <c r="J544" s="50"/>
      <c r="L544" s="50"/>
    </row>
    <row r="545" spans="10:12" x14ac:dyDescent="0.25">
      <c r="J545" s="50"/>
      <c r="L545" s="50"/>
    </row>
    <row r="546" spans="10:12" x14ac:dyDescent="0.25">
      <c r="J546" s="50"/>
      <c r="L546" s="50"/>
    </row>
    <row r="547" spans="10:12" x14ac:dyDescent="0.25">
      <c r="J547" s="50"/>
      <c r="L547" s="50"/>
    </row>
    <row r="548" spans="10:12" x14ac:dyDescent="0.25">
      <c r="J548" s="50"/>
      <c r="L548" s="50"/>
    </row>
    <row r="549" spans="10:12" x14ac:dyDescent="0.25">
      <c r="J549" s="50"/>
      <c r="L549" s="50"/>
    </row>
    <row r="550" spans="10:12" x14ac:dyDescent="0.25">
      <c r="J550" s="50"/>
      <c r="L550" s="50"/>
    </row>
    <row r="551" spans="10:12" x14ac:dyDescent="0.25">
      <c r="J551" s="50"/>
      <c r="L551" s="50"/>
    </row>
    <row r="552" spans="10:12" x14ac:dyDescent="0.25">
      <c r="J552" s="50"/>
      <c r="L552" s="50"/>
    </row>
    <row r="553" spans="10:12" x14ac:dyDescent="0.25">
      <c r="J553" s="50"/>
      <c r="L553" s="50"/>
    </row>
    <row r="554" spans="10:12" x14ac:dyDescent="0.25">
      <c r="J554" s="50"/>
      <c r="L554" s="50"/>
    </row>
    <row r="555" spans="10:12" x14ac:dyDescent="0.25">
      <c r="J555" s="50"/>
      <c r="L555" s="50"/>
    </row>
    <row r="556" spans="10:12" x14ac:dyDescent="0.25">
      <c r="J556" s="50"/>
      <c r="L556" s="50"/>
    </row>
    <row r="557" spans="10:12" x14ac:dyDescent="0.25">
      <c r="J557" s="50"/>
      <c r="L557" s="50"/>
    </row>
    <row r="558" spans="10:12" x14ac:dyDescent="0.25">
      <c r="J558" s="50"/>
      <c r="L558" s="50"/>
    </row>
    <row r="559" spans="10:12" x14ac:dyDescent="0.25">
      <c r="J559" s="50"/>
      <c r="L559" s="50"/>
    </row>
    <row r="560" spans="10:12" x14ac:dyDescent="0.25">
      <c r="J560" s="50"/>
      <c r="L560" s="50"/>
    </row>
    <row r="561" spans="10:12" x14ac:dyDescent="0.25">
      <c r="J561" s="50"/>
      <c r="L561" s="50"/>
    </row>
    <row r="562" spans="10:12" x14ac:dyDescent="0.25">
      <c r="J562" s="50"/>
      <c r="L562" s="50"/>
    </row>
    <row r="563" spans="10:12" x14ac:dyDescent="0.25">
      <c r="J563" s="50"/>
      <c r="L563" s="50"/>
    </row>
    <row r="564" spans="10:12" x14ac:dyDescent="0.25">
      <c r="J564" s="50"/>
      <c r="L564" s="50"/>
    </row>
    <row r="565" spans="10:12" x14ac:dyDescent="0.25">
      <c r="J565" s="50"/>
      <c r="L565" s="50"/>
    </row>
    <row r="566" spans="10:12" x14ac:dyDescent="0.25">
      <c r="J566" s="50"/>
      <c r="L566" s="50"/>
    </row>
    <row r="567" spans="10:12" x14ac:dyDescent="0.25">
      <c r="J567" s="50"/>
      <c r="L567" s="50"/>
    </row>
    <row r="568" spans="10:12" x14ac:dyDescent="0.25">
      <c r="J568" s="50"/>
      <c r="L568" s="50"/>
    </row>
    <row r="569" spans="10:12" x14ac:dyDescent="0.25">
      <c r="J569" s="50"/>
      <c r="L569" s="50"/>
    </row>
    <row r="570" spans="10:12" x14ac:dyDescent="0.25">
      <c r="J570" s="50"/>
      <c r="L570" s="50"/>
    </row>
    <row r="571" spans="10:12" x14ac:dyDescent="0.25">
      <c r="J571" s="50"/>
      <c r="L571" s="50"/>
    </row>
    <row r="572" spans="10:12" x14ac:dyDescent="0.25">
      <c r="J572" s="50"/>
      <c r="L572" s="50"/>
    </row>
    <row r="573" spans="10:12" x14ac:dyDescent="0.25">
      <c r="J573" s="50"/>
      <c r="L573" s="50"/>
    </row>
    <row r="574" spans="10:12" x14ac:dyDescent="0.25">
      <c r="J574" s="50"/>
      <c r="L574" s="50"/>
    </row>
    <row r="575" spans="10:12" x14ac:dyDescent="0.25">
      <c r="J575" s="50"/>
      <c r="L575" s="50"/>
    </row>
    <row r="576" spans="10:12" x14ac:dyDescent="0.25">
      <c r="J576" s="50"/>
      <c r="L576" s="50"/>
    </row>
    <row r="577" spans="10:12" x14ac:dyDescent="0.25">
      <c r="J577" s="50"/>
      <c r="L577" s="50"/>
    </row>
    <row r="578" spans="10:12" x14ac:dyDescent="0.25">
      <c r="J578" s="50"/>
      <c r="L578" s="50"/>
    </row>
    <row r="579" spans="10:12" x14ac:dyDescent="0.25">
      <c r="J579" s="50"/>
      <c r="L579" s="50"/>
    </row>
    <row r="580" spans="10:12" x14ac:dyDescent="0.25">
      <c r="J580" s="50"/>
      <c r="L580" s="50"/>
    </row>
    <row r="581" spans="10:12" x14ac:dyDescent="0.25">
      <c r="J581" s="50"/>
      <c r="L581" s="50"/>
    </row>
    <row r="582" spans="10:12" x14ac:dyDescent="0.25">
      <c r="J582" s="50"/>
      <c r="L582" s="50"/>
    </row>
    <row r="583" spans="10:12" x14ac:dyDescent="0.25">
      <c r="J583" s="50"/>
      <c r="L583" s="50"/>
    </row>
    <row r="584" spans="10:12" x14ac:dyDescent="0.25">
      <c r="J584" s="50"/>
      <c r="L584" s="50"/>
    </row>
    <row r="585" spans="10:12" x14ac:dyDescent="0.25">
      <c r="J585" s="50"/>
      <c r="L585" s="50"/>
    </row>
    <row r="586" spans="10:12" x14ac:dyDescent="0.25">
      <c r="J586" s="50"/>
      <c r="L586" s="50"/>
    </row>
    <row r="587" spans="10:12" x14ac:dyDescent="0.25">
      <c r="J587" s="50"/>
      <c r="L587" s="50"/>
    </row>
    <row r="588" spans="10:12" x14ac:dyDescent="0.25">
      <c r="J588" s="50"/>
      <c r="L588" s="50"/>
    </row>
    <row r="589" spans="10:12" x14ac:dyDescent="0.25">
      <c r="J589" s="50"/>
      <c r="L589" s="50"/>
    </row>
    <row r="590" spans="10:12" x14ac:dyDescent="0.25">
      <c r="J590" s="50"/>
      <c r="L590" s="50"/>
    </row>
    <row r="591" spans="10:12" x14ac:dyDescent="0.25">
      <c r="J591" s="50"/>
      <c r="L591" s="50"/>
    </row>
    <row r="592" spans="10:12" x14ac:dyDescent="0.25">
      <c r="J592" s="50"/>
      <c r="L592" s="50"/>
    </row>
    <row r="593" spans="10:12" x14ac:dyDescent="0.25">
      <c r="J593" s="50"/>
      <c r="L593" s="50"/>
    </row>
    <row r="594" spans="10:12" x14ac:dyDescent="0.25">
      <c r="J594" s="50"/>
      <c r="L594" s="50"/>
    </row>
    <row r="595" spans="10:12" x14ac:dyDescent="0.25">
      <c r="J595" s="50"/>
      <c r="L595" s="50"/>
    </row>
    <row r="596" spans="10:12" x14ac:dyDescent="0.25">
      <c r="J596" s="50"/>
      <c r="L596" s="50"/>
    </row>
    <row r="597" spans="10:12" x14ac:dyDescent="0.25">
      <c r="J597" s="50"/>
      <c r="L597" s="50"/>
    </row>
    <row r="598" spans="10:12" x14ac:dyDescent="0.25">
      <c r="J598" s="50"/>
      <c r="L598" s="50"/>
    </row>
    <row r="599" spans="10:12" x14ac:dyDescent="0.25">
      <c r="J599" s="50"/>
      <c r="L599" s="50"/>
    </row>
    <row r="600" spans="10:12" x14ac:dyDescent="0.25">
      <c r="J600" s="50"/>
      <c r="L600" s="50"/>
    </row>
    <row r="601" spans="10:12" x14ac:dyDescent="0.25">
      <c r="J601" s="50"/>
      <c r="L601" s="50"/>
    </row>
    <row r="602" spans="10:12" x14ac:dyDescent="0.25">
      <c r="J602" s="50"/>
      <c r="L602" s="50"/>
    </row>
    <row r="603" spans="10:12" x14ac:dyDescent="0.25">
      <c r="J603" s="50"/>
      <c r="L603" s="50"/>
    </row>
    <row r="604" spans="10:12" x14ac:dyDescent="0.25">
      <c r="J604" s="50"/>
      <c r="L604" s="50"/>
    </row>
    <row r="605" spans="10:12" x14ac:dyDescent="0.25">
      <c r="J605" s="50"/>
      <c r="L605" s="50"/>
    </row>
    <row r="606" spans="10:12" x14ac:dyDescent="0.25">
      <c r="J606" s="50"/>
      <c r="L606" s="50"/>
    </row>
    <row r="607" spans="10:12" x14ac:dyDescent="0.25">
      <c r="J607" s="50"/>
      <c r="L607" s="50"/>
    </row>
    <row r="608" spans="10:12" x14ac:dyDescent="0.25">
      <c r="J608" s="50"/>
      <c r="L608" s="50"/>
    </row>
    <row r="609" spans="10:12" x14ac:dyDescent="0.25">
      <c r="J609" s="50"/>
      <c r="L609" s="50"/>
    </row>
    <row r="610" spans="10:12" x14ac:dyDescent="0.25">
      <c r="J610" s="50"/>
      <c r="L610" s="50"/>
    </row>
    <row r="611" spans="10:12" x14ac:dyDescent="0.25">
      <c r="J611" s="50"/>
      <c r="L611" s="50"/>
    </row>
    <row r="612" spans="10:12" x14ac:dyDescent="0.25">
      <c r="J612" s="50"/>
      <c r="L612" s="50"/>
    </row>
    <row r="613" spans="10:12" x14ac:dyDescent="0.25">
      <c r="J613" s="50"/>
      <c r="L613" s="50"/>
    </row>
    <row r="614" spans="10:12" x14ac:dyDescent="0.25">
      <c r="J614" s="50"/>
      <c r="L614" s="50"/>
    </row>
    <row r="615" spans="10:12" x14ac:dyDescent="0.25">
      <c r="J615" s="50"/>
      <c r="L615" s="50"/>
    </row>
    <row r="616" spans="10:12" x14ac:dyDescent="0.25">
      <c r="J616" s="50"/>
      <c r="L616" s="50"/>
    </row>
    <row r="617" spans="10:12" x14ac:dyDescent="0.25">
      <c r="J617" s="50"/>
      <c r="L617" s="50"/>
    </row>
    <row r="618" spans="10:12" x14ac:dyDescent="0.25">
      <c r="J618" s="50"/>
      <c r="L618" s="50"/>
    </row>
    <row r="619" spans="10:12" x14ac:dyDescent="0.25">
      <c r="J619" s="50"/>
      <c r="L619" s="50"/>
    </row>
    <row r="620" spans="10:12" x14ac:dyDescent="0.25">
      <c r="J620" s="50"/>
      <c r="L620" s="50"/>
    </row>
    <row r="621" spans="10:12" x14ac:dyDescent="0.25">
      <c r="J621" s="50"/>
      <c r="L621" s="50"/>
    </row>
    <row r="622" spans="10:12" x14ac:dyDescent="0.25">
      <c r="J622" s="50"/>
      <c r="L622" s="50"/>
    </row>
    <row r="623" spans="10:12" x14ac:dyDescent="0.25">
      <c r="J623" s="50"/>
      <c r="L623" s="50"/>
    </row>
    <row r="624" spans="10:12" x14ac:dyDescent="0.25">
      <c r="J624" s="50"/>
      <c r="L624" s="50"/>
    </row>
    <row r="625" spans="10:12" x14ac:dyDescent="0.25">
      <c r="J625" s="50"/>
      <c r="L625" s="50"/>
    </row>
    <row r="626" spans="10:12" x14ac:dyDescent="0.25">
      <c r="J626" s="50"/>
      <c r="L626" s="50"/>
    </row>
    <row r="627" spans="10:12" x14ac:dyDescent="0.25">
      <c r="J627" s="50"/>
      <c r="L627" s="50"/>
    </row>
    <row r="628" spans="10:12" x14ac:dyDescent="0.25">
      <c r="J628" s="50"/>
      <c r="L628" s="50"/>
    </row>
    <row r="629" spans="10:12" x14ac:dyDescent="0.25">
      <c r="J629" s="50"/>
      <c r="L629" s="50"/>
    </row>
    <row r="630" spans="10:12" x14ac:dyDescent="0.25">
      <c r="J630" s="50"/>
      <c r="L630" s="50"/>
    </row>
    <row r="631" spans="10:12" x14ac:dyDescent="0.25">
      <c r="J631" s="50"/>
      <c r="L631" s="50"/>
    </row>
    <row r="632" spans="10:12" x14ac:dyDescent="0.25">
      <c r="J632" s="50"/>
      <c r="L632" s="50"/>
    </row>
    <row r="633" spans="10:12" x14ac:dyDescent="0.25">
      <c r="J633" s="50"/>
      <c r="L633" s="50"/>
    </row>
    <row r="634" spans="10:12" x14ac:dyDescent="0.25">
      <c r="J634" s="50"/>
      <c r="L634" s="50"/>
    </row>
    <row r="635" spans="10:12" x14ac:dyDescent="0.25">
      <c r="J635" s="50"/>
      <c r="L635" s="50"/>
    </row>
    <row r="636" spans="10:12" x14ac:dyDescent="0.25">
      <c r="J636" s="50"/>
      <c r="L636" s="50"/>
    </row>
    <row r="637" spans="10:12" x14ac:dyDescent="0.25">
      <c r="J637" s="50"/>
      <c r="L637" s="50"/>
    </row>
    <row r="638" spans="10:12" x14ac:dyDescent="0.25">
      <c r="J638" s="50"/>
      <c r="L638" s="50"/>
    </row>
    <row r="639" spans="10:12" x14ac:dyDescent="0.25">
      <c r="J639" s="50"/>
      <c r="L639" s="50"/>
    </row>
    <row r="640" spans="10:12" x14ac:dyDescent="0.25">
      <c r="J640" s="50"/>
      <c r="L640" s="50"/>
    </row>
    <row r="641" spans="10:12" x14ac:dyDescent="0.25">
      <c r="J641" s="50"/>
      <c r="L641" s="50"/>
    </row>
    <row r="642" spans="10:12" x14ac:dyDescent="0.25">
      <c r="J642" s="50"/>
      <c r="L642" s="50"/>
    </row>
    <row r="643" spans="10:12" x14ac:dyDescent="0.25">
      <c r="J643" s="50"/>
      <c r="L643" s="50"/>
    </row>
    <row r="644" spans="10:12" x14ac:dyDescent="0.25">
      <c r="J644" s="50"/>
      <c r="L644" s="50"/>
    </row>
    <row r="645" spans="10:12" x14ac:dyDescent="0.25">
      <c r="J645" s="50"/>
      <c r="L645" s="50"/>
    </row>
    <row r="646" spans="10:12" x14ac:dyDescent="0.25">
      <c r="J646" s="50"/>
      <c r="L646" s="50"/>
    </row>
    <row r="647" spans="10:12" x14ac:dyDescent="0.25">
      <c r="J647" s="50"/>
      <c r="L647" s="50"/>
    </row>
    <row r="648" spans="10:12" x14ac:dyDescent="0.25">
      <c r="J648" s="50"/>
      <c r="L648" s="50"/>
    </row>
    <row r="649" spans="10:12" x14ac:dyDescent="0.25">
      <c r="J649" s="50"/>
      <c r="L649" s="50"/>
    </row>
    <row r="650" spans="10:12" x14ac:dyDescent="0.25">
      <c r="J650" s="50"/>
      <c r="L650" s="50"/>
    </row>
    <row r="651" spans="10:12" x14ac:dyDescent="0.25">
      <c r="J651" s="50"/>
      <c r="L651" s="50"/>
    </row>
    <row r="652" spans="10:12" x14ac:dyDescent="0.25">
      <c r="J652" s="50"/>
      <c r="L652" s="50"/>
    </row>
    <row r="653" spans="10:12" x14ac:dyDescent="0.25">
      <c r="J653" s="50"/>
      <c r="L653" s="50"/>
    </row>
    <row r="654" spans="10:12" x14ac:dyDescent="0.25">
      <c r="J654" s="50"/>
      <c r="L654" s="50"/>
    </row>
    <row r="655" spans="10:12" x14ac:dyDescent="0.25">
      <c r="J655" s="50"/>
      <c r="L655" s="50"/>
    </row>
    <row r="656" spans="10:12" x14ac:dyDescent="0.25">
      <c r="J656" s="50"/>
      <c r="L656" s="50"/>
    </row>
    <row r="657" spans="10:12" x14ac:dyDescent="0.25">
      <c r="J657" s="50"/>
      <c r="L657" s="50"/>
    </row>
    <row r="658" spans="10:12" x14ac:dyDescent="0.25">
      <c r="J658" s="50"/>
      <c r="L658" s="50"/>
    </row>
    <row r="659" spans="10:12" x14ac:dyDescent="0.25">
      <c r="J659" s="50"/>
      <c r="L659" s="50"/>
    </row>
    <row r="660" spans="10:12" x14ac:dyDescent="0.25">
      <c r="J660" s="50"/>
      <c r="L660" s="50"/>
    </row>
    <row r="661" spans="10:12" x14ac:dyDescent="0.25">
      <c r="J661" s="50"/>
      <c r="L661" s="50"/>
    </row>
    <row r="662" spans="10:12" x14ac:dyDescent="0.25">
      <c r="J662" s="50"/>
      <c r="L662" s="50"/>
    </row>
    <row r="663" spans="10:12" x14ac:dyDescent="0.25">
      <c r="J663" s="50"/>
      <c r="L663" s="50"/>
    </row>
    <row r="664" spans="10:12" x14ac:dyDescent="0.25">
      <c r="J664" s="50"/>
      <c r="L664" s="50"/>
    </row>
    <row r="665" spans="10:12" x14ac:dyDescent="0.25">
      <c r="J665" s="50"/>
      <c r="L665" s="50"/>
    </row>
    <row r="666" spans="10:12" x14ac:dyDescent="0.25">
      <c r="J666" s="50"/>
      <c r="L666" s="50"/>
    </row>
    <row r="667" spans="10:12" x14ac:dyDescent="0.25">
      <c r="J667" s="50"/>
      <c r="L667" s="50"/>
    </row>
    <row r="668" spans="10:12" x14ac:dyDescent="0.25">
      <c r="J668" s="50"/>
      <c r="L668" s="50"/>
    </row>
    <row r="669" spans="10:12" x14ac:dyDescent="0.25">
      <c r="J669" s="50"/>
      <c r="L669" s="50"/>
    </row>
    <row r="670" spans="10:12" x14ac:dyDescent="0.25">
      <c r="J670" s="50"/>
      <c r="L670" s="50"/>
    </row>
    <row r="671" spans="10:12" x14ac:dyDescent="0.25">
      <c r="J671" s="50"/>
      <c r="L671" s="50"/>
    </row>
    <row r="672" spans="10:12" x14ac:dyDescent="0.25">
      <c r="J672" s="50"/>
      <c r="L672" s="50"/>
    </row>
    <row r="673" spans="10:12" x14ac:dyDescent="0.25">
      <c r="J673" s="50"/>
      <c r="L673" s="50"/>
    </row>
    <row r="674" spans="10:12" x14ac:dyDescent="0.25">
      <c r="J674" s="50"/>
      <c r="L674" s="50"/>
    </row>
    <row r="675" spans="10:12" x14ac:dyDescent="0.25">
      <c r="J675" s="50"/>
      <c r="L675" s="50"/>
    </row>
    <row r="676" spans="10:12" x14ac:dyDescent="0.25">
      <c r="J676" s="50"/>
      <c r="L676" s="50"/>
    </row>
    <row r="677" spans="10:12" x14ac:dyDescent="0.25">
      <c r="J677" s="50"/>
      <c r="L677" s="50"/>
    </row>
    <row r="678" spans="10:12" x14ac:dyDescent="0.25">
      <c r="J678" s="50"/>
      <c r="L678" s="50"/>
    </row>
    <row r="679" spans="10:12" x14ac:dyDescent="0.25">
      <c r="J679" s="50"/>
      <c r="L679" s="50"/>
    </row>
    <row r="680" spans="10:12" x14ac:dyDescent="0.25">
      <c r="J680" s="50"/>
      <c r="L680" s="50"/>
    </row>
    <row r="681" spans="10:12" x14ac:dyDescent="0.25">
      <c r="J681" s="50"/>
      <c r="L681" s="50"/>
    </row>
    <row r="682" spans="10:12" x14ac:dyDescent="0.25">
      <c r="J682" s="50"/>
      <c r="L682" s="50"/>
    </row>
    <row r="683" spans="10:12" x14ac:dyDescent="0.25">
      <c r="J683" s="50"/>
      <c r="L683" s="50"/>
    </row>
    <row r="684" spans="10:12" x14ac:dyDescent="0.25">
      <c r="J684" s="50"/>
      <c r="L684" s="50"/>
    </row>
    <row r="685" spans="10:12" x14ac:dyDescent="0.25">
      <c r="J685" s="50"/>
      <c r="L685" s="50"/>
    </row>
    <row r="686" spans="10:12" x14ac:dyDescent="0.25">
      <c r="J686" s="50"/>
      <c r="L686" s="50"/>
    </row>
    <row r="687" spans="10:12" x14ac:dyDescent="0.25">
      <c r="J687" s="50"/>
      <c r="L687" s="50"/>
    </row>
    <row r="688" spans="10:12" x14ac:dyDescent="0.25">
      <c r="J688" s="50"/>
      <c r="L688" s="50"/>
    </row>
    <row r="689" spans="10:12" x14ac:dyDescent="0.25">
      <c r="J689" s="50"/>
      <c r="L689" s="50"/>
    </row>
    <row r="690" spans="10:12" x14ac:dyDescent="0.25">
      <c r="J690" s="50"/>
      <c r="L690" s="50"/>
    </row>
    <row r="691" spans="10:12" x14ac:dyDescent="0.25">
      <c r="J691" s="50"/>
      <c r="L691" s="50"/>
    </row>
    <row r="692" spans="10:12" x14ac:dyDescent="0.25">
      <c r="J692" s="50"/>
      <c r="L692" s="50"/>
    </row>
    <row r="693" spans="10:12" x14ac:dyDescent="0.25">
      <c r="J693" s="50"/>
      <c r="L693" s="50"/>
    </row>
    <row r="694" spans="10:12" x14ac:dyDescent="0.25">
      <c r="J694" s="50"/>
      <c r="L694" s="50"/>
    </row>
    <row r="695" spans="10:12" x14ac:dyDescent="0.25">
      <c r="J695" s="50"/>
      <c r="L695" s="50"/>
    </row>
    <row r="696" spans="10:12" x14ac:dyDescent="0.25">
      <c r="J696" s="50"/>
      <c r="L696" s="50"/>
    </row>
    <row r="697" spans="10:12" x14ac:dyDescent="0.25">
      <c r="J697" s="50"/>
      <c r="L697" s="50"/>
    </row>
    <row r="698" spans="10:12" x14ac:dyDescent="0.25">
      <c r="J698" s="50"/>
      <c r="L698" s="50"/>
    </row>
    <row r="699" spans="10:12" x14ac:dyDescent="0.25">
      <c r="J699" s="50"/>
      <c r="L699" s="50"/>
    </row>
    <row r="700" spans="10:12" x14ac:dyDescent="0.25">
      <c r="J700" s="50"/>
      <c r="L700" s="50"/>
    </row>
    <row r="701" spans="10:12" x14ac:dyDescent="0.25">
      <c r="J701" s="50"/>
      <c r="L701" s="50"/>
    </row>
    <row r="702" spans="10:12" x14ac:dyDescent="0.25">
      <c r="J702" s="50"/>
      <c r="L702" s="50"/>
    </row>
    <row r="703" spans="10:12" x14ac:dyDescent="0.25">
      <c r="J703" s="50"/>
      <c r="L703" s="50"/>
    </row>
    <row r="704" spans="10:12" x14ac:dyDescent="0.25">
      <c r="J704" s="50"/>
      <c r="L704" s="50"/>
    </row>
    <row r="705" spans="10:12" x14ac:dyDescent="0.25">
      <c r="J705" s="50"/>
      <c r="L705" s="50"/>
    </row>
    <row r="706" spans="10:12" x14ac:dyDescent="0.25">
      <c r="J706" s="50"/>
      <c r="L706" s="50"/>
    </row>
    <row r="707" spans="10:12" x14ac:dyDescent="0.25">
      <c r="J707" s="50"/>
      <c r="L707" s="50"/>
    </row>
    <row r="708" spans="10:12" x14ac:dyDescent="0.25">
      <c r="J708" s="50"/>
      <c r="L708" s="50"/>
    </row>
    <row r="709" spans="10:12" x14ac:dyDescent="0.25">
      <c r="J709" s="50"/>
      <c r="L709" s="50"/>
    </row>
    <row r="710" spans="10:12" x14ac:dyDescent="0.25">
      <c r="J710" s="50"/>
      <c r="L710" s="50"/>
    </row>
    <row r="711" spans="10:12" x14ac:dyDescent="0.25">
      <c r="J711" s="50"/>
      <c r="L711" s="50"/>
    </row>
    <row r="712" spans="10:12" x14ac:dyDescent="0.25">
      <c r="J712" s="50"/>
      <c r="L712" s="50"/>
    </row>
    <row r="713" spans="10:12" x14ac:dyDescent="0.25">
      <c r="J713" s="50"/>
      <c r="L713" s="50"/>
    </row>
    <row r="714" spans="10:12" x14ac:dyDescent="0.25">
      <c r="J714" s="50"/>
      <c r="L714" s="50"/>
    </row>
    <row r="715" spans="10:12" x14ac:dyDescent="0.25">
      <c r="J715" s="50"/>
      <c r="L715" s="50"/>
    </row>
    <row r="716" spans="10:12" x14ac:dyDescent="0.25">
      <c r="J716" s="50"/>
      <c r="L716" s="50"/>
    </row>
    <row r="717" spans="10:12" x14ac:dyDescent="0.25">
      <c r="J717" s="50"/>
      <c r="L717" s="50"/>
    </row>
    <row r="718" spans="10:12" x14ac:dyDescent="0.25">
      <c r="J718" s="50"/>
      <c r="L718" s="50"/>
    </row>
    <row r="719" spans="10:12" x14ac:dyDescent="0.25">
      <c r="J719" s="50"/>
      <c r="L719" s="50"/>
    </row>
    <row r="720" spans="10:12" x14ac:dyDescent="0.25">
      <c r="J720" s="50"/>
      <c r="L720" s="50"/>
    </row>
    <row r="721" spans="10:12" x14ac:dyDescent="0.25">
      <c r="J721" s="50"/>
      <c r="L721" s="50"/>
    </row>
    <row r="722" spans="10:12" x14ac:dyDescent="0.25">
      <c r="J722" s="50"/>
      <c r="L722" s="50"/>
    </row>
    <row r="723" spans="10:12" x14ac:dyDescent="0.25">
      <c r="J723" s="50"/>
      <c r="L723" s="50"/>
    </row>
    <row r="724" spans="10:12" x14ac:dyDescent="0.25">
      <c r="J724" s="50"/>
      <c r="L724" s="50"/>
    </row>
    <row r="725" spans="10:12" x14ac:dyDescent="0.25">
      <c r="J725" s="50"/>
      <c r="L725" s="50"/>
    </row>
    <row r="726" spans="10:12" x14ac:dyDescent="0.25">
      <c r="J726" s="50"/>
      <c r="L726" s="50"/>
    </row>
    <row r="727" spans="10:12" x14ac:dyDescent="0.25">
      <c r="J727" s="50"/>
      <c r="L727" s="50"/>
    </row>
    <row r="728" spans="10:12" x14ac:dyDescent="0.25">
      <c r="J728" s="50"/>
      <c r="L728" s="50"/>
    </row>
    <row r="729" spans="10:12" x14ac:dyDescent="0.25">
      <c r="J729" s="50"/>
      <c r="L729" s="50"/>
    </row>
    <row r="730" spans="10:12" x14ac:dyDescent="0.25">
      <c r="J730" s="50"/>
      <c r="L730" s="50"/>
    </row>
    <row r="731" spans="10:12" x14ac:dyDescent="0.25">
      <c r="J731" s="50"/>
      <c r="L731" s="50"/>
    </row>
    <row r="732" spans="10:12" x14ac:dyDescent="0.25">
      <c r="J732" s="50"/>
      <c r="L732" s="50"/>
    </row>
    <row r="733" spans="10:12" x14ac:dyDescent="0.25">
      <c r="J733" s="50"/>
      <c r="L733" s="50"/>
    </row>
    <row r="734" spans="10:12" x14ac:dyDescent="0.25">
      <c r="J734" s="50"/>
      <c r="L734" s="50"/>
    </row>
    <row r="735" spans="10:12" x14ac:dyDescent="0.25">
      <c r="J735" s="50"/>
      <c r="L735" s="50"/>
    </row>
    <row r="736" spans="10:12" x14ac:dyDescent="0.25">
      <c r="J736" s="50"/>
      <c r="L736" s="50"/>
    </row>
    <row r="737" spans="10:12" x14ac:dyDescent="0.25">
      <c r="J737" s="50"/>
      <c r="L737" s="50"/>
    </row>
    <row r="738" spans="10:12" x14ac:dyDescent="0.25">
      <c r="J738" s="50"/>
      <c r="L738" s="50"/>
    </row>
    <row r="739" spans="10:12" x14ac:dyDescent="0.25">
      <c r="J739" s="50"/>
      <c r="L739" s="50"/>
    </row>
    <row r="740" spans="10:12" x14ac:dyDescent="0.25">
      <c r="J740" s="50"/>
      <c r="L740" s="50"/>
    </row>
    <row r="741" spans="10:12" x14ac:dyDescent="0.25">
      <c r="J741" s="50"/>
      <c r="L741" s="50"/>
    </row>
    <row r="742" spans="10:12" x14ac:dyDescent="0.25">
      <c r="J742" s="50"/>
      <c r="L742" s="50"/>
    </row>
    <row r="743" spans="10:12" x14ac:dyDescent="0.25">
      <c r="J743" s="50"/>
      <c r="L743" s="50"/>
    </row>
    <row r="744" spans="10:12" x14ac:dyDescent="0.25">
      <c r="J744" s="50"/>
      <c r="L744" s="50"/>
    </row>
    <row r="745" spans="10:12" x14ac:dyDescent="0.25">
      <c r="J745" s="50"/>
      <c r="L745" s="50"/>
    </row>
    <row r="746" spans="10:12" x14ac:dyDescent="0.25">
      <c r="J746" s="50"/>
      <c r="L746" s="50"/>
    </row>
    <row r="747" spans="10:12" x14ac:dyDescent="0.25">
      <c r="J747" s="50"/>
      <c r="L747" s="50"/>
    </row>
    <row r="748" spans="10:12" x14ac:dyDescent="0.25">
      <c r="J748" s="50"/>
      <c r="L748" s="50"/>
    </row>
    <row r="749" spans="10:12" x14ac:dyDescent="0.25">
      <c r="J749" s="50"/>
      <c r="L749" s="50"/>
    </row>
    <row r="750" spans="10:12" x14ac:dyDescent="0.25">
      <c r="J750" s="50"/>
      <c r="L750" s="50"/>
    </row>
    <row r="751" spans="10:12" x14ac:dyDescent="0.25">
      <c r="J751" s="50"/>
      <c r="L751" s="50"/>
    </row>
    <row r="752" spans="10:12" x14ac:dyDescent="0.25">
      <c r="J752" s="50"/>
      <c r="L752" s="50"/>
    </row>
    <row r="753" spans="10:12" x14ac:dyDescent="0.25">
      <c r="J753" s="50"/>
      <c r="L753" s="50"/>
    </row>
    <row r="754" spans="10:12" x14ac:dyDescent="0.25">
      <c r="J754" s="50"/>
      <c r="L754" s="50"/>
    </row>
    <row r="755" spans="10:12" x14ac:dyDescent="0.25">
      <c r="J755" s="50"/>
      <c r="L755" s="50"/>
    </row>
    <row r="756" spans="10:12" x14ac:dyDescent="0.25">
      <c r="J756" s="50"/>
      <c r="L756" s="50"/>
    </row>
    <row r="757" spans="10:12" x14ac:dyDescent="0.25">
      <c r="J757" s="50"/>
      <c r="L757" s="50"/>
    </row>
    <row r="758" spans="10:12" x14ac:dyDescent="0.25">
      <c r="J758" s="50"/>
      <c r="L758" s="50"/>
    </row>
    <row r="759" spans="10:12" x14ac:dyDescent="0.25">
      <c r="J759" s="50"/>
      <c r="L759" s="50"/>
    </row>
    <row r="760" spans="10:12" x14ac:dyDescent="0.25">
      <c r="J760" s="50"/>
      <c r="L760" s="50"/>
    </row>
    <row r="761" spans="10:12" x14ac:dyDescent="0.25">
      <c r="J761" s="50"/>
      <c r="L761" s="50"/>
    </row>
    <row r="762" spans="10:12" x14ac:dyDescent="0.25">
      <c r="J762" s="50"/>
      <c r="L762" s="50"/>
    </row>
    <row r="763" spans="10:12" x14ac:dyDescent="0.25">
      <c r="J763" s="50"/>
      <c r="L763" s="50"/>
    </row>
    <row r="764" spans="10:12" x14ac:dyDescent="0.25">
      <c r="J764" s="50"/>
      <c r="L764" s="50"/>
    </row>
    <row r="765" spans="10:12" x14ac:dyDescent="0.25">
      <c r="J765" s="50"/>
      <c r="L765" s="50"/>
    </row>
    <row r="766" spans="10:12" x14ac:dyDescent="0.25">
      <c r="J766" s="50"/>
      <c r="L766" s="50"/>
    </row>
    <row r="767" spans="10:12" x14ac:dyDescent="0.25">
      <c r="J767" s="50"/>
      <c r="L767" s="50"/>
    </row>
    <row r="768" spans="10:12" x14ac:dyDescent="0.25">
      <c r="J768" s="50"/>
      <c r="L768" s="50"/>
    </row>
    <row r="769" spans="10:12" x14ac:dyDescent="0.25">
      <c r="J769" s="50"/>
      <c r="L769" s="50"/>
    </row>
    <row r="770" spans="10:12" x14ac:dyDescent="0.25">
      <c r="J770" s="50"/>
      <c r="L770" s="50"/>
    </row>
    <row r="771" spans="10:12" x14ac:dyDescent="0.25">
      <c r="J771" s="50"/>
      <c r="L771" s="50"/>
    </row>
    <row r="772" spans="10:12" x14ac:dyDescent="0.25">
      <c r="J772" s="50"/>
      <c r="L772" s="50"/>
    </row>
    <row r="773" spans="10:12" x14ac:dyDescent="0.25">
      <c r="J773" s="50"/>
      <c r="L773" s="50"/>
    </row>
    <row r="774" spans="10:12" x14ac:dyDescent="0.25">
      <c r="J774" s="50"/>
      <c r="L774" s="50"/>
    </row>
    <row r="775" spans="10:12" x14ac:dyDescent="0.25">
      <c r="J775" s="50"/>
      <c r="L775" s="50"/>
    </row>
    <row r="776" spans="10:12" x14ac:dyDescent="0.25">
      <c r="J776" s="50"/>
      <c r="L776" s="50"/>
    </row>
    <row r="777" spans="10:12" x14ac:dyDescent="0.25">
      <c r="J777" s="50"/>
      <c r="L777" s="50"/>
    </row>
    <row r="778" spans="10:12" x14ac:dyDescent="0.25">
      <c r="J778" s="50"/>
      <c r="L778" s="50"/>
    </row>
    <row r="779" spans="10:12" x14ac:dyDescent="0.25">
      <c r="J779" s="50"/>
      <c r="L779" s="50"/>
    </row>
    <row r="780" spans="10:12" x14ac:dyDescent="0.25">
      <c r="J780" s="50"/>
      <c r="L780" s="50"/>
    </row>
    <row r="781" spans="10:12" x14ac:dyDescent="0.25">
      <c r="J781" s="50"/>
      <c r="L781" s="50"/>
    </row>
    <row r="782" spans="10:12" x14ac:dyDescent="0.25">
      <c r="J782" s="50"/>
      <c r="L782" s="50"/>
    </row>
    <row r="783" spans="10:12" x14ac:dyDescent="0.25">
      <c r="J783" s="50"/>
      <c r="L783" s="50"/>
    </row>
    <row r="784" spans="10:12" x14ac:dyDescent="0.25">
      <c r="J784" s="50"/>
      <c r="L784" s="50"/>
    </row>
    <row r="785" spans="10:12" x14ac:dyDescent="0.25">
      <c r="J785" s="50"/>
      <c r="L785" s="50"/>
    </row>
    <row r="786" spans="10:12" x14ac:dyDescent="0.25">
      <c r="J786" s="50"/>
      <c r="L786" s="50"/>
    </row>
    <row r="787" spans="10:12" x14ac:dyDescent="0.25">
      <c r="J787" s="50"/>
      <c r="L787" s="50"/>
    </row>
    <row r="788" spans="10:12" x14ac:dyDescent="0.25">
      <c r="J788" s="50"/>
      <c r="L788" s="50"/>
    </row>
    <row r="789" spans="10:12" x14ac:dyDescent="0.25">
      <c r="J789" s="50"/>
      <c r="L789" s="50"/>
    </row>
    <row r="790" spans="10:12" x14ac:dyDescent="0.25">
      <c r="J790" s="50"/>
      <c r="L790" s="50"/>
    </row>
    <row r="791" spans="10:12" x14ac:dyDescent="0.25">
      <c r="J791" s="50"/>
      <c r="L791" s="50"/>
    </row>
    <row r="792" spans="10:12" x14ac:dyDescent="0.25">
      <c r="J792" s="50"/>
      <c r="L792" s="50"/>
    </row>
    <row r="793" spans="10:12" x14ac:dyDescent="0.25">
      <c r="J793" s="50"/>
      <c r="L793" s="50"/>
    </row>
    <row r="794" spans="10:12" x14ac:dyDescent="0.25">
      <c r="J794" s="50"/>
      <c r="L794" s="50"/>
    </row>
    <row r="795" spans="10:12" x14ac:dyDescent="0.25">
      <c r="J795" s="50"/>
      <c r="L795" s="50"/>
    </row>
    <row r="796" spans="10:12" x14ac:dyDescent="0.25">
      <c r="J796" s="50"/>
      <c r="L796" s="50"/>
    </row>
    <row r="797" spans="10:12" x14ac:dyDescent="0.25">
      <c r="J797" s="50"/>
      <c r="L797" s="50"/>
    </row>
    <row r="798" spans="10:12" x14ac:dyDescent="0.25">
      <c r="J798" s="50"/>
      <c r="L798" s="50"/>
    </row>
    <row r="799" spans="10:12" x14ac:dyDescent="0.25">
      <c r="J799" s="50"/>
      <c r="L799" s="50"/>
    </row>
    <row r="800" spans="10:12" x14ac:dyDescent="0.25">
      <c r="J800" s="50"/>
      <c r="L800" s="50"/>
    </row>
    <row r="801" spans="10:12" x14ac:dyDescent="0.25">
      <c r="J801" s="50"/>
      <c r="L801" s="50"/>
    </row>
    <row r="802" spans="10:12" x14ac:dyDescent="0.25">
      <c r="J802" s="50"/>
      <c r="L802" s="50"/>
    </row>
    <row r="803" spans="10:12" x14ac:dyDescent="0.25">
      <c r="J803" s="50"/>
      <c r="L803" s="50"/>
    </row>
    <row r="804" spans="10:12" x14ac:dyDescent="0.25">
      <c r="J804" s="50"/>
      <c r="L804" s="50"/>
    </row>
    <row r="805" spans="10:12" x14ac:dyDescent="0.25">
      <c r="J805" s="50"/>
      <c r="L805" s="50"/>
    </row>
    <row r="806" spans="10:12" x14ac:dyDescent="0.25">
      <c r="J806" s="50"/>
      <c r="L806" s="50"/>
    </row>
    <row r="807" spans="10:12" x14ac:dyDescent="0.25">
      <c r="J807" s="50"/>
      <c r="L807" s="50"/>
    </row>
    <row r="808" spans="10:12" x14ac:dyDescent="0.25">
      <c r="J808" s="50"/>
      <c r="L808" s="50"/>
    </row>
    <row r="809" spans="10:12" x14ac:dyDescent="0.25">
      <c r="J809" s="50"/>
      <c r="L809" s="50"/>
    </row>
    <row r="810" spans="10:12" x14ac:dyDescent="0.25">
      <c r="J810" s="50"/>
      <c r="L810" s="50"/>
    </row>
    <row r="811" spans="10:12" x14ac:dyDescent="0.25">
      <c r="J811" s="50"/>
      <c r="L811" s="50"/>
    </row>
    <row r="812" spans="10:12" x14ac:dyDescent="0.25">
      <c r="J812" s="50"/>
      <c r="L812" s="50"/>
    </row>
    <row r="813" spans="10:12" x14ac:dyDescent="0.25">
      <c r="J813" s="50"/>
      <c r="L813" s="50"/>
    </row>
    <row r="814" spans="10:12" x14ac:dyDescent="0.25">
      <c r="J814" s="50"/>
      <c r="L814" s="50"/>
    </row>
    <row r="815" spans="10:12" x14ac:dyDescent="0.25">
      <c r="J815" s="50"/>
      <c r="L815" s="50"/>
    </row>
    <row r="816" spans="10:12" x14ac:dyDescent="0.25">
      <c r="J816" s="50"/>
      <c r="L816" s="50"/>
    </row>
    <row r="817" spans="10:12" x14ac:dyDescent="0.25">
      <c r="J817" s="50"/>
      <c r="L817" s="50"/>
    </row>
    <row r="818" spans="10:12" x14ac:dyDescent="0.25">
      <c r="J818" s="50"/>
      <c r="L818" s="50"/>
    </row>
    <row r="819" spans="10:12" x14ac:dyDescent="0.25">
      <c r="J819" s="50"/>
      <c r="L819" s="50"/>
    </row>
    <row r="820" spans="10:12" x14ac:dyDescent="0.25">
      <c r="J820" s="50"/>
      <c r="L820" s="50"/>
    </row>
    <row r="821" spans="10:12" x14ac:dyDescent="0.25">
      <c r="J821" s="50"/>
      <c r="L821" s="50"/>
    </row>
    <row r="822" spans="10:12" x14ac:dyDescent="0.25">
      <c r="J822" s="50"/>
      <c r="L822" s="50"/>
    </row>
    <row r="823" spans="10:12" x14ac:dyDescent="0.25">
      <c r="J823" s="50"/>
      <c r="L823" s="50"/>
    </row>
    <row r="824" spans="10:12" x14ac:dyDescent="0.25">
      <c r="J824" s="50"/>
      <c r="L824" s="50"/>
    </row>
    <row r="825" spans="10:12" x14ac:dyDescent="0.25">
      <c r="J825" s="50"/>
      <c r="L825" s="50"/>
    </row>
    <row r="826" spans="10:12" x14ac:dyDescent="0.25">
      <c r="J826" s="50"/>
      <c r="L826" s="50"/>
    </row>
    <row r="827" spans="10:12" x14ac:dyDescent="0.25">
      <c r="J827" s="50"/>
      <c r="L827" s="50"/>
    </row>
    <row r="828" spans="10:12" x14ac:dyDescent="0.25">
      <c r="J828" s="50"/>
      <c r="L828" s="50"/>
    </row>
    <row r="829" spans="10:12" x14ac:dyDescent="0.25">
      <c r="J829" s="50"/>
      <c r="L829" s="50"/>
    </row>
    <row r="830" spans="10:12" x14ac:dyDescent="0.25">
      <c r="J830" s="50"/>
      <c r="L830" s="50"/>
    </row>
    <row r="831" spans="10:12" x14ac:dyDescent="0.25">
      <c r="J831" s="50"/>
      <c r="L831" s="50"/>
    </row>
    <row r="832" spans="10:12" x14ac:dyDescent="0.25">
      <c r="J832" s="50"/>
      <c r="L832" s="50"/>
    </row>
    <row r="833" spans="10:12" x14ac:dyDescent="0.25">
      <c r="J833" s="50"/>
      <c r="L833" s="50"/>
    </row>
    <row r="834" spans="10:12" x14ac:dyDescent="0.25">
      <c r="J834" s="50"/>
      <c r="L834" s="50"/>
    </row>
    <row r="835" spans="10:12" x14ac:dyDescent="0.25">
      <c r="J835" s="50"/>
      <c r="L835" s="50"/>
    </row>
    <row r="836" spans="10:12" x14ac:dyDescent="0.25">
      <c r="J836" s="50"/>
      <c r="L836" s="50"/>
    </row>
    <row r="837" spans="10:12" x14ac:dyDescent="0.25">
      <c r="J837" s="50"/>
      <c r="L837" s="50"/>
    </row>
    <row r="838" spans="10:12" x14ac:dyDescent="0.25">
      <c r="J838" s="50"/>
      <c r="L838" s="50"/>
    </row>
    <row r="839" spans="10:12" x14ac:dyDescent="0.25">
      <c r="J839" s="50"/>
      <c r="L839" s="50"/>
    </row>
    <row r="840" spans="10:12" x14ac:dyDescent="0.25">
      <c r="J840" s="50"/>
      <c r="L840" s="50"/>
    </row>
    <row r="841" spans="10:12" x14ac:dyDescent="0.25">
      <c r="J841" s="50"/>
      <c r="L841" s="50"/>
    </row>
    <row r="842" spans="10:12" x14ac:dyDescent="0.25">
      <c r="J842" s="50"/>
      <c r="L842" s="50"/>
    </row>
    <row r="843" spans="10:12" x14ac:dyDescent="0.25">
      <c r="J843" s="50"/>
      <c r="L843" s="50"/>
    </row>
    <row r="844" spans="10:12" x14ac:dyDescent="0.25">
      <c r="J844" s="50"/>
      <c r="L844" s="50"/>
    </row>
    <row r="845" spans="10:12" x14ac:dyDescent="0.25">
      <c r="J845" s="50"/>
      <c r="L845" s="50"/>
    </row>
    <row r="846" spans="10:12" x14ac:dyDescent="0.25">
      <c r="J846" s="50"/>
      <c r="L846" s="50"/>
    </row>
    <row r="847" spans="10:12" x14ac:dyDescent="0.25">
      <c r="J847" s="50"/>
      <c r="L847" s="50"/>
    </row>
    <row r="848" spans="10:12" x14ac:dyDescent="0.25">
      <c r="J848" s="50"/>
      <c r="L848" s="50"/>
    </row>
    <row r="849" spans="10:12" x14ac:dyDescent="0.25">
      <c r="J849" s="50"/>
      <c r="L849" s="50"/>
    </row>
    <row r="850" spans="10:12" x14ac:dyDescent="0.25">
      <c r="J850" s="50"/>
      <c r="L850" s="50"/>
    </row>
    <row r="851" spans="10:12" x14ac:dyDescent="0.25">
      <c r="J851" s="50"/>
      <c r="L851" s="50"/>
    </row>
    <row r="852" spans="10:12" x14ac:dyDescent="0.25">
      <c r="J852" s="50"/>
      <c r="L852" s="50"/>
    </row>
    <row r="853" spans="10:12" x14ac:dyDescent="0.25">
      <c r="J853" s="50"/>
      <c r="L853" s="50"/>
    </row>
    <row r="854" spans="10:12" x14ac:dyDescent="0.25">
      <c r="J854" s="50"/>
      <c r="L854" s="50"/>
    </row>
    <row r="855" spans="10:12" x14ac:dyDescent="0.25">
      <c r="J855" s="50"/>
      <c r="L855" s="50"/>
    </row>
    <row r="856" spans="10:12" x14ac:dyDescent="0.25">
      <c r="J856" s="50"/>
      <c r="L856" s="50"/>
    </row>
    <row r="857" spans="10:12" x14ac:dyDescent="0.25">
      <c r="J857" s="50"/>
      <c r="L857" s="50"/>
    </row>
    <row r="858" spans="10:12" x14ac:dyDescent="0.25">
      <c r="J858" s="50"/>
      <c r="L858" s="50"/>
    </row>
    <row r="859" spans="10:12" x14ac:dyDescent="0.25">
      <c r="J859" s="50"/>
      <c r="L859" s="50"/>
    </row>
    <row r="860" spans="10:12" x14ac:dyDescent="0.25">
      <c r="J860" s="50"/>
      <c r="L860" s="50"/>
    </row>
    <row r="861" spans="10:12" x14ac:dyDescent="0.25">
      <c r="J861" s="50"/>
      <c r="L861" s="50"/>
    </row>
    <row r="862" spans="10:12" x14ac:dyDescent="0.25">
      <c r="J862" s="50"/>
      <c r="L862" s="50"/>
    </row>
    <row r="863" spans="10:12" x14ac:dyDescent="0.25">
      <c r="J863" s="50"/>
      <c r="L863" s="50"/>
    </row>
    <row r="864" spans="10:12" x14ac:dyDescent="0.25">
      <c r="J864" s="50"/>
      <c r="L864" s="50"/>
    </row>
    <row r="865" spans="10:12" x14ac:dyDescent="0.25">
      <c r="J865" s="50"/>
      <c r="L865" s="50"/>
    </row>
    <row r="866" spans="10:12" x14ac:dyDescent="0.25">
      <c r="J866" s="50"/>
      <c r="L866" s="50"/>
    </row>
    <row r="867" spans="10:12" x14ac:dyDescent="0.25">
      <c r="J867" s="50"/>
      <c r="L867" s="50"/>
    </row>
    <row r="868" spans="10:12" x14ac:dyDescent="0.25">
      <c r="J868" s="50"/>
      <c r="L868" s="50"/>
    </row>
    <row r="869" spans="10:12" x14ac:dyDescent="0.25">
      <c r="J869" s="50"/>
      <c r="L869" s="50"/>
    </row>
    <row r="870" spans="10:12" x14ac:dyDescent="0.25">
      <c r="J870" s="50"/>
      <c r="L870" s="50"/>
    </row>
    <row r="871" spans="10:12" x14ac:dyDescent="0.25">
      <c r="J871" s="50"/>
      <c r="L871" s="50"/>
    </row>
    <row r="872" spans="10:12" x14ac:dyDescent="0.25">
      <c r="J872" s="50"/>
      <c r="L872" s="50"/>
    </row>
    <row r="873" spans="10:12" x14ac:dyDescent="0.25">
      <c r="J873" s="50"/>
      <c r="L873" s="50"/>
    </row>
    <row r="874" spans="10:12" x14ac:dyDescent="0.25">
      <c r="J874" s="50"/>
      <c r="L874" s="50"/>
    </row>
    <row r="875" spans="10:12" x14ac:dyDescent="0.25">
      <c r="J875" s="50"/>
      <c r="L875" s="50"/>
    </row>
    <row r="876" spans="10:12" x14ac:dyDescent="0.25">
      <c r="J876" s="50"/>
      <c r="L876" s="50"/>
    </row>
    <row r="877" spans="10:12" x14ac:dyDescent="0.25">
      <c r="J877" s="50"/>
      <c r="L877" s="50"/>
    </row>
    <row r="878" spans="10:12" x14ac:dyDescent="0.25">
      <c r="J878" s="50"/>
      <c r="L878" s="50"/>
    </row>
    <row r="879" spans="10:12" x14ac:dyDescent="0.25">
      <c r="J879" s="50"/>
      <c r="L879" s="50"/>
    </row>
    <row r="880" spans="10:12" x14ac:dyDescent="0.25">
      <c r="J880" s="50"/>
      <c r="L880" s="50"/>
    </row>
    <row r="881" spans="10:12" x14ac:dyDescent="0.25">
      <c r="J881" s="50"/>
      <c r="L881" s="50"/>
    </row>
    <row r="882" spans="10:12" x14ac:dyDescent="0.25">
      <c r="J882" s="50"/>
      <c r="L882" s="50"/>
    </row>
    <row r="883" spans="10:12" x14ac:dyDescent="0.25">
      <c r="J883" s="50"/>
      <c r="L883" s="50"/>
    </row>
    <row r="884" spans="10:12" x14ac:dyDescent="0.25">
      <c r="J884" s="50"/>
      <c r="L884" s="50"/>
    </row>
    <row r="885" spans="10:12" x14ac:dyDescent="0.25">
      <c r="J885" s="50"/>
      <c r="L885" s="50"/>
    </row>
    <row r="886" spans="10:12" x14ac:dyDescent="0.25">
      <c r="J886" s="50"/>
      <c r="L886" s="50"/>
    </row>
    <row r="887" spans="10:12" x14ac:dyDescent="0.25">
      <c r="J887" s="50"/>
      <c r="L887" s="50"/>
    </row>
    <row r="888" spans="10:12" x14ac:dyDescent="0.25">
      <c r="J888" s="50"/>
      <c r="L888" s="50"/>
    </row>
    <row r="889" spans="10:12" x14ac:dyDescent="0.25">
      <c r="J889" s="50"/>
      <c r="L889" s="50"/>
    </row>
    <row r="890" spans="10:12" x14ac:dyDescent="0.25">
      <c r="J890" s="50"/>
      <c r="L890" s="50"/>
    </row>
    <row r="891" spans="10:12" x14ac:dyDescent="0.25">
      <c r="J891" s="50"/>
      <c r="L891" s="50"/>
    </row>
    <row r="892" spans="10:12" x14ac:dyDescent="0.25">
      <c r="J892" s="50"/>
      <c r="L892" s="50"/>
    </row>
    <row r="893" spans="10:12" x14ac:dyDescent="0.25">
      <c r="J893" s="50"/>
      <c r="L893" s="50"/>
    </row>
    <row r="894" spans="10:12" x14ac:dyDescent="0.25">
      <c r="J894" s="50"/>
      <c r="L894" s="50"/>
    </row>
    <row r="895" spans="10:12" x14ac:dyDescent="0.25">
      <c r="J895" s="50"/>
      <c r="L895" s="50"/>
    </row>
    <row r="896" spans="10:12" x14ac:dyDescent="0.25">
      <c r="J896" s="50"/>
      <c r="L896" s="50"/>
    </row>
    <row r="897" spans="10:12" x14ac:dyDescent="0.25">
      <c r="J897" s="50"/>
      <c r="L897" s="50"/>
    </row>
    <row r="898" spans="10:12" x14ac:dyDescent="0.25">
      <c r="J898" s="50"/>
      <c r="L898" s="50"/>
    </row>
    <row r="899" spans="10:12" x14ac:dyDescent="0.25">
      <c r="J899" s="50"/>
      <c r="L899" s="50"/>
    </row>
    <row r="900" spans="10:12" x14ac:dyDescent="0.25">
      <c r="J900" s="50"/>
      <c r="L900" s="50"/>
    </row>
    <row r="901" spans="10:12" x14ac:dyDescent="0.25">
      <c r="J901" s="50"/>
      <c r="L901" s="50"/>
    </row>
    <row r="902" spans="10:12" x14ac:dyDescent="0.25">
      <c r="J902" s="50"/>
      <c r="L902" s="50"/>
    </row>
    <row r="903" spans="10:12" x14ac:dyDescent="0.25">
      <c r="J903" s="50"/>
      <c r="L903" s="50"/>
    </row>
    <row r="904" spans="10:12" x14ac:dyDescent="0.25">
      <c r="J904" s="50"/>
      <c r="L904" s="50"/>
    </row>
    <row r="905" spans="10:12" x14ac:dyDescent="0.25">
      <c r="J905" s="50"/>
      <c r="L905" s="50"/>
    </row>
    <row r="906" spans="10:12" x14ac:dyDescent="0.25">
      <c r="J906" s="50"/>
      <c r="L906" s="50"/>
    </row>
    <row r="907" spans="10:12" x14ac:dyDescent="0.25">
      <c r="J907" s="50"/>
      <c r="L907" s="50"/>
    </row>
    <row r="908" spans="10:12" x14ac:dyDescent="0.25">
      <c r="J908" s="50"/>
      <c r="L908" s="50"/>
    </row>
    <row r="909" spans="10:12" x14ac:dyDescent="0.25">
      <c r="J909" s="50"/>
      <c r="L909" s="50"/>
    </row>
    <row r="910" spans="10:12" x14ac:dyDescent="0.25">
      <c r="J910" s="50"/>
      <c r="L910" s="50"/>
    </row>
    <row r="911" spans="10:12" x14ac:dyDescent="0.25">
      <c r="J911" s="50"/>
      <c r="L911" s="50"/>
    </row>
    <row r="912" spans="10:12" x14ac:dyDescent="0.25">
      <c r="J912" s="50"/>
      <c r="L912" s="50"/>
    </row>
    <row r="913" spans="10:12" x14ac:dyDescent="0.25">
      <c r="J913" s="50"/>
      <c r="L913" s="50"/>
    </row>
    <row r="914" spans="10:12" x14ac:dyDescent="0.25">
      <c r="J914" s="50"/>
      <c r="L914" s="50"/>
    </row>
    <row r="915" spans="10:12" x14ac:dyDescent="0.25">
      <c r="J915" s="50"/>
      <c r="L915" s="50"/>
    </row>
    <row r="916" spans="10:12" x14ac:dyDescent="0.25">
      <c r="J916" s="50"/>
      <c r="L916" s="50"/>
    </row>
    <row r="917" spans="10:12" x14ac:dyDescent="0.25">
      <c r="J917" s="50"/>
      <c r="L917" s="50"/>
    </row>
    <row r="918" spans="10:12" x14ac:dyDescent="0.25">
      <c r="J918" s="50"/>
      <c r="L918" s="50"/>
    </row>
    <row r="919" spans="10:12" x14ac:dyDescent="0.25">
      <c r="J919" s="50"/>
      <c r="L919" s="50"/>
    </row>
    <row r="920" spans="10:12" x14ac:dyDescent="0.25">
      <c r="J920" s="50"/>
      <c r="L920" s="50"/>
    </row>
    <row r="921" spans="10:12" x14ac:dyDescent="0.25">
      <c r="J921" s="50"/>
      <c r="L921" s="50"/>
    </row>
    <row r="922" spans="10:12" x14ac:dyDescent="0.25">
      <c r="J922" s="50"/>
      <c r="L922" s="50"/>
    </row>
    <row r="923" spans="10:12" x14ac:dyDescent="0.25">
      <c r="J923" s="50"/>
      <c r="L923" s="50"/>
    </row>
    <row r="924" spans="10:12" x14ac:dyDescent="0.25">
      <c r="J924" s="50"/>
      <c r="L924" s="50"/>
    </row>
    <row r="925" spans="10:12" x14ac:dyDescent="0.25">
      <c r="J925" s="50"/>
      <c r="L925" s="50"/>
    </row>
    <row r="926" spans="10:12" x14ac:dyDescent="0.25">
      <c r="J926" s="50"/>
      <c r="L926" s="50"/>
    </row>
    <row r="927" spans="10:12" x14ac:dyDescent="0.25">
      <c r="J927" s="50"/>
      <c r="L927" s="50"/>
    </row>
    <row r="928" spans="10:12" x14ac:dyDescent="0.25">
      <c r="J928" s="50"/>
      <c r="L928" s="50"/>
    </row>
    <row r="929" spans="10:12" x14ac:dyDescent="0.25">
      <c r="J929" s="50"/>
      <c r="L929" s="50"/>
    </row>
    <row r="930" spans="10:12" x14ac:dyDescent="0.25">
      <c r="J930" s="50"/>
      <c r="L930" s="50"/>
    </row>
    <row r="931" spans="10:12" x14ac:dyDescent="0.25">
      <c r="J931" s="50"/>
      <c r="L931" s="50"/>
    </row>
    <row r="932" spans="10:12" x14ac:dyDescent="0.25">
      <c r="J932" s="50"/>
      <c r="L932" s="50"/>
    </row>
    <row r="933" spans="10:12" x14ac:dyDescent="0.25">
      <c r="J933" s="50"/>
      <c r="L933" s="50"/>
    </row>
    <row r="934" spans="10:12" x14ac:dyDescent="0.25">
      <c r="J934" s="50"/>
      <c r="L934" s="50"/>
    </row>
    <row r="935" spans="10:12" x14ac:dyDescent="0.25">
      <c r="J935" s="50"/>
      <c r="L935" s="50"/>
    </row>
    <row r="936" spans="10:12" x14ac:dyDescent="0.25">
      <c r="J936" s="50"/>
      <c r="L936" s="50"/>
    </row>
    <row r="937" spans="10:12" x14ac:dyDescent="0.25">
      <c r="J937" s="50"/>
      <c r="L937" s="50"/>
    </row>
    <row r="938" spans="10:12" x14ac:dyDescent="0.25">
      <c r="J938" s="50"/>
      <c r="L938" s="50"/>
    </row>
    <row r="939" spans="10:12" x14ac:dyDescent="0.25">
      <c r="J939" s="50"/>
      <c r="L939" s="50"/>
    </row>
    <row r="940" spans="10:12" x14ac:dyDescent="0.25">
      <c r="J940" s="50"/>
      <c r="L940" s="50"/>
    </row>
    <row r="941" spans="10:12" x14ac:dyDescent="0.25">
      <c r="J941" s="50"/>
      <c r="L941" s="50"/>
    </row>
    <row r="942" spans="10:12" x14ac:dyDescent="0.25">
      <c r="J942" s="50"/>
      <c r="L942" s="50"/>
    </row>
    <row r="943" spans="10:12" x14ac:dyDescent="0.25">
      <c r="J943" s="50"/>
      <c r="L943" s="50"/>
    </row>
    <row r="944" spans="10:12" x14ac:dyDescent="0.25">
      <c r="J944" s="50"/>
      <c r="L944" s="50"/>
    </row>
    <row r="945" spans="10:12" x14ac:dyDescent="0.25">
      <c r="J945" s="50"/>
      <c r="L945" s="50"/>
    </row>
    <row r="946" spans="10:12" x14ac:dyDescent="0.25">
      <c r="J946" s="50"/>
      <c r="L946" s="50"/>
    </row>
    <row r="947" spans="10:12" x14ac:dyDescent="0.25">
      <c r="J947" s="50"/>
      <c r="L947" s="50"/>
    </row>
    <row r="948" spans="10:12" x14ac:dyDescent="0.25">
      <c r="J948" s="50"/>
      <c r="L948" s="50"/>
    </row>
    <row r="949" spans="10:12" x14ac:dyDescent="0.25">
      <c r="J949" s="50"/>
      <c r="L949" s="50"/>
    </row>
    <row r="950" spans="10:12" x14ac:dyDescent="0.25">
      <c r="J950" s="50"/>
      <c r="L950" s="50"/>
    </row>
    <row r="951" spans="10:12" x14ac:dyDescent="0.25">
      <c r="J951" s="50"/>
      <c r="L951" s="50"/>
    </row>
    <row r="952" spans="10:12" x14ac:dyDescent="0.25">
      <c r="J952" s="50"/>
      <c r="L952" s="50"/>
    </row>
    <row r="953" spans="10:12" x14ac:dyDescent="0.25">
      <c r="J953" s="50"/>
      <c r="L953" s="50"/>
    </row>
    <row r="954" spans="10:12" x14ac:dyDescent="0.25">
      <c r="J954" s="50"/>
      <c r="L954" s="50"/>
    </row>
    <row r="955" spans="10:12" x14ac:dyDescent="0.25">
      <c r="J955" s="50"/>
      <c r="L955" s="50"/>
    </row>
    <row r="956" spans="10:12" x14ac:dyDescent="0.25">
      <c r="J956" s="50"/>
      <c r="L956" s="50"/>
    </row>
    <row r="957" spans="10:12" x14ac:dyDescent="0.25">
      <c r="J957" s="50"/>
      <c r="L957" s="50"/>
    </row>
    <row r="958" spans="10:12" x14ac:dyDescent="0.25">
      <c r="J958" s="50"/>
      <c r="L958" s="50"/>
    </row>
    <row r="959" spans="10:12" x14ac:dyDescent="0.25">
      <c r="J959" s="50"/>
      <c r="L959" s="50"/>
    </row>
    <row r="960" spans="10:12" x14ac:dyDescent="0.25">
      <c r="J960" s="50"/>
      <c r="L960" s="50"/>
    </row>
    <row r="961" spans="10:12" x14ac:dyDescent="0.25">
      <c r="J961" s="50"/>
      <c r="L961" s="50"/>
    </row>
    <row r="962" spans="10:12" x14ac:dyDescent="0.25">
      <c r="J962" s="50"/>
      <c r="L962" s="50"/>
    </row>
    <row r="963" spans="10:12" x14ac:dyDescent="0.25">
      <c r="J963" s="50"/>
      <c r="L963" s="50"/>
    </row>
    <row r="964" spans="10:12" x14ac:dyDescent="0.25">
      <c r="J964" s="50"/>
      <c r="L964" s="50"/>
    </row>
    <row r="965" spans="10:12" x14ac:dyDescent="0.25">
      <c r="J965" s="50"/>
      <c r="L965" s="50"/>
    </row>
    <row r="966" spans="10:12" x14ac:dyDescent="0.25">
      <c r="J966" s="50"/>
      <c r="L966" s="50"/>
    </row>
    <row r="967" spans="10:12" x14ac:dyDescent="0.25">
      <c r="J967" s="50"/>
      <c r="L967" s="50"/>
    </row>
    <row r="968" spans="10:12" x14ac:dyDescent="0.25">
      <c r="J968" s="50"/>
      <c r="L968" s="50"/>
    </row>
    <row r="969" spans="10:12" x14ac:dyDescent="0.25">
      <c r="J969" s="50"/>
      <c r="L969" s="50"/>
    </row>
    <row r="970" spans="10:12" x14ac:dyDescent="0.25">
      <c r="J970" s="50"/>
      <c r="L970" s="50"/>
    </row>
    <row r="971" spans="10:12" x14ac:dyDescent="0.25">
      <c r="J971" s="50"/>
      <c r="L971" s="50"/>
    </row>
    <row r="972" spans="10:12" x14ac:dyDescent="0.25">
      <c r="J972" s="50"/>
      <c r="L972" s="50"/>
    </row>
    <row r="973" spans="10:12" x14ac:dyDescent="0.25">
      <c r="J973" s="50"/>
      <c r="L973" s="50"/>
    </row>
    <row r="974" spans="10:12" x14ac:dyDescent="0.25">
      <c r="J974" s="50"/>
      <c r="L974" s="50"/>
    </row>
    <row r="975" spans="10:12" x14ac:dyDescent="0.25">
      <c r="J975" s="50"/>
      <c r="L975" s="50"/>
    </row>
    <row r="976" spans="10:12" x14ac:dyDescent="0.25">
      <c r="J976" s="50"/>
      <c r="L976" s="50"/>
    </row>
    <row r="977" spans="10:12" x14ac:dyDescent="0.25">
      <c r="J977" s="50"/>
      <c r="L977" s="50"/>
    </row>
    <row r="978" spans="10:12" x14ac:dyDescent="0.25">
      <c r="J978" s="50"/>
      <c r="L978" s="50"/>
    </row>
    <row r="979" spans="10:12" x14ac:dyDescent="0.25">
      <c r="J979" s="50"/>
      <c r="L979" s="50"/>
    </row>
    <row r="980" spans="10:12" x14ac:dyDescent="0.25">
      <c r="J980" s="50"/>
      <c r="L980" s="50"/>
    </row>
    <row r="981" spans="10:12" x14ac:dyDescent="0.25">
      <c r="J981" s="50"/>
      <c r="L981" s="50"/>
    </row>
    <row r="982" spans="10:12" x14ac:dyDescent="0.25">
      <c r="J982" s="50"/>
      <c r="L982" s="50"/>
    </row>
    <row r="983" spans="10:12" x14ac:dyDescent="0.25">
      <c r="J983" s="50"/>
      <c r="L983" s="50"/>
    </row>
    <row r="984" spans="10:12" x14ac:dyDescent="0.25">
      <c r="J984" s="50"/>
      <c r="L984" s="50"/>
    </row>
    <row r="985" spans="10:12" x14ac:dyDescent="0.25">
      <c r="J985" s="50"/>
      <c r="L985" s="50"/>
    </row>
    <row r="986" spans="10:12" x14ac:dyDescent="0.25">
      <c r="J986" s="50"/>
      <c r="L986" s="50"/>
    </row>
    <row r="987" spans="10:12" x14ac:dyDescent="0.25">
      <c r="J987" s="50"/>
      <c r="L987" s="50"/>
    </row>
    <row r="988" spans="10:12" x14ac:dyDescent="0.25">
      <c r="J988" s="50"/>
      <c r="L988" s="50"/>
    </row>
    <row r="989" spans="10:12" x14ac:dyDescent="0.25">
      <c r="J989" s="50"/>
      <c r="L989" s="50"/>
    </row>
    <row r="990" spans="10:12" x14ac:dyDescent="0.25">
      <c r="J990" s="50"/>
      <c r="L990" s="50"/>
    </row>
    <row r="991" spans="10:12" x14ac:dyDescent="0.25">
      <c r="J991" s="50"/>
      <c r="L991" s="50"/>
    </row>
    <row r="992" spans="10:12" x14ac:dyDescent="0.25">
      <c r="J992" s="50"/>
      <c r="L992" s="50"/>
    </row>
    <row r="993" spans="10:12" x14ac:dyDescent="0.25">
      <c r="J993" s="50"/>
      <c r="L993" s="50"/>
    </row>
    <row r="994" spans="10:12" x14ac:dyDescent="0.25">
      <c r="J994" s="50"/>
      <c r="L994" s="50"/>
    </row>
    <row r="995" spans="10:12" x14ac:dyDescent="0.25">
      <c r="J995" s="50"/>
      <c r="L995" s="50"/>
    </row>
    <row r="996" spans="10:12" x14ac:dyDescent="0.25">
      <c r="J996" s="50"/>
      <c r="L996" s="50"/>
    </row>
    <row r="997" spans="10:12" x14ac:dyDescent="0.25">
      <c r="J997" s="50"/>
      <c r="L997" s="50"/>
    </row>
    <row r="998" spans="10:12" x14ac:dyDescent="0.25">
      <c r="J998" s="50"/>
      <c r="L998" s="50"/>
    </row>
    <row r="999" spans="10:12" x14ac:dyDescent="0.25">
      <c r="J999" s="50"/>
      <c r="L999" s="50"/>
    </row>
    <row r="1000" spans="10:12" x14ac:dyDescent="0.25">
      <c r="J1000" s="50"/>
      <c r="L1000" s="50"/>
    </row>
    <row r="1001" spans="10:12" x14ac:dyDescent="0.25">
      <c r="J1001" s="50"/>
      <c r="L1001" s="50"/>
    </row>
    <row r="1002" spans="10:12" x14ac:dyDescent="0.25">
      <c r="J1002" s="50"/>
      <c r="L1002" s="50"/>
    </row>
    <row r="1003" spans="10:12" x14ac:dyDescent="0.25">
      <c r="J1003" s="50"/>
      <c r="L1003" s="50"/>
    </row>
    <row r="1004" spans="10:12" x14ac:dyDescent="0.25">
      <c r="J1004" s="50"/>
      <c r="L1004" s="50"/>
    </row>
    <row r="1005" spans="10:12" x14ac:dyDescent="0.25">
      <c r="J1005" s="50"/>
      <c r="L1005" s="50"/>
    </row>
    <row r="1006" spans="10:12" x14ac:dyDescent="0.25">
      <c r="J1006" s="50"/>
      <c r="L1006" s="50"/>
    </row>
    <row r="1007" spans="10:12" x14ac:dyDescent="0.25">
      <c r="J1007" s="50"/>
      <c r="L1007" s="50"/>
    </row>
    <row r="1008" spans="10:12" x14ac:dyDescent="0.25">
      <c r="J1008" s="50"/>
      <c r="L1008" s="50"/>
    </row>
    <row r="1009" spans="10:12" x14ac:dyDescent="0.25">
      <c r="J1009" s="50"/>
      <c r="L1009" s="50"/>
    </row>
    <row r="1010" spans="10:12" x14ac:dyDescent="0.25">
      <c r="J1010" s="50"/>
      <c r="L1010" s="50"/>
    </row>
    <row r="1011" spans="10:12" x14ac:dyDescent="0.25">
      <c r="J1011" s="50"/>
      <c r="L1011" s="50"/>
    </row>
    <row r="1012" spans="10:12" x14ac:dyDescent="0.25">
      <c r="J1012" s="50"/>
      <c r="L1012" s="50"/>
    </row>
    <row r="1013" spans="10:12" x14ac:dyDescent="0.25">
      <c r="J1013" s="50"/>
      <c r="L1013" s="50"/>
    </row>
    <row r="1014" spans="10:12" x14ac:dyDescent="0.25">
      <c r="J1014" s="50"/>
      <c r="L1014" s="50"/>
    </row>
    <row r="1015" spans="10:12" x14ac:dyDescent="0.25">
      <c r="J1015" s="50"/>
      <c r="L1015" s="50"/>
    </row>
    <row r="1016" spans="10:12" x14ac:dyDescent="0.25">
      <c r="J1016" s="50"/>
      <c r="L1016" s="50"/>
    </row>
    <row r="1017" spans="10:12" x14ac:dyDescent="0.25">
      <c r="J1017" s="50"/>
      <c r="L1017" s="50"/>
    </row>
    <row r="1018" spans="10:12" x14ac:dyDescent="0.25">
      <c r="J1018" s="50"/>
      <c r="L1018" s="50"/>
    </row>
    <row r="1019" spans="10:12" x14ac:dyDescent="0.25">
      <c r="J1019" s="50"/>
      <c r="L1019" s="50"/>
    </row>
    <row r="1020" spans="10:12" x14ac:dyDescent="0.25">
      <c r="J1020" s="50"/>
      <c r="L1020" s="50"/>
    </row>
    <row r="1021" spans="10:12" x14ac:dyDescent="0.25">
      <c r="J1021" s="50"/>
      <c r="L1021" s="50"/>
    </row>
    <row r="1022" spans="10:12" x14ac:dyDescent="0.25">
      <c r="J1022" s="50"/>
      <c r="L1022" s="50"/>
    </row>
    <row r="1023" spans="10:12" x14ac:dyDescent="0.25">
      <c r="J1023" s="50"/>
      <c r="L1023" s="50"/>
    </row>
    <row r="1024" spans="10:12" x14ac:dyDescent="0.25">
      <c r="J1024" s="50"/>
      <c r="L1024" s="50"/>
    </row>
    <row r="1025" spans="10:12" x14ac:dyDescent="0.25">
      <c r="J1025" s="50"/>
      <c r="L1025" s="50"/>
    </row>
    <row r="1026" spans="10:12" x14ac:dyDescent="0.25">
      <c r="J1026" s="50"/>
      <c r="L1026" s="50"/>
    </row>
    <row r="1027" spans="10:12" x14ac:dyDescent="0.25">
      <c r="J1027" s="50"/>
      <c r="L1027" s="50"/>
    </row>
    <row r="1028" spans="10:12" x14ac:dyDescent="0.25">
      <c r="J1028" s="50"/>
      <c r="L1028" s="50"/>
    </row>
    <row r="1029" spans="10:12" x14ac:dyDescent="0.25">
      <c r="J1029" s="50"/>
      <c r="L1029" s="50"/>
    </row>
    <row r="1030" spans="10:12" x14ac:dyDescent="0.25">
      <c r="J1030" s="50"/>
      <c r="L1030" s="50"/>
    </row>
    <row r="1031" spans="10:12" x14ac:dyDescent="0.25">
      <c r="J1031" s="50"/>
      <c r="L1031" s="50"/>
    </row>
    <row r="1032" spans="10:12" x14ac:dyDescent="0.25">
      <c r="J1032" s="50"/>
      <c r="L1032" s="50"/>
    </row>
    <row r="1033" spans="10:12" x14ac:dyDescent="0.25">
      <c r="J1033" s="50"/>
      <c r="L1033" s="50"/>
    </row>
    <row r="1034" spans="10:12" x14ac:dyDescent="0.25">
      <c r="J1034" s="50"/>
      <c r="L1034" s="50"/>
    </row>
    <row r="1035" spans="10:12" x14ac:dyDescent="0.25">
      <c r="J1035" s="50"/>
      <c r="L1035" s="50"/>
    </row>
    <row r="1036" spans="10:12" x14ac:dyDescent="0.25">
      <c r="J1036" s="50"/>
      <c r="L1036" s="50"/>
    </row>
    <row r="1037" spans="10:12" x14ac:dyDescent="0.25">
      <c r="J1037" s="50"/>
      <c r="L1037" s="50"/>
    </row>
    <row r="1038" spans="10:12" x14ac:dyDescent="0.25">
      <c r="J1038" s="50"/>
      <c r="L1038" s="50"/>
    </row>
    <row r="1039" spans="10:12" x14ac:dyDescent="0.25">
      <c r="J1039" s="50"/>
      <c r="L1039" s="50"/>
    </row>
    <row r="1040" spans="10:12" x14ac:dyDescent="0.25">
      <c r="J1040" s="50"/>
      <c r="L1040" s="50"/>
    </row>
    <row r="1041" spans="10:12" x14ac:dyDescent="0.25">
      <c r="J1041" s="50"/>
      <c r="L1041" s="50"/>
    </row>
    <row r="1042" spans="10:12" x14ac:dyDescent="0.25">
      <c r="J1042" s="50"/>
      <c r="L1042" s="50"/>
    </row>
    <row r="1043" spans="10:12" x14ac:dyDescent="0.25">
      <c r="J1043" s="50"/>
      <c r="L1043" s="50"/>
    </row>
    <row r="1044" spans="10:12" x14ac:dyDescent="0.25">
      <c r="J1044" s="50"/>
      <c r="L1044" s="50"/>
    </row>
    <row r="1045" spans="10:12" x14ac:dyDescent="0.25">
      <c r="J1045" s="50"/>
      <c r="L1045" s="50"/>
    </row>
    <row r="1046" spans="10:12" x14ac:dyDescent="0.25">
      <c r="J1046" s="50"/>
      <c r="L1046" s="50"/>
    </row>
    <row r="1047" spans="10:12" x14ac:dyDescent="0.25">
      <c r="J1047" s="50"/>
      <c r="L1047" s="50"/>
    </row>
    <row r="1048" spans="10:12" x14ac:dyDescent="0.25">
      <c r="J1048" s="50"/>
      <c r="L1048" s="50"/>
    </row>
    <row r="1049" spans="10:12" x14ac:dyDescent="0.25">
      <c r="J1049" s="50"/>
      <c r="L1049" s="50"/>
    </row>
    <row r="1050" spans="10:12" x14ac:dyDescent="0.25">
      <c r="J1050" s="50"/>
      <c r="L1050" s="50"/>
    </row>
    <row r="1051" spans="10:12" x14ac:dyDescent="0.25">
      <c r="J1051" s="50"/>
      <c r="L1051" s="50"/>
    </row>
    <row r="1052" spans="10:12" x14ac:dyDescent="0.25">
      <c r="J1052" s="50"/>
      <c r="L1052" s="50"/>
    </row>
    <row r="1053" spans="10:12" x14ac:dyDescent="0.25">
      <c r="J1053" s="50"/>
      <c r="L1053" s="50"/>
    </row>
    <row r="1054" spans="10:12" x14ac:dyDescent="0.25">
      <c r="J1054" s="50"/>
      <c r="L1054" s="50"/>
    </row>
    <row r="1055" spans="10:12" x14ac:dyDescent="0.25">
      <c r="J1055" s="50"/>
      <c r="L1055" s="50"/>
    </row>
    <row r="1056" spans="10:12" x14ac:dyDescent="0.25">
      <c r="J1056" s="50"/>
      <c r="L1056" s="50"/>
    </row>
    <row r="1057" spans="10:12" x14ac:dyDescent="0.25">
      <c r="J1057" s="50"/>
      <c r="L1057" s="50"/>
    </row>
    <row r="1058" spans="10:12" x14ac:dyDescent="0.25">
      <c r="J1058" s="50"/>
      <c r="L1058" s="50"/>
    </row>
    <row r="1059" spans="10:12" x14ac:dyDescent="0.25">
      <c r="J1059" s="50"/>
      <c r="L1059" s="50"/>
    </row>
    <row r="1060" spans="10:12" x14ac:dyDescent="0.25">
      <c r="J1060" s="50"/>
      <c r="L1060" s="50"/>
    </row>
    <row r="1061" spans="10:12" x14ac:dyDescent="0.25">
      <c r="J1061" s="50"/>
      <c r="L1061" s="50"/>
    </row>
    <row r="1062" spans="10:12" x14ac:dyDescent="0.25">
      <c r="J1062" s="50"/>
      <c r="L1062" s="50"/>
    </row>
    <row r="1063" spans="10:12" x14ac:dyDescent="0.25">
      <c r="J1063" s="50"/>
      <c r="L1063" s="50"/>
    </row>
    <row r="1064" spans="10:12" x14ac:dyDescent="0.25">
      <c r="J1064" s="50"/>
      <c r="L1064" s="50"/>
    </row>
    <row r="1065" spans="10:12" x14ac:dyDescent="0.25">
      <c r="J1065" s="50"/>
      <c r="L1065" s="50"/>
    </row>
    <row r="1066" spans="10:12" x14ac:dyDescent="0.25">
      <c r="J1066" s="50"/>
      <c r="L1066" s="50"/>
    </row>
    <row r="1067" spans="10:12" x14ac:dyDescent="0.25">
      <c r="J1067" s="50"/>
      <c r="L1067" s="50"/>
    </row>
    <row r="1068" spans="10:12" x14ac:dyDescent="0.25">
      <c r="J1068" s="50"/>
      <c r="L1068" s="50"/>
    </row>
    <row r="1069" spans="10:12" x14ac:dyDescent="0.25">
      <c r="J1069" s="50"/>
      <c r="L1069" s="50"/>
    </row>
    <row r="1070" spans="10:12" x14ac:dyDescent="0.25">
      <c r="J1070" s="50"/>
      <c r="L1070" s="50"/>
    </row>
    <row r="1071" spans="10:12" x14ac:dyDescent="0.25">
      <c r="J1071" s="50"/>
      <c r="L1071" s="50"/>
    </row>
    <row r="1072" spans="10:12" x14ac:dyDescent="0.25">
      <c r="J1072" s="50"/>
      <c r="L1072" s="50"/>
    </row>
    <row r="1073" spans="10:12" x14ac:dyDescent="0.25">
      <c r="J1073" s="50"/>
      <c r="L1073" s="50"/>
    </row>
    <row r="1074" spans="10:12" x14ac:dyDescent="0.25">
      <c r="J1074" s="50"/>
      <c r="L1074" s="50"/>
    </row>
    <row r="1075" spans="10:12" x14ac:dyDescent="0.25">
      <c r="J1075" s="50"/>
      <c r="L1075" s="50"/>
    </row>
    <row r="1076" spans="10:12" x14ac:dyDescent="0.25">
      <c r="J1076" s="50"/>
      <c r="L1076" s="50"/>
    </row>
    <row r="1077" spans="10:12" x14ac:dyDescent="0.25">
      <c r="J1077" s="50"/>
      <c r="L1077" s="50"/>
    </row>
    <row r="1078" spans="10:12" x14ac:dyDescent="0.25">
      <c r="J1078" s="50"/>
      <c r="L1078" s="50"/>
    </row>
    <row r="1079" spans="10:12" x14ac:dyDescent="0.25">
      <c r="J1079" s="50"/>
      <c r="L1079" s="50"/>
    </row>
    <row r="1080" spans="10:12" x14ac:dyDescent="0.25">
      <c r="J1080" s="50"/>
      <c r="L1080" s="50"/>
    </row>
    <row r="1081" spans="10:12" x14ac:dyDescent="0.25">
      <c r="J1081" s="50"/>
      <c r="L1081" s="50"/>
    </row>
    <row r="1082" spans="10:12" x14ac:dyDescent="0.25">
      <c r="J1082" s="50"/>
      <c r="L1082" s="50"/>
    </row>
    <row r="1083" spans="10:12" x14ac:dyDescent="0.25">
      <c r="J1083" s="50"/>
      <c r="L1083" s="50"/>
    </row>
    <row r="1084" spans="10:12" x14ac:dyDescent="0.25">
      <c r="J1084" s="50"/>
      <c r="L1084" s="50"/>
    </row>
    <row r="1085" spans="10:12" x14ac:dyDescent="0.25">
      <c r="J1085" s="50"/>
      <c r="L1085" s="50"/>
    </row>
    <row r="1086" spans="10:12" x14ac:dyDescent="0.25">
      <c r="J1086" s="50"/>
      <c r="L1086" s="50"/>
    </row>
    <row r="1087" spans="10:12" x14ac:dyDescent="0.25">
      <c r="J1087" s="50"/>
      <c r="L1087" s="50"/>
    </row>
    <row r="1088" spans="10:12" x14ac:dyDescent="0.25">
      <c r="J1088" s="50"/>
      <c r="L1088" s="50"/>
    </row>
    <row r="1089" spans="10:12" x14ac:dyDescent="0.25">
      <c r="J1089" s="50"/>
      <c r="L1089" s="50"/>
    </row>
    <row r="1090" spans="10:12" x14ac:dyDescent="0.25">
      <c r="J1090" s="50"/>
      <c r="L1090" s="50"/>
    </row>
    <row r="1091" spans="10:12" x14ac:dyDescent="0.25">
      <c r="J1091" s="50"/>
      <c r="L1091" s="50"/>
    </row>
    <row r="1092" spans="10:12" x14ac:dyDescent="0.25">
      <c r="J1092" s="50"/>
      <c r="L1092" s="50"/>
    </row>
    <row r="1093" spans="10:12" x14ac:dyDescent="0.25">
      <c r="J1093" s="50"/>
      <c r="L1093" s="50"/>
    </row>
    <row r="1094" spans="10:12" x14ac:dyDescent="0.25">
      <c r="J1094" s="50"/>
      <c r="L1094" s="50"/>
    </row>
    <row r="1095" spans="10:12" x14ac:dyDescent="0.25">
      <c r="J1095" s="50"/>
      <c r="L1095" s="50"/>
    </row>
    <row r="1096" spans="10:12" x14ac:dyDescent="0.25">
      <c r="J1096" s="50"/>
      <c r="L1096" s="50"/>
    </row>
    <row r="1097" spans="10:12" x14ac:dyDescent="0.25">
      <c r="J1097" s="50"/>
      <c r="L1097" s="50"/>
    </row>
    <row r="1098" spans="10:12" x14ac:dyDescent="0.25">
      <c r="J1098" s="50"/>
      <c r="L1098" s="50"/>
    </row>
    <row r="1099" spans="10:12" x14ac:dyDescent="0.25">
      <c r="J1099" s="50"/>
      <c r="L1099" s="50"/>
    </row>
    <row r="1100" spans="10:12" x14ac:dyDescent="0.25">
      <c r="J1100" s="50"/>
      <c r="L1100" s="50"/>
    </row>
    <row r="1101" spans="10:12" x14ac:dyDescent="0.25">
      <c r="J1101" s="50"/>
      <c r="L1101" s="50"/>
    </row>
    <row r="1102" spans="10:12" x14ac:dyDescent="0.25">
      <c r="J1102" s="50"/>
      <c r="L1102" s="50"/>
    </row>
    <row r="1103" spans="10:12" x14ac:dyDescent="0.25">
      <c r="J1103" s="50"/>
      <c r="L1103" s="50"/>
    </row>
    <row r="1104" spans="10:12" x14ac:dyDescent="0.25">
      <c r="J1104" s="50"/>
      <c r="L1104" s="50"/>
    </row>
    <row r="1105" spans="10:12" x14ac:dyDescent="0.25">
      <c r="J1105" s="50"/>
      <c r="L1105" s="50"/>
    </row>
    <row r="1106" spans="10:12" x14ac:dyDescent="0.25">
      <c r="J1106" s="50"/>
      <c r="L1106" s="50"/>
    </row>
    <row r="1107" spans="10:12" x14ac:dyDescent="0.25">
      <c r="J1107" s="50"/>
      <c r="L1107" s="50"/>
    </row>
    <row r="1108" spans="10:12" x14ac:dyDescent="0.25">
      <c r="J1108" s="50"/>
      <c r="L1108" s="50"/>
    </row>
    <row r="1109" spans="10:12" x14ac:dyDescent="0.25">
      <c r="J1109" s="50"/>
      <c r="L1109" s="50"/>
    </row>
    <row r="1110" spans="10:12" x14ac:dyDescent="0.25">
      <c r="J1110" s="50"/>
      <c r="L1110" s="50"/>
    </row>
    <row r="1111" spans="10:12" x14ac:dyDescent="0.25">
      <c r="J1111" s="50"/>
      <c r="L1111" s="50"/>
    </row>
    <row r="1112" spans="10:12" x14ac:dyDescent="0.25">
      <c r="J1112" s="50"/>
      <c r="L1112" s="50"/>
    </row>
    <row r="1113" spans="10:12" x14ac:dyDescent="0.25">
      <c r="J1113" s="50"/>
      <c r="L1113" s="50"/>
    </row>
    <row r="1114" spans="10:12" x14ac:dyDescent="0.25">
      <c r="J1114" s="50"/>
      <c r="L1114" s="50"/>
    </row>
    <row r="1115" spans="10:12" x14ac:dyDescent="0.25">
      <c r="J1115" s="50"/>
      <c r="L1115" s="50"/>
    </row>
    <row r="1116" spans="10:12" x14ac:dyDescent="0.25">
      <c r="J1116" s="50"/>
      <c r="L1116" s="50"/>
    </row>
    <row r="1117" spans="10:12" x14ac:dyDescent="0.25">
      <c r="J1117" s="50"/>
      <c r="L1117" s="50"/>
    </row>
    <row r="1118" spans="10:12" x14ac:dyDescent="0.25">
      <c r="J1118" s="50"/>
      <c r="L1118" s="50"/>
    </row>
    <row r="1119" spans="10:12" x14ac:dyDescent="0.25">
      <c r="J1119" s="50"/>
      <c r="L1119" s="50"/>
    </row>
    <row r="1120" spans="10:12" x14ac:dyDescent="0.25">
      <c r="J1120" s="50"/>
      <c r="L1120" s="50"/>
    </row>
    <row r="1121" spans="10:12" x14ac:dyDescent="0.25">
      <c r="J1121" s="50"/>
      <c r="L1121" s="50"/>
    </row>
    <row r="1122" spans="10:12" x14ac:dyDescent="0.25">
      <c r="J1122" s="50"/>
      <c r="L1122" s="50"/>
    </row>
    <row r="1123" spans="10:12" x14ac:dyDescent="0.25">
      <c r="J1123" s="50"/>
      <c r="L1123" s="50"/>
    </row>
    <row r="1124" spans="10:12" x14ac:dyDescent="0.25">
      <c r="J1124" s="50"/>
      <c r="L1124" s="50"/>
    </row>
    <row r="1125" spans="10:12" x14ac:dyDescent="0.25">
      <c r="J1125" s="50"/>
      <c r="L1125" s="50"/>
    </row>
    <row r="1126" spans="10:12" x14ac:dyDescent="0.25">
      <c r="J1126" s="50"/>
      <c r="L1126" s="50"/>
    </row>
    <row r="1127" spans="10:12" x14ac:dyDescent="0.25">
      <c r="J1127" s="50"/>
      <c r="L1127" s="50"/>
    </row>
    <row r="1128" spans="10:12" x14ac:dyDescent="0.25">
      <c r="J1128" s="50"/>
      <c r="L1128" s="50"/>
    </row>
    <row r="1129" spans="10:12" x14ac:dyDescent="0.25">
      <c r="J1129" s="50"/>
      <c r="L1129" s="50"/>
    </row>
    <row r="1130" spans="10:12" x14ac:dyDescent="0.25">
      <c r="J1130" s="50"/>
      <c r="L1130" s="50"/>
    </row>
    <row r="1131" spans="10:12" x14ac:dyDescent="0.25">
      <c r="J1131" s="50"/>
      <c r="L1131" s="50"/>
    </row>
    <row r="1132" spans="10:12" x14ac:dyDescent="0.25">
      <c r="J1132" s="50"/>
      <c r="L1132" s="50"/>
    </row>
    <row r="1133" spans="10:12" x14ac:dyDescent="0.25">
      <c r="J1133" s="50"/>
      <c r="L1133" s="50"/>
    </row>
    <row r="1134" spans="10:12" x14ac:dyDescent="0.25">
      <c r="J1134" s="50"/>
      <c r="L1134" s="50"/>
    </row>
    <row r="1135" spans="10:12" x14ac:dyDescent="0.25">
      <c r="J1135" s="50"/>
      <c r="L1135" s="50"/>
    </row>
    <row r="1136" spans="10:12" x14ac:dyDescent="0.25">
      <c r="J1136" s="50"/>
      <c r="L1136" s="50"/>
    </row>
    <row r="1137" spans="10:12" x14ac:dyDescent="0.25">
      <c r="J1137" s="50"/>
      <c r="L1137" s="50"/>
    </row>
    <row r="1138" spans="10:12" x14ac:dyDescent="0.25">
      <c r="J1138" s="50"/>
      <c r="L1138" s="50"/>
    </row>
    <row r="1139" spans="10:12" x14ac:dyDescent="0.25">
      <c r="J1139" s="50"/>
      <c r="L1139" s="50"/>
    </row>
    <row r="1140" spans="10:12" x14ac:dyDescent="0.25">
      <c r="J1140" s="50"/>
      <c r="L1140" s="50"/>
    </row>
    <row r="1141" spans="10:12" x14ac:dyDescent="0.25">
      <c r="J1141" s="50"/>
      <c r="L1141" s="50"/>
    </row>
    <row r="1142" spans="10:12" x14ac:dyDescent="0.25">
      <c r="J1142" s="50"/>
      <c r="L1142" s="50"/>
    </row>
    <row r="1143" spans="10:12" x14ac:dyDescent="0.25">
      <c r="J1143" s="50"/>
      <c r="L1143" s="50"/>
    </row>
    <row r="1144" spans="10:12" x14ac:dyDescent="0.25">
      <c r="J1144" s="50"/>
      <c r="L1144" s="50"/>
    </row>
    <row r="1145" spans="10:12" x14ac:dyDescent="0.25">
      <c r="J1145" s="50"/>
      <c r="L1145" s="50"/>
    </row>
    <row r="1146" spans="10:12" x14ac:dyDescent="0.25">
      <c r="J1146" s="50"/>
      <c r="L1146" s="50"/>
    </row>
    <row r="1147" spans="10:12" x14ac:dyDescent="0.25">
      <c r="J1147" s="50"/>
      <c r="L1147" s="50"/>
    </row>
    <row r="1148" spans="10:12" x14ac:dyDescent="0.25">
      <c r="J1148" s="50"/>
      <c r="L1148" s="50"/>
    </row>
    <row r="1149" spans="10:12" x14ac:dyDescent="0.25">
      <c r="J1149" s="50"/>
      <c r="L1149" s="50"/>
    </row>
    <row r="1150" spans="10:12" x14ac:dyDescent="0.25">
      <c r="J1150" s="50"/>
      <c r="L1150" s="50"/>
    </row>
    <row r="1151" spans="10:12" x14ac:dyDescent="0.25">
      <c r="J1151" s="50"/>
      <c r="L1151" s="50"/>
    </row>
    <row r="1152" spans="10:12" x14ac:dyDescent="0.25">
      <c r="J1152" s="50"/>
      <c r="L1152" s="50"/>
    </row>
    <row r="1153" spans="10:12" x14ac:dyDescent="0.25">
      <c r="J1153" s="50"/>
      <c r="L1153" s="50"/>
    </row>
    <row r="1154" spans="10:12" x14ac:dyDescent="0.25">
      <c r="J1154" s="50"/>
      <c r="L1154" s="50"/>
    </row>
    <row r="1155" spans="10:12" x14ac:dyDescent="0.25">
      <c r="J1155" s="50"/>
      <c r="L1155" s="50"/>
    </row>
    <row r="1156" spans="10:12" x14ac:dyDescent="0.25">
      <c r="J1156" s="50"/>
      <c r="L1156" s="50"/>
    </row>
    <row r="1157" spans="10:12" x14ac:dyDescent="0.25">
      <c r="J1157" s="50"/>
      <c r="L1157" s="50"/>
    </row>
    <row r="1158" spans="10:12" x14ac:dyDescent="0.25">
      <c r="J1158" s="50"/>
      <c r="L1158" s="50"/>
    </row>
    <row r="1159" spans="10:12" x14ac:dyDescent="0.25">
      <c r="J1159" s="50"/>
      <c r="L1159" s="50"/>
    </row>
    <row r="1160" spans="10:12" x14ac:dyDescent="0.25">
      <c r="J1160" s="50"/>
      <c r="L1160" s="50"/>
    </row>
    <row r="1161" spans="10:12" x14ac:dyDescent="0.25">
      <c r="J1161" s="50"/>
      <c r="L1161" s="50"/>
    </row>
    <row r="1162" spans="10:12" x14ac:dyDescent="0.25">
      <c r="J1162" s="50"/>
      <c r="L1162" s="50"/>
    </row>
    <row r="1163" spans="10:12" x14ac:dyDescent="0.25">
      <c r="J1163" s="50"/>
      <c r="L1163" s="50"/>
    </row>
    <row r="1164" spans="10:12" x14ac:dyDescent="0.25">
      <c r="J1164" s="50"/>
      <c r="L1164" s="50"/>
    </row>
    <row r="1165" spans="10:12" x14ac:dyDescent="0.25">
      <c r="J1165" s="50"/>
      <c r="L1165" s="50"/>
    </row>
    <row r="1166" spans="10:12" x14ac:dyDescent="0.25">
      <c r="J1166" s="50"/>
      <c r="L1166" s="50"/>
    </row>
    <row r="1167" spans="10:12" x14ac:dyDescent="0.25">
      <c r="J1167" s="50"/>
      <c r="L1167" s="50"/>
    </row>
    <row r="1168" spans="10:12" x14ac:dyDescent="0.25">
      <c r="J1168" s="50"/>
      <c r="L1168" s="50"/>
    </row>
    <row r="1169" spans="10:12" x14ac:dyDescent="0.25">
      <c r="J1169" s="50"/>
      <c r="L1169" s="50"/>
    </row>
    <row r="1170" spans="10:12" x14ac:dyDescent="0.25">
      <c r="J1170" s="50"/>
      <c r="L1170" s="50"/>
    </row>
    <row r="1171" spans="10:12" x14ac:dyDescent="0.25">
      <c r="J1171" s="50"/>
      <c r="L1171" s="50"/>
    </row>
    <row r="1172" spans="10:12" x14ac:dyDescent="0.25">
      <c r="J1172" s="50"/>
      <c r="L1172" s="50"/>
    </row>
    <row r="1173" spans="10:12" x14ac:dyDescent="0.25">
      <c r="J1173" s="50"/>
      <c r="L1173" s="50"/>
    </row>
    <row r="1174" spans="10:12" x14ac:dyDescent="0.25">
      <c r="J1174" s="50"/>
      <c r="L1174" s="50"/>
    </row>
    <row r="1175" spans="10:12" x14ac:dyDescent="0.25">
      <c r="J1175" s="50"/>
      <c r="L1175" s="50"/>
    </row>
    <row r="1176" spans="10:12" x14ac:dyDescent="0.25">
      <c r="J1176" s="50"/>
      <c r="L1176" s="50"/>
    </row>
    <row r="1177" spans="10:12" x14ac:dyDescent="0.25">
      <c r="J1177" s="50"/>
      <c r="L1177" s="50"/>
    </row>
    <row r="1178" spans="10:12" x14ac:dyDescent="0.25">
      <c r="J1178" s="50"/>
      <c r="L1178" s="50"/>
    </row>
    <row r="1179" spans="10:12" x14ac:dyDescent="0.25">
      <c r="J1179" s="50"/>
      <c r="L1179" s="50"/>
    </row>
    <row r="1180" spans="10:12" x14ac:dyDescent="0.25">
      <c r="J1180" s="50"/>
      <c r="L1180" s="50"/>
    </row>
    <row r="1181" spans="10:12" x14ac:dyDescent="0.25">
      <c r="J1181" s="50"/>
      <c r="L1181" s="50"/>
    </row>
    <row r="1182" spans="10:12" x14ac:dyDescent="0.25">
      <c r="J1182" s="50"/>
      <c r="L1182" s="50"/>
    </row>
    <row r="1183" spans="10:12" x14ac:dyDescent="0.25">
      <c r="J1183" s="50"/>
      <c r="L1183" s="50"/>
    </row>
    <row r="1184" spans="10:12" x14ac:dyDescent="0.25">
      <c r="J1184" s="50"/>
      <c r="L1184" s="50"/>
    </row>
    <row r="1185" spans="10:12" x14ac:dyDescent="0.25">
      <c r="J1185" s="50"/>
      <c r="L1185" s="50"/>
    </row>
    <row r="1186" spans="10:12" x14ac:dyDescent="0.25">
      <c r="J1186" s="50"/>
      <c r="L1186" s="50"/>
    </row>
    <row r="1187" spans="10:12" x14ac:dyDescent="0.25">
      <c r="J1187" s="50"/>
      <c r="L1187" s="50"/>
    </row>
    <row r="1188" spans="10:12" x14ac:dyDescent="0.25">
      <c r="J1188" s="50"/>
      <c r="L1188" s="50"/>
    </row>
    <row r="1189" spans="10:12" x14ac:dyDescent="0.25">
      <c r="J1189" s="50"/>
      <c r="L1189" s="50"/>
    </row>
    <row r="1190" spans="10:12" x14ac:dyDescent="0.25">
      <c r="J1190" s="50"/>
      <c r="L1190" s="50"/>
    </row>
    <row r="1191" spans="10:12" x14ac:dyDescent="0.25">
      <c r="J1191" s="50"/>
      <c r="L1191" s="50"/>
    </row>
    <row r="1192" spans="10:12" x14ac:dyDescent="0.25">
      <c r="J1192" s="50"/>
      <c r="L1192" s="50"/>
    </row>
    <row r="1193" spans="10:12" x14ac:dyDescent="0.25">
      <c r="J1193" s="50"/>
      <c r="L1193" s="50"/>
    </row>
    <row r="1194" spans="10:12" x14ac:dyDescent="0.25">
      <c r="J1194" s="50"/>
      <c r="L1194" s="50"/>
    </row>
    <row r="1195" spans="10:12" x14ac:dyDescent="0.25">
      <c r="J1195" s="50"/>
      <c r="L1195" s="50"/>
    </row>
    <row r="1196" spans="10:12" x14ac:dyDescent="0.25">
      <c r="J1196" s="50"/>
      <c r="L1196" s="50"/>
    </row>
    <row r="1197" spans="10:12" x14ac:dyDescent="0.25">
      <c r="J1197" s="50"/>
      <c r="L1197" s="50"/>
    </row>
    <row r="1198" spans="10:12" x14ac:dyDescent="0.25">
      <c r="J1198" s="50"/>
      <c r="L1198" s="50"/>
    </row>
    <row r="1199" spans="10:12" x14ac:dyDescent="0.25">
      <c r="J1199" s="50"/>
      <c r="L1199" s="50"/>
    </row>
    <row r="1200" spans="10:12" x14ac:dyDescent="0.25">
      <c r="J1200" s="50"/>
      <c r="L1200" s="50"/>
    </row>
    <row r="1201" spans="10:12" x14ac:dyDescent="0.25">
      <c r="J1201" s="50"/>
      <c r="L1201" s="50"/>
    </row>
    <row r="1202" spans="10:12" x14ac:dyDescent="0.25">
      <c r="J1202" s="50"/>
      <c r="L1202" s="50"/>
    </row>
    <row r="1203" spans="10:12" x14ac:dyDescent="0.25">
      <c r="J1203" s="50"/>
      <c r="L1203" s="50"/>
    </row>
    <row r="1204" spans="10:12" x14ac:dyDescent="0.25">
      <c r="J1204" s="50"/>
      <c r="L1204" s="50"/>
    </row>
    <row r="1205" spans="10:12" x14ac:dyDescent="0.25">
      <c r="J1205" s="50"/>
      <c r="L1205" s="50"/>
    </row>
    <row r="1206" spans="10:12" x14ac:dyDescent="0.25">
      <c r="J1206" s="50"/>
      <c r="L1206" s="50"/>
    </row>
    <row r="1207" spans="10:12" x14ac:dyDescent="0.25">
      <c r="J1207" s="50"/>
      <c r="L1207" s="50"/>
    </row>
    <row r="1208" spans="10:12" x14ac:dyDescent="0.25">
      <c r="J1208" s="50"/>
      <c r="L1208" s="50"/>
    </row>
    <row r="1209" spans="10:12" x14ac:dyDescent="0.25">
      <c r="J1209" s="50"/>
      <c r="L1209" s="50"/>
    </row>
    <row r="1210" spans="10:12" x14ac:dyDescent="0.25">
      <c r="J1210" s="50"/>
      <c r="L1210" s="50"/>
    </row>
    <row r="1211" spans="10:12" x14ac:dyDescent="0.25">
      <c r="J1211" s="50"/>
      <c r="L1211" s="50"/>
    </row>
    <row r="1212" spans="10:12" x14ac:dyDescent="0.25">
      <c r="J1212" s="50"/>
      <c r="L1212" s="50"/>
    </row>
    <row r="1213" spans="10:12" x14ac:dyDescent="0.25">
      <c r="J1213" s="50"/>
      <c r="L1213" s="50"/>
    </row>
    <row r="1214" spans="10:12" x14ac:dyDescent="0.25">
      <c r="J1214" s="50"/>
      <c r="L1214" s="50"/>
    </row>
    <row r="1215" spans="10:12" x14ac:dyDescent="0.25">
      <c r="J1215" s="50"/>
      <c r="L1215" s="50"/>
    </row>
    <row r="1216" spans="10:12" x14ac:dyDescent="0.25">
      <c r="J1216" s="50"/>
      <c r="L1216" s="50"/>
    </row>
    <row r="1217" spans="10:12" x14ac:dyDescent="0.25">
      <c r="J1217" s="50"/>
      <c r="L1217" s="50"/>
    </row>
    <row r="1218" spans="10:12" x14ac:dyDescent="0.25">
      <c r="J1218" s="50"/>
      <c r="L1218" s="50"/>
    </row>
    <row r="1219" spans="10:12" x14ac:dyDescent="0.25">
      <c r="J1219" s="50"/>
      <c r="L1219" s="50"/>
    </row>
    <row r="1220" spans="10:12" x14ac:dyDescent="0.25">
      <c r="J1220" s="50"/>
      <c r="L1220" s="50"/>
    </row>
    <row r="1221" spans="10:12" x14ac:dyDescent="0.25">
      <c r="J1221" s="50"/>
      <c r="L1221" s="50"/>
    </row>
    <row r="1222" spans="10:12" x14ac:dyDescent="0.25">
      <c r="J1222" s="50"/>
      <c r="L1222" s="50"/>
    </row>
    <row r="1223" spans="10:12" x14ac:dyDescent="0.25">
      <c r="J1223" s="50"/>
      <c r="L1223" s="50"/>
    </row>
    <row r="1224" spans="10:12" x14ac:dyDescent="0.25">
      <c r="J1224" s="50"/>
      <c r="L1224" s="50"/>
    </row>
    <row r="1225" spans="10:12" x14ac:dyDescent="0.25">
      <c r="J1225" s="50"/>
      <c r="L1225" s="50"/>
    </row>
    <row r="1226" spans="10:12" x14ac:dyDescent="0.25">
      <c r="J1226" s="50"/>
      <c r="L1226" s="50"/>
    </row>
    <row r="1227" spans="10:12" x14ac:dyDescent="0.25">
      <c r="J1227" s="50"/>
      <c r="L1227" s="50"/>
    </row>
    <row r="1228" spans="10:12" x14ac:dyDescent="0.25">
      <c r="J1228" s="50"/>
      <c r="L1228" s="50"/>
    </row>
    <row r="1229" spans="10:12" x14ac:dyDescent="0.25">
      <c r="J1229" s="50"/>
      <c r="L1229" s="50"/>
    </row>
    <row r="1230" spans="10:12" x14ac:dyDescent="0.25">
      <c r="J1230" s="50"/>
      <c r="L1230" s="50"/>
    </row>
    <row r="1231" spans="10:12" x14ac:dyDescent="0.25">
      <c r="J1231" s="50"/>
      <c r="L1231" s="50"/>
    </row>
    <row r="1232" spans="10:12" x14ac:dyDescent="0.25">
      <c r="J1232" s="50"/>
      <c r="L1232" s="50"/>
    </row>
    <row r="1233" spans="10:12" x14ac:dyDescent="0.25">
      <c r="J1233" s="50"/>
      <c r="L1233" s="50"/>
    </row>
    <row r="1234" spans="10:12" x14ac:dyDescent="0.25">
      <c r="J1234" s="50"/>
      <c r="L1234" s="50"/>
    </row>
    <row r="1235" spans="10:12" x14ac:dyDescent="0.25">
      <c r="J1235" s="50"/>
      <c r="L1235" s="50"/>
    </row>
    <row r="1236" spans="10:12" x14ac:dyDescent="0.25">
      <c r="J1236" s="50"/>
      <c r="L1236" s="50"/>
    </row>
    <row r="1237" spans="10:12" x14ac:dyDescent="0.25">
      <c r="J1237" s="50"/>
      <c r="L1237" s="50"/>
    </row>
    <row r="1238" spans="10:12" x14ac:dyDescent="0.25">
      <c r="J1238" s="50"/>
      <c r="L1238" s="50"/>
    </row>
    <row r="1239" spans="10:12" x14ac:dyDescent="0.25">
      <c r="J1239" s="50"/>
      <c r="L1239" s="50"/>
    </row>
    <row r="1240" spans="10:12" x14ac:dyDescent="0.25">
      <c r="J1240" s="50"/>
      <c r="L1240" s="50"/>
    </row>
    <row r="1241" spans="10:12" x14ac:dyDescent="0.25">
      <c r="J1241" s="50"/>
      <c r="L1241" s="50"/>
    </row>
    <row r="1242" spans="10:12" x14ac:dyDescent="0.25">
      <c r="J1242" s="50"/>
      <c r="L1242" s="50"/>
    </row>
    <row r="1243" spans="10:12" x14ac:dyDescent="0.25">
      <c r="J1243" s="50"/>
      <c r="L1243" s="50"/>
    </row>
    <row r="1244" spans="10:12" x14ac:dyDescent="0.25">
      <c r="J1244" s="50"/>
      <c r="L1244" s="50"/>
    </row>
    <row r="1245" spans="10:12" x14ac:dyDescent="0.25">
      <c r="J1245" s="50"/>
      <c r="L1245" s="50"/>
    </row>
    <row r="1246" spans="10:12" x14ac:dyDescent="0.25">
      <c r="J1246" s="50"/>
      <c r="L1246" s="50"/>
    </row>
    <row r="1247" spans="10:12" x14ac:dyDescent="0.25">
      <c r="J1247" s="50"/>
      <c r="L1247" s="50"/>
    </row>
    <row r="1248" spans="10:12" x14ac:dyDescent="0.25">
      <c r="J1248" s="50"/>
      <c r="L1248" s="50"/>
    </row>
    <row r="1249" spans="10:12" x14ac:dyDescent="0.25">
      <c r="J1249" s="50"/>
      <c r="L1249" s="50"/>
    </row>
    <row r="1250" spans="10:12" x14ac:dyDescent="0.25">
      <c r="J1250" s="50"/>
      <c r="L1250" s="50"/>
    </row>
    <row r="1251" spans="10:12" x14ac:dyDescent="0.25">
      <c r="J1251" s="50"/>
      <c r="L1251" s="50"/>
    </row>
    <row r="1252" spans="10:12" x14ac:dyDescent="0.25">
      <c r="J1252" s="50"/>
      <c r="L1252" s="50"/>
    </row>
    <row r="1253" spans="10:12" x14ac:dyDescent="0.25">
      <c r="J1253" s="50"/>
      <c r="L1253" s="50"/>
    </row>
    <row r="1254" spans="10:12" x14ac:dyDescent="0.25">
      <c r="J1254" s="50"/>
      <c r="L1254" s="50"/>
    </row>
    <row r="1255" spans="10:12" x14ac:dyDescent="0.25">
      <c r="J1255" s="50"/>
      <c r="L1255" s="50"/>
    </row>
    <row r="1256" spans="10:12" x14ac:dyDescent="0.25">
      <c r="J1256" s="50"/>
      <c r="L1256" s="50"/>
    </row>
    <row r="1257" spans="10:12" x14ac:dyDescent="0.25">
      <c r="J1257" s="50"/>
      <c r="L1257" s="50"/>
    </row>
    <row r="1258" spans="10:12" x14ac:dyDescent="0.25">
      <c r="J1258" s="50"/>
      <c r="L1258" s="50"/>
    </row>
    <row r="1259" spans="10:12" x14ac:dyDescent="0.25">
      <c r="J1259" s="50"/>
      <c r="L1259" s="50"/>
    </row>
    <row r="1260" spans="10:12" x14ac:dyDescent="0.25">
      <c r="J1260" s="50"/>
      <c r="L1260" s="50"/>
    </row>
    <row r="1261" spans="10:12" x14ac:dyDescent="0.25">
      <c r="J1261" s="50"/>
      <c r="L1261" s="50"/>
    </row>
    <row r="1262" spans="10:12" x14ac:dyDescent="0.25">
      <c r="J1262" s="50"/>
      <c r="L1262" s="50"/>
    </row>
    <row r="1263" spans="10:12" x14ac:dyDescent="0.25">
      <c r="J1263" s="50"/>
      <c r="L1263" s="50"/>
    </row>
    <row r="1264" spans="10:12" x14ac:dyDescent="0.25">
      <c r="J1264" s="50"/>
      <c r="L1264" s="50"/>
    </row>
    <row r="1265" spans="10:12" x14ac:dyDescent="0.25">
      <c r="J1265" s="50"/>
      <c r="L1265" s="50"/>
    </row>
    <row r="1266" spans="10:12" x14ac:dyDescent="0.25">
      <c r="J1266" s="50"/>
      <c r="L1266" s="50"/>
    </row>
    <row r="1267" spans="10:12" x14ac:dyDescent="0.25">
      <c r="J1267" s="50"/>
      <c r="L1267" s="50"/>
    </row>
    <row r="1268" spans="10:12" x14ac:dyDescent="0.25">
      <c r="J1268" s="50"/>
      <c r="L1268" s="50"/>
    </row>
    <row r="1269" spans="10:12" x14ac:dyDescent="0.25">
      <c r="J1269" s="50"/>
      <c r="L1269" s="50"/>
    </row>
    <row r="1270" spans="10:12" x14ac:dyDescent="0.25">
      <c r="J1270" s="50"/>
      <c r="L1270" s="50"/>
    </row>
    <row r="1271" spans="10:12" x14ac:dyDescent="0.25">
      <c r="J1271" s="50"/>
      <c r="L1271" s="50"/>
    </row>
    <row r="1272" spans="10:12" x14ac:dyDescent="0.25">
      <c r="J1272" s="50"/>
      <c r="L1272" s="50"/>
    </row>
    <row r="1273" spans="10:12" x14ac:dyDescent="0.25">
      <c r="J1273" s="50"/>
      <c r="L1273" s="50"/>
    </row>
    <row r="1274" spans="10:12" x14ac:dyDescent="0.25">
      <c r="J1274" s="50"/>
      <c r="L1274" s="50"/>
    </row>
    <row r="1275" spans="10:12" x14ac:dyDescent="0.25">
      <c r="J1275" s="50"/>
      <c r="L1275" s="50"/>
    </row>
    <row r="1276" spans="10:12" x14ac:dyDescent="0.25">
      <c r="J1276" s="50"/>
      <c r="L1276" s="50"/>
    </row>
    <row r="1277" spans="10:12" x14ac:dyDescent="0.25">
      <c r="J1277" s="50"/>
      <c r="L1277" s="50"/>
    </row>
    <row r="1278" spans="10:12" x14ac:dyDescent="0.25">
      <c r="J1278" s="50"/>
      <c r="L1278" s="50"/>
    </row>
    <row r="1279" spans="10:12" x14ac:dyDescent="0.25">
      <c r="J1279" s="50"/>
      <c r="L1279" s="50"/>
    </row>
    <row r="1280" spans="10:12" x14ac:dyDescent="0.25">
      <c r="J1280" s="50"/>
      <c r="L1280" s="50"/>
    </row>
    <row r="1281" spans="10:12" x14ac:dyDescent="0.25">
      <c r="J1281" s="50"/>
      <c r="L1281" s="50"/>
    </row>
    <row r="1282" spans="10:12" x14ac:dyDescent="0.25">
      <c r="J1282" s="50"/>
      <c r="L1282" s="50"/>
    </row>
    <row r="1283" spans="10:12" x14ac:dyDescent="0.25">
      <c r="J1283" s="50"/>
      <c r="L1283" s="50"/>
    </row>
    <row r="1284" spans="10:12" x14ac:dyDescent="0.25">
      <c r="J1284" s="50"/>
      <c r="L1284" s="50"/>
    </row>
    <row r="1285" spans="10:12" x14ac:dyDescent="0.25">
      <c r="J1285" s="50"/>
      <c r="L1285" s="50"/>
    </row>
    <row r="1286" spans="10:12" x14ac:dyDescent="0.25">
      <c r="J1286" s="50"/>
      <c r="L1286" s="50"/>
    </row>
    <row r="1287" spans="10:12" x14ac:dyDescent="0.25">
      <c r="J1287" s="50"/>
      <c r="L1287" s="50"/>
    </row>
    <row r="1288" spans="10:12" x14ac:dyDescent="0.25">
      <c r="J1288" s="50"/>
      <c r="L1288" s="50"/>
    </row>
    <row r="1289" spans="10:12" x14ac:dyDescent="0.25">
      <c r="J1289" s="50"/>
      <c r="L1289" s="50"/>
    </row>
    <row r="1290" spans="10:12" x14ac:dyDescent="0.25">
      <c r="J1290" s="50"/>
      <c r="L1290" s="50"/>
    </row>
    <row r="1291" spans="10:12" x14ac:dyDescent="0.25">
      <c r="J1291" s="50"/>
      <c r="L1291" s="50"/>
    </row>
    <row r="1292" spans="10:12" x14ac:dyDescent="0.25">
      <c r="J1292" s="50"/>
      <c r="L1292" s="50"/>
    </row>
    <row r="1293" spans="10:12" x14ac:dyDescent="0.25">
      <c r="J1293" s="50"/>
      <c r="L1293" s="50"/>
    </row>
    <row r="1294" spans="10:12" x14ac:dyDescent="0.25">
      <c r="J1294" s="50"/>
      <c r="L1294" s="50"/>
    </row>
    <row r="1295" spans="10:12" x14ac:dyDescent="0.25">
      <c r="J1295" s="50"/>
      <c r="L1295" s="50"/>
    </row>
    <row r="1296" spans="10:12" x14ac:dyDescent="0.25">
      <c r="J1296" s="50"/>
      <c r="L1296" s="50"/>
    </row>
    <row r="1297" spans="10:12" x14ac:dyDescent="0.25">
      <c r="J1297" s="50"/>
      <c r="L1297" s="50"/>
    </row>
    <row r="1298" spans="10:12" x14ac:dyDescent="0.25">
      <c r="J1298" s="50"/>
      <c r="L1298" s="50"/>
    </row>
    <row r="1299" spans="10:12" x14ac:dyDescent="0.25">
      <c r="J1299" s="50"/>
      <c r="L1299" s="50"/>
    </row>
    <row r="1300" spans="10:12" x14ac:dyDescent="0.25">
      <c r="J1300" s="50"/>
      <c r="L1300" s="50"/>
    </row>
    <row r="1301" spans="10:12" x14ac:dyDescent="0.25">
      <c r="J1301" s="50"/>
      <c r="L1301" s="50"/>
    </row>
    <row r="1302" spans="10:12" x14ac:dyDescent="0.25">
      <c r="J1302" s="50"/>
      <c r="L1302" s="50"/>
    </row>
    <row r="1303" spans="10:12" x14ac:dyDescent="0.25">
      <c r="J1303" s="50"/>
      <c r="L1303" s="50"/>
    </row>
    <row r="1304" spans="10:12" x14ac:dyDescent="0.25">
      <c r="J1304" s="50"/>
      <c r="L1304" s="50"/>
    </row>
    <row r="1305" spans="10:12" x14ac:dyDescent="0.25">
      <c r="J1305" s="50"/>
      <c r="L1305" s="50"/>
    </row>
    <row r="1306" spans="10:12" x14ac:dyDescent="0.25">
      <c r="J1306" s="50"/>
      <c r="L1306" s="50"/>
    </row>
    <row r="1307" spans="10:12" x14ac:dyDescent="0.25">
      <c r="J1307" s="50"/>
      <c r="L1307" s="50"/>
    </row>
    <row r="1308" spans="10:12" x14ac:dyDescent="0.25">
      <c r="J1308" s="50"/>
      <c r="L1308" s="50"/>
    </row>
    <row r="1309" spans="10:12" x14ac:dyDescent="0.25">
      <c r="J1309" s="50"/>
      <c r="L1309" s="50"/>
    </row>
    <row r="1310" spans="10:12" x14ac:dyDescent="0.25">
      <c r="J1310" s="50"/>
      <c r="L1310" s="50"/>
    </row>
    <row r="1311" spans="10:12" x14ac:dyDescent="0.25">
      <c r="J1311" s="50"/>
      <c r="L1311" s="50"/>
    </row>
    <row r="1312" spans="10:12" x14ac:dyDescent="0.25">
      <c r="J1312" s="50"/>
      <c r="L1312" s="50"/>
    </row>
    <row r="1313" spans="10:12" x14ac:dyDescent="0.25">
      <c r="J1313" s="50"/>
      <c r="L1313" s="50"/>
    </row>
    <row r="1314" spans="10:12" x14ac:dyDescent="0.25">
      <c r="J1314" s="50"/>
      <c r="L1314" s="50"/>
    </row>
    <row r="1315" spans="10:12" x14ac:dyDescent="0.25">
      <c r="J1315" s="50"/>
      <c r="L1315" s="50"/>
    </row>
    <row r="1316" spans="10:12" x14ac:dyDescent="0.25">
      <c r="J1316" s="50"/>
      <c r="L1316" s="50"/>
    </row>
    <row r="1317" spans="10:12" x14ac:dyDescent="0.25">
      <c r="J1317" s="50"/>
      <c r="L1317" s="50"/>
    </row>
    <row r="1318" spans="10:12" x14ac:dyDescent="0.25">
      <c r="J1318" s="50"/>
      <c r="L1318" s="50"/>
    </row>
    <row r="1319" spans="10:12" x14ac:dyDescent="0.25">
      <c r="J1319" s="50"/>
      <c r="L1319" s="50"/>
    </row>
    <row r="1320" spans="10:12" x14ac:dyDescent="0.25">
      <c r="J1320" s="50"/>
      <c r="L1320" s="50"/>
    </row>
    <row r="1321" spans="10:12" x14ac:dyDescent="0.25">
      <c r="J1321" s="50"/>
      <c r="L1321" s="50"/>
    </row>
    <row r="1322" spans="10:12" x14ac:dyDescent="0.25">
      <c r="J1322" s="50"/>
      <c r="L1322" s="50"/>
    </row>
    <row r="1323" spans="10:12" x14ac:dyDescent="0.25">
      <c r="J1323" s="50"/>
      <c r="L1323" s="50"/>
    </row>
    <row r="1324" spans="10:12" x14ac:dyDescent="0.25">
      <c r="J1324" s="50"/>
      <c r="L1324" s="50"/>
    </row>
    <row r="1325" spans="10:12" x14ac:dyDescent="0.25">
      <c r="J1325" s="50"/>
      <c r="L1325" s="50"/>
    </row>
    <row r="1326" spans="10:12" x14ac:dyDescent="0.25">
      <c r="J1326" s="50"/>
      <c r="L1326" s="50"/>
    </row>
    <row r="1327" spans="10:12" x14ac:dyDescent="0.25">
      <c r="J1327" s="50"/>
      <c r="L1327" s="50"/>
    </row>
    <row r="1328" spans="10:12" x14ac:dyDescent="0.25">
      <c r="J1328" s="50"/>
      <c r="L1328" s="50"/>
    </row>
    <row r="1329" spans="10:12" x14ac:dyDescent="0.25">
      <c r="J1329" s="50"/>
      <c r="L1329" s="50"/>
    </row>
    <row r="1330" spans="10:12" x14ac:dyDescent="0.25">
      <c r="J1330" s="50"/>
      <c r="L1330" s="50"/>
    </row>
    <row r="1331" spans="10:12" x14ac:dyDescent="0.25">
      <c r="J1331" s="50"/>
      <c r="L1331" s="50"/>
    </row>
    <row r="1332" spans="10:12" x14ac:dyDescent="0.25">
      <c r="J1332" s="50"/>
      <c r="L1332" s="50"/>
    </row>
    <row r="1333" spans="10:12" x14ac:dyDescent="0.25">
      <c r="J1333" s="50"/>
      <c r="L1333" s="50"/>
    </row>
    <row r="1334" spans="10:12" x14ac:dyDescent="0.25">
      <c r="J1334" s="50"/>
      <c r="L1334" s="50"/>
    </row>
    <row r="1335" spans="10:12" x14ac:dyDescent="0.25">
      <c r="J1335" s="50"/>
      <c r="L1335" s="50"/>
    </row>
    <row r="1336" spans="10:12" x14ac:dyDescent="0.25">
      <c r="J1336" s="50"/>
      <c r="L1336" s="50"/>
    </row>
    <row r="1337" spans="10:12" x14ac:dyDescent="0.25">
      <c r="J1337" s="50"/>
      <c r="L1337" s="50"/>
    </row>
    <row r="1338" spans="10:12" x14ac:dyDescent="0.25">
      <c r="J1338" s="50"/>
      <c r="L1338" s="50"/>
    </row>
    <row r="1339" spans="10:12" x14ac:dyDescent="0.25">
      <c r="J1339" s="50"/>
      <c r="L1339" s="50"/>
    </row>
    <row r="1340" spans="10:12" x14ac:dyDescent="0.25">
      <c r="J1340" s="50"/>
      <c r="L1340" s="50"/>
    </row>
    <row r="1341" spans="10:12" x14ac:dyDescent="0.25">
      <c r="J1341" s="50"/>
      <c r="L1341" s="50"/>
    </row>
    <row r="1342" spans="10:12" x14ac:dyDescent="0.25">
      <c r="J1342" s="50"/>
      <c r="L1342" s="50"/>
    </row>
    <row r="1343" spans="10:12" x14ac:dyDescent="0.25">
      <c r="J1343" s="50"/>
      <c r="L1343" s="50"/>
    </row>
    <row r="1344" spans="10:12" x14ac:dyDescent="0.25">
      <c r="J1344" s="50"/>
      <c r="L1344" s="50"/>
    </row>
    <row r="1345" spans="10:12" x14ac:dyDescent="0.25">
      <c r="J1345" s="50"/>
      <c r="L1345" s="50"/>
    </row>
    <row r="1346" spans="10:12" x14ac:dyDescent="0.25">
      <c r="J1346" s="50"/>
      <c r="L1346" s="50"/>
    </row>
    <row r="1347" spans="10:12" x14ac:dyDescent="0.25">
      <c r="J1347" s="50"/>
      <c r="L1347" s="50"/>
    </row>
    <row r="1348" spans="10:12" x14ac:dyDescent="0.25">
      <c r="J1348" s="50"/>
      <c r="L1348" s="50"/>
    </row>
    <row r="1349" spans="10:12" x14ac:dyDescent="0.25">
      <c r="J1349" s="50"/>
      <c r="L1349" s="50"/>
    </row>
    <row r="1350" spans="10:12" x14ac:dyDescent="0.25">
      <c r="J1350" s="50"/>
      <c r="L1350" s="50"/>
    </row>
    <row r="1351" spans="10:12" x14ac:dyDescent="0.25">
      <c r="J1351" s="50"/>
      <c r="L1351" s="50"/>
    </row>
    <row r="1352" spans="10:12" x14ac:dyDescent="0.25">
      <c r="J1352" s="50"/>
      <c r="L1352" s="50"/>
    </row>
    <row r="1353" spans="10:12" x14ac:dyDescent="0.25">
      <c r="J1353" s="50"/>
      <c r="L1353" s="50"/>
    </row>
    <row r="1354" spans="10:12" x14ac:dyDescent="0.25">
      <c r="J1354" s="50"/>
      <c r="L1354" s="50"/>
    </row>
    <row r="1355" spans="10:12" x14ac:dyDescent="0.25">
      <c r="J1355" s="50"/>
      <c r="L1355" s="50"/>
    </row>
    <row r="1356" spans="10:12" x14ac:dyDescent="0.25">
      <c r="J1356" s="50"/>
      <c r="L1356" s="50"/>
    </row>
    <row r="1357" spans="10:12" x14ac:dyDescent="0.25">
      <c r="J1357" s="50"/>
      <c r="L1357" s="50"/>
    </row>
    <row r="1358" spans="10:12" x14ac:dyDescent="0.25">
      <c r="J1358" s="50"/>
      <c r="L1358" s="50"/>
    </row>
    <row r="1359" spans="10:12" x14ac:dyDescent="0.25">
      <c r="J1359" s="50"/>
      <c r="L1359" s="50"/>
    </row>
    <row r="1360" spans="10:12" x14ac:dyDescent="0.25">
      <c r="J1360" s="50"/>
      <c r="L1360" s="50"/>
    </row>
    <row r="1361" spans="10:12" x14ac:dyDescent="0.25">
      <c r="J1361" s="50"/>
      <c r="L1361" s="50"/>
    </row>
    <row r="1362" spans="10:12" x14ac:dyDescent="0.25">
      <c r="J1362" s="50"/>
      <c r="L1362" s="50"/>
    </row>
    <row r="1363" spans="10:12" x14ac:dyDescent="0.25">
      <c r="J1363" s="50"/>
      <c r="L1363" s="50"/>
    </row>
    <row r="1364" spans="10:12" x14ac:dyDescent="0.25">
      <c r="J1364" s="50"/>
      <c r="L1364" s="50"/>
    </row>
    <row r="1365" spans="10:12" x14ac:dyDescent="0.25">
      <c r="J1365" s="50"/>
      <c r="L1365" s="50"/>
    </row>
    <row r="1366" spans="10:12" x14ac:dyDescent="0.25">
      <c r="J1366" s="50"/>
      <c r="L1366" s="50"/>
    </row>
    <row r="1367" spans="10:12" x14ac:dyDescent="0.25">
      <c r="J1367" s="50"/>
      <c r="L1367" s="50"/>
    </row>
    <row r="1368" spans="10:12" x14ac:dyDescent="0.25">
      <c r="J1368" s="50"/>
      <c r="L1368" s="50"/>
    </row>
    <row r="1369" spans="10:12" x14ac:dyDescent="0.25">
      <c r="J1369" s="50"/>
      <c r="L1369" s="50"/>
    </row>
    <row r="1370" spans="10:12" x14ac:dyDescent="0.25">
      <c r="J1370" s="50"/>
      <c r="L1370" s="50"/>
    </row>
    <row r="1371" spans="10:12" x14ac:dyDescent="0.25">
      <c r="J1371" s="50"/>
      <c r="L1371" s="50"/>
    </row>
    <row r="1372" spans="10:12" x14ac:dyDescent="0.25">
      <c r="J1372" s="50"/>
      <c r="L1372" s="50"/>
    </row>
    <row r="1373" spans="10:12" x14ac:dyDescent="0.25">
      <c r="J1373" s="50"/>
      <c r="L1373" s="50"/>
    </row>
    <row r="1374" spans="10:12" x14ac:dyDescent="0.25">
      <c r="J1374" s="50"/>
      <c r="L1374" s="50"/>
    </row>
    <row r="1375" spans="10:12" x14ac:dyDescent="0.25">
      <c r="J1375" s="50"/>
      <c r="L1375" s="50"/>
    </row>
    <row r="1376" spans="10:12" x14ac:dyDescent="0.25">
      <c r="J1376" s="50"/>
      <c r="L1376" s="50"/>
    </row>
    <row r="1377" spans="10:12" x14ac:dyDescent="0.25">
      <c r="J1377" s="50"/>
      <c r="L1377" s="50"/>
    </row>
    <row r="1378" spans="10:12" x14ac:dyDescent="0.25">
      <c r="J1378" s="50"/>
      <c r="L1378" s="50"/>
    </row>
    <row r="1379" spans="10:12" x14ac:dyDescent="0.25">
      <c r="J1379" s="50"/>
      <c r="L1379" s="50"/>
    </row>
    <row r="1380" spans="10:12" x14ac:dyDescent="0.25">
      <c r="J1380" s="50"/>
      <c r="L1380" s="50"/>
    </row>
    <row r="1381" spans="10:12" x14ac:dyDescent="0.25">
      <c r="J1381" s="50"/>
      <c r="L1381" s="50"/>
    </row>
    <row r="1382" spans="10:12" x14ac:dyDescent="0.25">
      <c r="J1382" s="50"/>
      <c r="L1382" s="50"/>
    </row>
    <row r="1383" spans="10:12" x14ac:dyDescent="0.25">
      <c r="J1383" s="50"/>
      <c r="L1383" s="50"/>
    </row>
    <row r="1384" spans="10:12" x14ac:dyDescent="0.25">
      <c r="J1384" s="50"/>
      <c r="L1384" s="50"/>
    </row>
    <row r="1385" spans="10:12" x14ac:dyDescent="0.25">
      <c r="J1385" s="50"/>
      <c r="L1385" s="50"/>
    </row>
    <row r="1386" spans="10:12" x14ac:dyDescent="0.25">
      <c r="J1386" s="50"/>
      <c r="L1386" s="50"/>
    </row>
    <row r="1387" spans="10:12" x14ac:dyDescent="0.25">
      <c r="J1387" s="50"/>
      <c r="L1387" s="50"/>
    </row>
    <row r="1388" spans="10:12" x14ac:dyDescent="0.25">
      <c r="J1388" s="50"/>
      <c r="L1388" s="50"/>
    </row>
    <row r="1389" spans="10:12" x14ac:dyDescent="0.25">
      <c r="J1389" s="50"/>
      <c r="L1389" s="50"/>
    </row>
    <row r="1390" spans="10:12" x14ac:dyDescent="0.25">
      <c r="J1390" s="50"/>
      <c r="L1390" s="50"/>
    </row>
    <row r="1391" spans="10:12" x14ac:dyDescent="0.25">
      <c r="J1391" s="50"/>
      <c r="L1391" s="50"/>
    </row>
    <row r="1392" spans="10:12" x14ac:dyDescent="0.25">
      <c r="J1392" s="50"/>
      <c r="L1392" s="50"/>
    </row>
    <row r="1393" spans="10:12" x14ac:dyDescent="0.25">
      <c r="J1393" s="50"/>
      <c r="L1393" s="50"/>
    </row>
    <row r="1394" spans="10:12" x14ac:dyDescent="0.25">
      <c r="J1394" s="50"/>
      <c r="L1394" s="50"/>
    </row>
    <row r="1395" spans="10:12" x14ac:dyDescent="0.25">
      <c r="J1395" s="50"/>
      <c r="L1395" s="50"/>
    </row>
    <row r="1396" spans="10:12" x14ac:dyDescent="0.25">
      <c r="J1396" s="50"/>
      <c r="L1396" s="50"/>
    </row>
    <row r="1397" spans="10:12" x14ac:dyDescent="0.25">
      <c r="J1397" s="50"/>
      <c r="L1397" s="50"/>
    </row>
    <row r="1398" spans="10:12" x14ac:dyDescent="0.25">
      <c r="J1398" s="50"/>
      <c r="L1398" s="50"/>
    </row>
    <row r="1399" spans="10:12" x14ac:dyDescent="0.25">
      <c r="J1399" s="50"/>
      <c r="L1399" s="50"/>
    </row>
    <row r="1400" spans="10:12" x14ac:dyDescent="0.25">
      <c r="J1400" s="50"/>
      <c r="L1400" s="50"/>
    </row>
    <row r="1401" spans="10:12" x14ac:dyDescent="0.25">
      <c r="J1401" s="50"/>
      <c r="L1401" s="50"/>
    </row>
    <row r="1402" spans="10:12" x14ac:dyDescent="0.25">
      <c r="J1402" s="50"/>
      <c r="L1402" s="50"/>
    </row>
    <row r="1403" spans="10:12" x14ac:dyDescent="0.25">
      <c r="J1403" s="50"/>
      <c r="L1403" s="50"/>
    </row>
    <row r="1404" spans="10:12" x14ac:dyDescent="0.25">
      <c r="J1404" s="50"/>
      <c r="L1404" s="50"/>
    </row>
    <row r="1405" spans="10:12" x14ac:dyDescent="0.25">
      <c r="J1405" s="50"/>
      <c r="L1405" s="50"/>
    </row>
    <row r="1406" spans="10:12" x14ac:dyDescent="0.25">
      <c r="J1406" s="50"/>
      <c r="L1406" s="50"/>
    </row>
    <row r="1407" spans="10:12" x14ac:dyDescent="0.25">
      <c r="J1407" s="50"/>
      <c r="L1407" s="50"/>
    </row>
    <row r="1408" spans="10:12" x14ac:dyDescent="0.25">
      <c r="J1408" s="50"/>
      <c r="L1408" s="50"/>
    </row>
    <row r="1409" spans="10:12" x14ac:dyDescent="0.25">
      <c r="J1409" s="50"/>
      <c r="L1409" s="50"/>
    </row>
    <row r="1410" spans="10:12" x14ac:dyDescent="0.25">
      <c r="J1410" s="50"/>
      <c r="L1410" s="50"/>
    </row>
    <row r="1411" spans="10:12" x14ac:dyDescent="0.25">
      <c r="J1411" s="50"/>
      <c r="L1411" s="50"/>
    </row>
    <row r="1412" spans="10:12" x14ac:dyDescent="0.25">
      <c r="J1412" s="50"/>
      <c r="L1412" s="50"/>
    </row>
    <row r="1413" spans="10:12" x14ac:dyDescent="0.25">
      <c r="J1413" s="50"/>
      <c r="L1413" s="50"/>
    </row>
    <row r="1414" spans="10:12" x14ac:dyDescent="0.25">
      <c r="J1414" s="50"/>
      <c r="L1414" s="50"/>
    </row>
    <row r="1415" spans="10:12" x14ac:dyDescent="0.25">
      <c r="J1415" s="50"/>
      <c r="L1415" s="50"/>
    </row>
    <row r="1416" spans="10:12" x14ac:dyDescent="0.25">
      <c r="J1416" s="50"/>
      <c r="L1416" s="50"/>
    </row>
    <row r="1417" spans="10:12" x14ac:dyDescent="0.25">
      <c r="J1417" s="50"/>
      <c r="L1417" s="50"/>
    </row>
    <row r="1418" spans="10:12" x14ac:dyDescent="0.25">
      <c r="J1418" s="50"/>
      <c r="L1418" s="50"/>
    </row>
    <row r="1419" spans="10:12" x14ac:dyDescent="0.25">
      <c r="J1419" s="50"/>
      <c r="L1419" s="50"/>
    </row>
    <row r="1420" spans="10:12" x14ac:dyDescent="0.25">
      <c r="J1420" s="50"/>
      <c r="L1420" s="50"/>
    </row>
    <row r="1421" spans="10:12" x14ac:dyDescent="0.25">
      <c r="J1421" s="50"/>
      <c r="L1421" s="50"/>
    </row>
    <row r="1422" spans="10:12" x14ac:dyDescent="0.25">
      <c r="J1422" s="50"/>
      <c r="L1422" s="50"/>
    </row>
    <row r="1423" spans="10:12" x14ac:dyDescent="0.25">
      <c r="J1423" s="50"/>
      <c r="L1423" s="50"/>
    </row>
    <row r="1424" spans="10:12" x14ac:dyDescent="0.25">
      <c r="J1424" s="50"/>
      <c r="L1424" s="50"/>
    </row>
    <row r="1425" spans="10:12" x14ac:dyDescent="0.25">
      <c r="J1425" s="50"/>
      <c r="L1425" s="50"/>
    </row>
    <row r="1426" spans="10:12" x14ac:dyDescent="0.25">
      <c r="J1426" s="50"/>
      <c r="L1426" s="50"/>
    </row>
    <row r="1427" spans="10:12" x14ac:dyDescent="0.25">
      <c r="J1427" s="50"/>
      <c r="L1427" s="50"/>
    </row>
    <row r="1428" spans="10:12" x14ac:dyDescent="0.25">
      <c r="J1428" s="50"/>
      <c r="L1428" s="50"/>
    </row>
    <row r="1429" spans="10:12" x14ac:dyDescent="0.25">
      <c r="J1429" s="50"/>
      <c r="L1429" s="50"/>
    </row>
    <row r="1430" spans="10:12" x14ac:dyDescent="0.25">
      <c r="J1430" s="50"/>
      <c r="L1430" s="50"/>
    </row>
    <row r="1431" spans="10:12" x14ac:dyDescent="0.25">
      <c r="J1431" s="50"/>
      <c r="L1431" s="50"/>
    </row>
    <row r="1432" spans="10:12" x14ac:dyDescent="0.25">
      <c r="J1432" s="50"/>
      <c r="L1432" s="50"/>
    </row>
    <row r="1433" spans="10:12" x14ac:dyDescent="0.25">
      <c r="J1433" s="50"/>
      <c r="L1433" s="50"/>
    </row>
    <row r="1434" spans="10:12" x14ac:dyDescent="0.25">
      <c r="J1434" s="50"/>
      <c r="L1434" s="50"/>
    </row>
    <row r="1435" spans="10:12" x14ac:dyDescent="0.25">
      <c r="J1435" s="50"/>
      <c r="L1435" s="50"/>
    </row>
    <row r="1436" spans="10:12" x14ac:dyDescent="0.25">
      <c r="J1436" s="50"/>
      <c r="L1436" s="50"/>
    </row>
    <row r="1437" spans="10:12" x14ac:dyDescent="0.25">
      <c r="J1437" s="50"/>
      <c r="L1437" s="50"/>
    </row>
    <row r="1438" spans="10:12" x14ac:dyDescent="0.25">
      <c r="J1438" s="50"/>
      <c r="L1438" s="50"/>
    </row>
    <row r="1439" spans="10:12" x14ac:dyDescent="0.25">
      <c r="J1439" s="50"/>
      <c r="L1439" s="50"/>
    </row>
    <row r="1440" spans="10:12" x14ac:dyDescent="0.25">
      <c r="J1440" s="50"/>
      <c r="L1440" s="50"/>
    </row>
    <row r="1441" spans="10:12" x14ac:dyDescent="0.25">
      <c r="J1441" s="50"/>
      <c r="L1441" s="50"/>
    </row>
    <row r="1442" spans="10:12" x14ac:dyDescent="0.25">
      <c r="J1442" s="50"/>
      <c r="L1442" s="50"/>
    </row>
    <row r="1443" spans="10:12" x14ac:dyDescent="0.25">
      <c r="J1443" s="50"/>
      <c r="L1443" s="50"/>
    </row>
    <row r="1444" spans="10:12" x14ac:dyDescent="0.25">
      <c r="J1444" s="50"/>
      <c r="L1444" s="50"/>
    </row>
    <row r="1445" spans="10:12" x14ac:dyDescent="0.25">
      <c r="J1445" s="50"/>
      <c r="L1445" s="50"/>
    </row>
    <row r="1446" spans="10:12" x14ac:dyDescent="0.25">
      <c r="J1446" s="50"/>
      <c r="L1446" s="50"/>
    </row>
    <row r="1447" spans="10:12" x14ac:dyDescent="0.25">
      <c r="J1447" s="50"/>
      <c r="L1447" s="50"/>
    </row>
    <row r="1448" spans="10:12" x14ac:dyDescent="0.25">
      <c r="J1448" s="50"/>
      <c r="L1448" s="50"/>
    </row>
    <row r="1449" spans="10:12" x14ac:dyDescent="0.25">
      <c r="J1449" s="50"/>
      <c r="L1449" s="50"/>
    </row>
    <row r="1450" spans="10:12" x14ac:dyDescent="0.25">
      <c r="J1450" s="50"/>
      <c r="L1450" s="50"/>
    </row>
    <row r="1451" spans="10:12" x14ac:dyDescent="0.25">
      <c r="J1451" s="50"/>
      <c r="L1451" s="50"/>
    </row>
    <row r="1452" spans="10:12" x14ac:dyDescent="0.25">
      <c r="J1452" s="50"/>
      <c r="L1452" s="50"/>
    </row>
    <row r="1453" spans="10:12" x14ac:dyDescent="0.25">
      <c r="J1453" s="50"/>
      <c r="L1453" s="50"/>
    </row>
    <row r="1454" spans="10:12" x14ac:dyDescent="0.25">
      <c r="J1454" s="50"/>
      <c r="L1454" s="50"/>
    </row>
    <row r="1455" spans="10:12" x14ac:dyDescent="0.25">
      <c r="J1455" s="50"/>
      <c r="L1455" s="50"/>
    </row>
    <row r="1456" spans="10:12" x14ac:dyDescent="0.25">
      <c r="J1456" s="50"/>
      <c r="L1456" s="50"/>
    </row>
    <row r="1457" spans="10:12" x14ac:dyDescent="0.25">
      <c r="J1457" s="50"/>
      <c r="L1457" s="50"/>
    </row>
    <row r="1458" spans="10:12" x14ac:dyDescent="0.25">
      <c r="J1458" s="50"/>
      <c r="L1458" s="50"/>
    </row>
    <row r="1459" spans="10:12" x14ac:dyDescent="0.25">
      <c r="J1459" s="50"/>
      <c r="L1459" s="50"/>
    </row>
    <row r="1460" spans="10:12" x14ac:dyDescent="0.25">
      <c r="J1460" s="50"/>
      <c r="L1460" s="50"/>
    </row>
    <row r="1461" spans="10:12" x14ac:dyDescent="0.25">
      <c r="J1461" s="50"/>
      <c r="L1461" s="50"/>
    </row>
    <row r="1462" spans="10:12" x14ac:dyDescent="0.25">
      <c r="J1462" s="50"/>
      <c r="L1462" s="50"/>
    </row>
    <row r="1463" spans="10:12" x14ac:dyDescent="0.25">
      <c r="J1463" s="50"/>
      <c r="L1463" s="50"/>
    </row>
    <row r="1464" spans="10:12" x14ac:dyDescent="0.25">
      <c r="J1464" s="50"/>
      <c r="L1464" s="50"/>
    </row>
    <row r="1465" spans="10:12" x14ac:dyDescent="0.25">
      <c r="J1465" s="50"/>
      <c r="L1465" s="50"/>
    </row>
    <row r="1466" spans="10:12" x14ac:dyDescent="0.25">
      <c r="J1466" s="50"/>
      <c r="L1466" s="50"/>
    </row>
    <row r="1467" spans="10:12" x14ac:dyDescent="0.25">
      <c r="J1467" s="50"/>
      <c r="L1467" s="50"/>
    </row>
    <row r="1468" spans="10:12" x14ac:dyDescent="0.25">
      <c r="J1468" s="50"/>
      <c r="L1468" s="50"/>
    </row>
    <row r="1469" spans="10:12" x14ac:dyDescent="0.25">
      <c r="J1469" s="50"/>
      <c r="L1469" s="50"/>
    </row>
    <row r="1470" spans="10:12" x14ac:dyDescent="0.25">
      <c r="J1470" s="50"/>
      <c r="L1470" s="50"/>
    </row>
    <row r="1471" spans="10:12" x14ac:dyDescent="0.25">
      <c r="J1471" s="50"/>
      <c r="L1471" s="50"/>
    </row>
    <row r="1472" spans="10:12" x14ac:dyDescent="0.25">
      <c r="J1472" s="50"/>
      <c r="L1472" s="50"/>
    </row>
    <row r="1473" spans="10:12" x14ac:dyDescent="0.25">
      <c r="J1473" s="50"/>
      <c r="L1473" s="50"/>
    </row>
    <row r="1474" spans="10:12" x14ac:dyDescent="0.25">
      <c r="J1474" s="50"/>
      <c r="L1474" s="50"/>
    </row>
    <row r="1475" spans="10:12" x14ac:dyDescent="0.25">
      <c r="J1475" s="50"/>
      <c r="L1475" s="50"/>
    </row>
    <row r="1476" spans="10:12" x14ac:dyDescent="0.25">
      <c r="J1476" s="50"/>
      <c r="L1476" s="50"/>
    </row>
    <row r="1477" spans="10:12" x14ac:dyDescent="0.25">
      <c r="J1477" s="50"/>
      <c r="L1477" s="50"/>
    </row>
    <row r="1478" spans="10:12" x14ac:dyDescent="0.25">
      <c r="J1478" s="50"/>
      <c r="L1478" s="50"/>
    </row>
    <row r="1479" spans="10:12" x14ac:dyDescent="0.25">
      <c r="J1479" s="50"/>
      <c r="L1479" s="50"/>
    </row>
    <row r="1480" spans="10:12" x14ac:dyDescent="0.25">
      <c r="J1480" s="50"/>
      <c r="L1480" s="50"/>
    </row>
    <row r="1481" spans="10:12" x14ac:dyDescent="0.25">
      <c r="J1481" s="50"/>
      <c r="L1481" s="50"/>
    </row>
    <row r="1482" spans="10:12" x14ac:dyDescent="0.25">
      <c r="J1482" s="50"/>
      <c r="L1482" s="50"/>
    </row>
    <row r="1483" spans="10:12" x14ac:dyDescent="0.25">
      <c r="J1483" s="50"/>
      <c r="L1483" s="50"/>
    </row>
    <row r="1484" spans="10:12" x14ac:dyDescent="0.25">
      <c r="J1484" s="50"/>
      <c r="L1484" s="50"/>
    </row>
    <row r="1485" spans="10:12" x14ac:dyDescent="0.25">
      <c r="J1485" s="50"/>
      <c r="L1485" s="50"/>
    </row>
    <row r="1486" spans="10:12" x14ac:dyDescent="0.25">
      <c r="J1486" s="50"/>
      <c r="L1486" s="50"/>
    </row>
    <row r="1487" spans="10:12" x14ac:dyDescent="0.25">
      <c r="J1487" s="50"/>
      <c r="L1487" s="50"/>
    </row>
    <row r="1488" spans="10:12" x14ac:dyDescent="0.25">
      <c r="J1488" s="50"/>
      <c r="L1488" s="50"/>
    </row>
    <row r="1489" spans="10:12" x14ac:dyDescent="0.25">
      <c r="J1489" s="50"/>
      <c r="L1489" s="50"/>
    </row>
    <row r="1490" spans="10:12" x14ac:dyDescent="0.25">
      <c r="J1490" s="50"/>
      <c r="L1490" s="50"/>
    </row>
    <row r="1491" spans="10:12" x14ac:dyDescent="0.25">
      <c r="J1491" s="50"/>
      <c r="L1491" s="50"/>
    </row>
    <row r="1492" spans="10:12" x14ac:dyDescent="0.25">
      <c r="J1492" s="50"/>
      <c r="L1492" s="50"/>
    </row>
    <row r="1493" spans="10:12" x14ac:dyDescent="0.25">
      <c r="J1493" s="50"/>
      <c r="L1493" s="50"/>
    </row>
    <row r="1494" spans="10:12" x14ac:dyDescent="0.25">
      <c r="J1494" s="50"/>
      <c r="L1494" s="50"/>
    </row>
    <row r="1495" spans="10:12" x14ac:dyDescent="0.25">
      <c r="J1495" s="50"/>
      <c r="L1495" s="50"/>
    </row>
    <row r="1496" spans="10:12" x14ac:dyDescent="0.25">
      <c r="J1496" s="50"/>
      <c r="L1496" s="50"/>
    </row>
    <row r="1497" spans="10:12" x14ac:dyDescent="0.25">
      <c r="J1497" s="50"/>
      <c r="L1497" s="50"/>
    </row>
    <row r="1498" spans="10:12" x14ac:dyDescent="0.25">
      <c r="J1498" s="50"/>
      <c r="L1498" s="50"/>
    </row>
    <row r="1499" spans="10:12" x14ac:dyDescent="0.25">
      <c r="J1499" s="50"/>
      <c r="L1499" s="50"/>
    </row>
    <row r="1500" spans="10:12" x14ac:dyDescent="0.25">
      <c r="J1500" s="50"/>
      <c r="L1500" s="50"/>
    </row>
    <row r="1501" spans="10:12" x14ac:dyDescent="0.25">
      <c r="J1501" s="50"/>
      <c r="L1501" s="50"/>
    </row>
    <row r="1502" spans="10:12" x14ac:dyDescent="0.25">
      <c r="J1502" s="50"/>
      <c r="L1502" s="50"/>
    </row>
    <row r="1503" spans="10:12" x14ac:dyDescent="0.25">
      <c r="J1503" s="50"/>
      <c r="L1503" s="50"/>
    </row>
    <row r="1504" spans="10:12" x14ac:dyDescent="0.25">
      <c r="J1504" s="50"/>
      <c r="L1504" s="50"/>
    </row>
    <row r="1505" spans="10:12" x14ac:dyDescent="0.25">
      <c r="J1505" s="50"/>
      <c r="L1505" s="50"/>
    </row>
    <row r="1506" spans="10:12" x14ac:dyDescent="0.25">
      <c r="J1506" s="50"/>
      <c r="L1506" s="50"/>
    </row>
    <row r="1507" spans="10:12" x14ac:dyDescent="0.25">
      <c r="J1507" s="50"/>
      <c r="L1507" s="50"/>
    </row>
    <row r="1508" spans="10:12" x14ac:dyDescent="0.25">
      <c r="J1508" s="50"/>
      <c r="L1508" s="50"/>
    </row>
    <row r="1509" spans="10:12" x14ac:dyDescent="0.25">
      <c r="J1509" s="50"/>
      <c r="L1509" s="50"/>
    </row>
    <row r="1510" spans="10:12" x14ac:dyDescent="0.25">
      <c r="J1510" s="50"/>
      <c r="L1510" s="50"/>
    </row>
    <row r="1511" spans="10:12" x14ac:dyDescent="0.25">
      <c r="J1511" s="50"/>
      <c r="L1511" s="50"/>
    </row>
    <row r="1512" spans="10:12" x14ac:dyDescent="0.25">
      <c r="J1512" s="50"/>
      <c r="L1512" s="50"/>
    </row>
    <row r="1513" spans="10:12" x14ac:dyDescent="0.25">
      <c r="J1513" s="50"/>
      <c r="L1513" s="50"/>
    </row>
    <row r="1514" spans="10:12" x14ac:dyDescent="0.25">
      <c r="J1514" s="50"/>
      <c r="L1514" s="50"/>
    </row>
    <row r="1515" spans="10:12" x14ac:dyDescent="0.25">
      <c r="J1515" s="50"/>
      <c r="L1515" s="50"/>
    </row>
    <row r="1516" spans="10:12" x14ac:dyDescent="0.25">
      <c r="J1516" s="50"/>
      <c r="L1516" s="50"/>
    </row>
    <row r="1517" spans="10:12" x14ac:dyDescent="0.25">
      <c r="J1517" s="50"/>
      <c r="L1517" s="50"/>
    </row>
    <row r="1518" spans="10:12" x14ac:dyDescent="0.25">
      <c r="J1518" s="50"/>
      <c r="L1518" s="50"/>
    </row>
    <row r="1519" spans="10:12" x14ac:dyDescent="0.25">
      <c r="J1519" s="50"/>
      <c r="L1519" s="50"/>
    </row>
    <row r="1520" spans="10:12" x14ac:dyDescent="0.25">
      <c r="J1520" s="50"/>
      <c r="L1520" s="50"/>
    </row>
    <row r="1521" spans="10:12" x14ac:dyDescent="0.25">
      <c r="J1521" s="50"/>
      <c r="L1521" s="50"/>
    </row>
    <row r="1522" spans="10:12" x14ac:dyDescent="0.25">
      <c r="J1522" s="50"/>
      <c r="L1522" s="50"/>
    </row>
    <row r="1523" spans="10:12" x14ac:dyDescent="0.25">
      <c r="J1523" s="50"/>
      <c r="L1523" s="50"/>
    </row>
    <row r="1524" spans="10:12" x14ac:dyDescent="0.25">
      <c r="J1524" s="50"/>
      <c r="L1524" s="50"/>
    </row>
    <row r="1525" spans="10:12" x14ac:dyDescent="0.25">
      <c r="J1525" s="50"/>
      <c r="L1525" s="50"/>
    </row>
    <row r="1526" spans="10:12" x14ac:dyDescent="0.25">
      <c r="J1526" s="50"/>
      <c r="L1526" s="50"/>
    </row>
    <row r="1527" spans="10:12" x14ac:dyDescent="0.25">
      <c r="J1527" s="50"/>
      <c r="L1527" s="50"/>
    </row>
    <row r="1528" spans="10:12" x14ac:dyDescent="0.25">
      <c r="J1528" s="50"/>
      <c r="L1528" s="50"/>
    </row>
    <row r="1529" spans="10:12" x14ac:dyDescent="0.25">
      <c r="J1529" s="50"/>
      <c r="L1529" s="50"/>
    </row>
    <row r="1530" spans="10:12" x14ac:dyDescent="0.25">
      <c r="J1530" s="50"/>
      <c r="L1530" s="50"/>
    </row>
    <row r="1531" spans="10:12" x14ac:dyDescent="0.25">
      <c r="J1531" s="50"/>
      <c r="L1531" s="50"/>
    </row>
    <row r="1532" spans="10:12" x14ac:dyDescent="0.25">
      <c r="J1532" s="50"/>
      <c r="L1532" s="50"/>
    </row>
    <row r="1533" spans="10:12" x14ac:dyDescent="0.25">
      <c r="J1533" s="50"/>
      <c r="L1533" s="50"/>
    </row>
    <row r="1534" spans="10:12" x14ac:dyDescent="0.25">
      <c r="J1534" s="50"/>
      <c r="L1534" s="50"/>
    </row>
    <row r="1535" spans="10:12" x14ac:dyDescent="0.25">
      <c r="J1535" s="50"/>
      <c r="L1535" s="50"/>
    </row>
    <row r="1536" spans="10:12" x14ac:dyDescent="0.25">
      <c r="J1536" s="50"/>
      <c r="L1536" s="50"/>
    </row>
    <row r="1537" spans="10:12" x14ac:dyDescent="0.25">
      <c r="J1537" s="50"/>
      <c r="L1537" s="50"/>
    </row>
    <row r="1538" spans="10:12" x14ac:dyDescent="0.25">
      <c r="J1538" s="50"/>
      <c r="L1538" s="50"/>
    </row>
    <row r="1539" spans="10:12" x14ac:dyDescent="0.25">
      <c r="J1539" s="50"/>
      <c r="L1539" s="50"/>
    </row>
    <row r="1540" spans="10:12" x14ac:dyDescent="0.25">
      <c r="J1540" s="50"/>
      <c r="L1540" s="50"/>
    </row>
    <row r="1541" spans="10:12" x14ac:dyDescent="0.25">
      <c r="J1541" s="50"/>
      <c r="L1541" s="50"/>
    </row>
    <row r="1542" spans="10:12" x14ac:dyDescent="0.25">
      <c r="J1542" s="50"/>
      <c r="L1542" s="50"/>
    </row>
    <row r="1543" spans="10:12" x14ac:dyDescent="0.25">
      <c r="J1543" s="50"/>
      <c r="L1543" s="50"/>
    </row>
    <row r="1544" spans="10:12" x14ac:dyDescent="0.25">
      <c r="J1544" s="50"/>
      <c r="L1544" s="50"/>
    </row>
    <row r="1545" spans="10:12" x14ac:dyDescent="0.25">
      <c r="J1545" s="50"/>
      <c r="L1545" s="50"/>
    </row>
    <row r="1546" spans="10:12" x14ac:dyDescent="0.25">
      <c r="J1546" s="50"/>
      <c r="L1546" s="50"/>
    </row>
    <row r="1547" spans="10:12" x14ac:dyDescent="0.25">
      <c r="J1547" s="50"/>
      <c r="L1547" s="50"/>
    </row>
    <row r="1548" spans="10:12" x14ac:dyDescent="0.25">
      <c r="J1548" s="50"/>
      <c r="L1548" s="50"/>
    </row>
    <row r="1549" spans="10:12" x14ac:dyDescent="0.25">
      <c r="J1549" s="50"/>
      <c r="L1549" s="50"/>
    </row>
    <row r="1550" spans="10:12" x14ac:dyDescent="0.25">
      <c r="J1550" s="50"/>
      <c r="L1550" s="50"/>
    </row>
    <row r="1551" spans="10:12" x14ac:dyDescent="0.25">
      <c r="J1551" s="50"/>
      <c r="L1551" s="50"/>
    </row>
    <row r="1552" spans="10:12" x14ac:dyDescent="0.25">
      <c r="J1552" s="50"/>
      <c r="L1552" s="50"/>
    </row>
    <row r="1553" spans="10:12" x14ac:dyDescent="0.25">
      <c r="J1553" s="50"/>
      <c r="L1553" s="50"/>
    </row>
    <row r="1554" spans="10:12" x14ac:dyDescent="0.25">
      <c r="J1554" s="50"/>
      <c r="L1554" s="50"/>
    </row>
    <row r="1555" spans="10:12" x14ac:dyDescent="0.25">
      <c r="J1555" s="50"/>
      <c r="L1555" s="50"/>
    </row>
    <row r="1556" spans="10:12" x14ac:dyDescent="0.25">
      <c r="J1556" s="50"/>
      <c r="L1556" s="50"/>
    </row>
    <row r="1557" spans="10:12" x14ac:dyDescent="0.25">
      <c r="J1557" s="50"/>
      <c r="L1557" s="50"/>
    </row>
    <row r="1558" spans="10:12" x14ac:dyDescent="0.25">
      <c r="J1558" s="50"/>
      <c r="L1558" s="50"/>
    </row>
    <row r="1559" spans="10:12" x14ac:dyDescent="0.25">
      <c r="J1559" s="50"/>
      <c r="L1559" s="50"/>
    </row>
    <row r="1560" spans="10:12" x14ac:dyDescent="0.25">
      <c r="J1560" s="50"/>
      <c r="L1560" s="50"/>
    </row>
    <row r="1561" spans="10:12" x14ac:dyDescent="0.25">
      <c r="J1561" s="50"/>
      <c r="L1561" s="50"/>
    </row>
    <row r="1562" spans="10:12" x14ac:dyDescent="0.25">
      <c r="J1562" s="50"/>
      <c r="L1562" s="50"/>
    </row>
    <row r="1563" spans="10:12" x14ac:dyDescent="0.25">
      <c r="J1563" s="50"/>
      <c r="L1563" s="50"/>
    </row>
    <row r="1564" spans="10:12" x14ac:dyDescent="0.25">
      <c r="J1564" s="50"/>
      <c r="L1564" s="50"/>
    </row>
    <row r="1565" spans="10:12" x14ac:dyDescent="0.25">
      <c r="J1565" s="50"/>
      <c r="L1565" s="50"/>
    </row>
    <row r="1566" spans="10:12" x14ac:dyDescent="0.25">
      <c r="J1566" s="50"/>
      <c r="L1566" s="50"/>
    </row>
    <row r="1567" spans="10:12" x14ac:dyDescent="0.25">
      <c r="J1567" s="50"/>
      <c r="L1567" s="50"/>
    </row>
    <row r="1568" spans="10:12" x14ac:dyDescent="0.25">
      <c r="J1568" s="50"/>
      <c r="L1568" s="50"/>
    </row>
    <row r="1569" spans="10:12" x14ac:dyDescent="0.25">
      <c r="J1569" s="50"/>
      <c r="L1569" s="50"/>
    </row>
    <row r="1570" spans="10:12" x14ac:dyDescent="0.25">
      <c r="J1570" s="50"/>
      <c r="L1570" s="50"/>
    </row>
    <row r="1571" spans="10:12" x14ac:dyDescent="0.25">
      <c r="J1571" s="50"/>
      <c r="L1571" s="50"/>
    </row>
    <row r="1572" spans="10:12" x14ac:dyDescent="0.25">
      <c r="J1572" s="50"/>
      <c r="L1572" s="50"/>
    </row>
    <row r="1573" spans="10:12" x14ac:dyDescent="0.25">
      <c r="J1573" s="50"/>
      <c r="L1573" s="50"/>
    </row>
    <row r="1574" spans="10:12" x14ac:dyDescent="0.25">
      <c r="J1574" s="50"/>
      <c r="L1574" s="50"/>
    </row>
    <row r="1575" spans="10:12" x14ac:dyDescent="0.25">
      <c r="J1575" s="50"/>
      <c r="L1575" s="50"/>
    </row>
    <row r="1576" spans="10:12" x14ac:dyDescent="0.25">
      <c r="J1576" s="50"/>
      <c r="L1576" s="50"/>
    </row>
    <row r="1577" spans="10:12" x14ac:dyDescent="0.25">
      <c r="J1577" s="50"/>
      <c r="L1577" s="50"/>
    </row>
    <row r="1578" spans="10:12" x14ac:dyDescent="0.25">
      <c r="J1578" s="50"/>
      <c r="L1578" s="50"/>
    </row>
    <row r="1579" spans="10:12" x14ac:dyDescent="0.25">
      <c r="J1579" s="50"/>
      <c r="L1579" s="50"/>
    </row>
    <row r="1580" spans="10:12" x14ac:dyDescent="0.25">
      <c r="J1580" s="50"/>
      <c r="L1580" s="50"/>
    </row>
    <row r="1581" spans="10:12" x14ac:dyDescent="0.25">
      <c r="J1581" s="50"/>
      <c r="L1581" s="50"/>
    </row>
    <row r="1582" spans="10:12" x14ac:dyDescent="0.25">
      <c r="J1582" s="50"/>
      <c r="L1582" s="50"/>
    </row>
    <row r="1583" spans="10:12" x14ac:dyDescent="0.25">
      <c r="J1583" s="50"/>
      <c r="L1583" s="50"/>
    </row>
    <row r="1584" spans="10:12" x14ac:dyDescent="0.25">
      <c r="J1584" s="50"/>
      <c r="L1584" s="50"/>
    </row>
    <row r="1585" spans="10:12" x14ac:dyDescent="0.25">
      <c r="J1585" s="50"/>
      <c r="L1585" s="50"/>
    </row>
    <row r="1586" spans="10:12" x14ac:dyDescent="0.25">
      <c r="J1586" s="50"/>
      <c r="L1586" s="50"/>
    </row>
    <row r="1587" spans="10:12" x14ac:dyDescent="0.25">
      <c r="J1587" s="50"/>
      <c r="L1587" s="50"/>
    </row>
    <row r="1588" spans="10:12" x14ac:dyDescent="0.25">
      <c r="J1588" s="50"/>
      <c r="L1588" s="50"/>
    </row>
    <row r="1589" spans="10:12" x14ac:dyDescent="0.25">
      <c r="J1589" s="50"/>
      <c r="L1589" s="50"/>
    </row>
    <row r="1590" spans="10:12" x14ac:dyDescent="0.25">
      <c r="J1590" s="50"/>
      <c r="L1590" s="50"/>
    </row>
    <row r="1591" spans="10:12" x14ac:dyDescent="0.25">
      <c r="J1591" s="50"/>
      <c r="L1591" s="50"/>
    </row>
    <row r="1592" spans="10:12" x14ac:dyDescent="0.25">
      <c r="J1592" s="50"/>
      <c r="L1592" s="50"/>
    </row>
    <row r="1593" spans="10:12" x14ac:dyDescent="0.25">
      <c r="J1593" s="50"/>
      <c r="L1593" s="50"/>
    </row>
    <row r="1594" spans="10:12" x14ac:dyDescent="0.25">
      <c r="J1594" s="50"/>
      <c r="L1594" s="50"/>
    </row>
    <row r="1595" spans="10:12" x14ac:dyDescent="0.25">
      <c r="J1595" s="50"/>
      <c r="L1595" s="50"/>
    </row>
    <row r="1596" spans="10:12" x14ac:dyDescent="0.25">
      <c r="J1596" s="50"/>
      <c r="L1596" s="50"/>
    </row>
    <row r="1597" spans="10:12" x14ac:dyDescent="0.25">
      <c r="J1597" s="50"/>
      <c r="L1597" s="50"/>
    </row>
    <row r="1598" spans="10:12" x14ac:dyDescent="0.25">
      <c r="J1598" s="50"/>
      <c r="L1598" s="50"/>
    </row>
    <row r="1599" spans="10:12" x14ac:dyDescent="0.25">
      <c r="J1599" s="50"/>
      <c r="L1599" s="50"/>
    </row>
    <row r="1600" spans="10:12" x14ac:dyDescent="0.25">
      <c r="J1600" s="50"/>
      <c r="L1600" s="50"/>
    </row>
    <row r="1601" spans="10:12" x14ac:dyDescent="0.25">
      <c r="J1601" s="50"/>
      <c r="L1601" s="50"/>
    </row>
    <row r="1602" spans="10:12" x14ac:dyDescent="0.25">
      <c r="J1602" s="50"/>
      <c r="L1602" s="50"/>
    </row>
    <row r="1603" spans="10:12" x14ac:dyDescent="0.25">
      <c r="J1603" s="50"/>
      <c r="L1603" s="50"/>
    </row>
    <row r="1604" spans="10:12" x14ac:dyDescent="0.25">
      <c r="J1604" s="50"/>
      <c r="L1604" s="50"/>
    </row>
    <row r="1605" spans="10:12" x14ac:dyDescent="0.25">
      <c r="J1605" s="50"/>
      <c r="L1605" s="50"/>
    </row>
    <row r="1606" spans="10:12" x14ac:dyDescent="0.25">
      <c r="J1606" s="50"/>
      <c r="L1606" s="50"/>
    </row>
    <row r="1607" spans="10:12" x14ac:dyDescent="0.25">
      <c r="J1607" s="50"/>
      <c r="L1607" s="50"/>
    </row>
    <row r="1608" spans="10:12" x14ac:dyDescent="0.25">
      <c r="J1608" s="50"/>
      <c r="L1608" s="50"/>
    </row>
    <row r="1609" spans="10:12" x14ac:dyDescent="0.25">
      <c r="J1609" s="50"/>
      <c r="L1609" s="50"/>
    </row>
    <row r="1610" spans="10:12" x14ac:dyDescent="0.25">
      <c r="J1610" s="50"/>
      <c r="L1610" s="50"/>
    </row>
    <row r="1611" spans="10:12" x14ac:dyDescent="0.25">
      <c r="J1611" s="50"/>
      <c r="L1611" s="50"/>
    </row>
    <row r="1612" spans="10:12" x14ac:dyDescent="0.25">
      <c r="J1612" s="50"/>
      <c r="L1612" s="50"/>
    </row>
    <row r="1613" spans="10:12" x14ac:dyDescent="0.25">
      <c r="J1613" s="50"/>
      <c r="L1613" s="50"/>
    </row>
    <row r="1614" spans="10:12" x14ac:dyDescent="0.25">
      <c r="J1614" s="50"/>
      <c r="L1614" s="50"/>
    </row>
    <row r="1615" spans="10:12" x14ac:dyDescent="0.25">
      <c r="J1615" s="50"/>
      <c r="L1615" s="50"/>
    </row>
    <row r="1616" spans="10:12" x14ac:dyDescent="0.25">
      <c r="J1616" s="50"/>
      <c r="L1616" s="50"/>
    </row>
    <row r="1617" spans="10:12" x14ac:dyDescent="0.25">
      <c r="J1617" s="50"/>
      <c r="L1617" s="50"/>
    </row>
    <row r="1618" spans="10:12" x14ac:dyDescent="0.25">
      <c r="J1618" s="50"/>
      <c r="L1618" s="50"/>
    </row>
    <row r="1619" spans="10:12" x14ac:dyDescent="0.25">
      <c r="J1619" s="50"/>
      <c r="L1619" s="50"/>
    </row>
    <row r="1620" spans="10:12" x14ac:dyDescent="0.25">
      <c r="J1620" s="50"/>
      <c r="L1620" s="50"/>
    </row>
    <row r="1621" spans="10:12" x14ac:dyDescent="0.25">
      <c r="J1621" s="50"/>
      <c r="L1621" s="50"/>
    </row>
    <row r="1622" spans="10:12" x14ac:dyDescent="0.25">
      <c r="J1622" s="50"/>
      <c r="L1622" s="50"/>
    </row>
    <row r="1623" spans="10:12" x14ac:dyDescent="0.25">
      <c r="J1623" s="50"/>
      <c r="L1623" s="50"/>
    </row>
    <row r="1624" spans="10:12" x14ac:dyDescent="0.25">
      <c r="J1624" s="50"/>
      <c r="L1624" s="50"/>
    </row>
    <row r="1625" spans="10:12" x14ac:dyDescent="0.25">
      <c r="J1625" s="50"/>
      <c r="L1625" s="50"/>
    </row>
    <row r="1626" spans="10:12" x14ac:dyDescent="0.25">
      <c r="J1626" s="50"/>
      <c r="L1626" s="50"/>
    </row>
    <row r="1627" spans="10:12" x14ac:dyDescent="0.25">
      <c r="J1627" s="50"/>
      <c r="L1627" s="50"/>
    </row>
    <row r="1628" spans="10:12" x14ac:dyDescent="0.25">
      <c r="J1628" s="50"/>
      <c r="L1628" s="50"/>
    </row>
    <row r="1629" spans="10:12" x14ac:dyDescent="0.25">
      <c r="J1629" s="50"/>
      <c r="L1629" s="50"/>
    </row>
    <row r="1630" spans="10:12" x14ac:dyDescent="0.25">
      <c r="J1630" s="50"/>
      <c r="L1630" s="50"/>
    </row>
    <row r="1631" spans="10:12" x14ac:dyDescent="0.25">
      <c r="J1631" s="50"/>
      <c r="L1631" s="50"/>
    </row>
    <row r="1632" spans="10:12" x14ac:dyDescent="0.25">
      <c r="J1632" s="50"/>
      <c r="L1632" s="50"/>
    </row>
    <row r="1633" spans="10:12" x14ac:dyDescent="0.25">
      <c r="J1633" s="50"/>
      <c r="L1633" s="50"/>
    </row>
    <row r="1634" spans="10:12" x14ac:dyDescent="0.25">
      <c r="J1634" s="50"/>
      <c r="L1634" s="50"/>
    </row>
    <row r="1635" spans="10:12" x14ac:dyDescent="0.25">
      <c r="J1635" s="50"/>
      <c r="L1635" s="50"/>
    </row>
    <row r="1636" spans="10:12" x14ac:dyDescent="0.25">
      <c r="J1636" s="50"/>
      <c r="L1636" s="50"/>
    </row>
    <row r="1637" spans="10:12" x14ac:dyDescent="0.25">
      <c r="J1637" s="50"/>
      <c r="L1637" s="50"/>
    </row>
    <row r="1638" spans="10:12" x14ac:dyDescent="0.25">
      <c r="J1638" s="50"/>
      <c r="L1638" s="50"/>
    </row>
    <row r="1639" spans="10:12" x14ac:dyDescent="0.25">
      <c r="J1639" s="50"/>
      <c r="L1639" s="50"/>
    </row>
    <row r="1640" spans="10:12" x14ac:dyDescent="0.25">
      <c r="J1640" s="50"/>
      <c r="L1640" s="50"/>
    </row>
    <row r="1641" spans="10:12" x14ac:dyDescent="0.25">
      <c r="J1641" s="50"/>
      <c r="L1641" s="50"/>
    </row>
    <row r="1642" spans="10:12" x14ac:dyDescent="0.25">
      <c r="J1642" s="50"/>
      <c r="L1642" s="50"/>
    </row>
    <row r="1643" spans="10:12" x14ac:dyDescent="0.25">
      <c r="J1643" s="50"/>
      <c r="L1643" s="50"/>
    </row>
    <row r="1644" spans="10:12" x14ac:dyDescent="0.25">
      <c r="J1644" s="50"/>
      <c r="L1644" s="50"/>
    </row>
    <row r="1645" spans="10:12" x14ac:dyDescent="0.25">
      <c r="J1645" s="50"/>
      <c r="L1645" s="50"/>
    </row>
    <row r="1646" spans="10:12" x14ac:dyDescent="0.25">
      <c r="J1646" s="50"/>
      <c r="L1646" s="50"/>
    </row>
    <row r="1647" spans="10:12" x14ac:dyDescent="0.25">
      <c r="J1647" s="50"/>
      <c r="L1647" s="50"/>
    </row>
    <row r="1648" spans="10:12" x14ac:dyDescent="0.25">
      <c r="J1648" s="50"/>
      <c r="L1648" s="50"/>
    </row>
    <row r="1649" spans="10:12" x14ac:dyDescent="0.25">
      <c r="J1649" s="50"/>
      <c r="L1649" s="50"/>
    </row>
    <row r="1650" spans="10:12" x14ac:dyDescent="0.25">
      <c r="J1650" s="50"/>
      <c r="L1650" s="50"/>
    </row>
    <row r="1651" spans="10:12" x14ac:dyDescent="0.25">
      <c r="J1651" s="50"/>
      <c r="L1651" s="50"/>
    </row>
    <row r="1652" spans="10:12" x14ac:dyDescent="0.25">
      <c r="J1652" s="50"/>
      <c r="L1652" s="50"/>
    </row>
    <row r="1653" spans="10:12" x14ac:dyDescent="0.25">
      <c r="J1653" s="50"/>
      <c r="L1653" s="50"/>
    </row>
    <row r="1654" spans="10:12" x14ac:dyDescent="0.25">
      <c r="J1654" s="50"/>
      <c r="L1654" s="50"/>
    </row>
    <row r="1655" spans="10:12" x14ac:dyDescent="0.25">
      <c r="J1655" s="50"/>
      <c r="L1655" s="50"/>
    </row>
    <row r="1656" spans="10:12" x14ac:dyDescent="0.25">
      <c r="J1656" s="50"/>
      <c r="L1656" s="50"/>
    </row>
    <row r="1657" spans="10:12" x14ac:dyDescent="0.25">
      <c r="J1657" s="50"/>
      <c r="L1657" s="50"/>
    </row>
    <row r="1658" spans="10:12" x14ac:dyDescent="0.25">
      <c r="J1658" s="50"/>
      <c r="L1658" s="50"/>
    </row>
    <row r="1659" spans="10:12" x14ac:dyDescent="0.25">
      <c r="J1659" s="50"/>
      <c r="L1659" s="50"/>
    </row>
    <row r="1660" spans="10:12" x14ac:dyDescent="0.25">
      <c r="J1660" s="50"/>
      <c r="L1660" s="50"/>
    </row>
    <row r="1661" spans="10:12" x14ac:dyDescent="0.25">
      <c r="J1661" s="50"/>
      <c r="L1661" s="50"/>
    </row>
    <row r="1662" spans="10:12" x14ac:dyDescent="0.25">
      <c r="J1662" s="50"/>
      <c r="L1662" s="50"/>
    </row>
    <row r="1663" spans="10:12" x14ac:dyDescent="0.25">
      <c r="J1663" s="50"/>
      <c r="L1663" s="50"/>
    </row>
    <row r="1664" spans="10:12" x14ac:dyDescent="0.25">
      <c r="J1664" s="50"/>
      <c r="L1664" s="50"/>
    </row>
    <row r="1665" spans="10:12" x14ac:dyDescent="0.25">
      <c r="J1665" s="50"/>
      <c r="L1665" s="50"/>
    </row>
    <row r="1666" spans="10:12" x14ac:dyDescent="0.25">
      <c r="J1666" s="50"/>
      <c r="L1666" s="50"/>
    </row>
    <row r="1667" spans="10:12" x14ac:dyDescent="0.25">
      <c r="J1667" s="50"/>
      <c r="L1667" s="50"/>
    </row>
    <row r="1668" spans="10:12" x14ac:dyDescent="0.25">
      <c r="J1668" s="50"/>
      <c r="L1668" s="50"/>
    </row>
    <row r="1669" spans="10:12" x14ac:dyDescent="0.25">
      <c r="J1669" s="50"/>
      <c r="L1669" s="50"/>
    </row>
    <row r="1670" spans="10:12" x14ac:dyDescent="0.25">
      <c r="J1670" s="50"/>
      <c r="L1670" s="50"/>
    </row>
    <row r="1671" spans="10:12" x14ac:dyDescent="0.25">
      <c r="J1671" s="50"/>
      <c r="L1671" s="50"/>
    </row>
    <row r="1672" spans="10:12" x14ac:dyDescent="0.25">
      <c r="J1672" s="50"/>
      <c r="L1672" s="50"/>
    </row>
    <row r="1673" spans="10:12" x14ac:dyDescent="0.25">
      <c r="J1673" s="50"/>
      <c r="L1673" s="50"/>
    </row>
    <row r="1674" spans="10:12" x14ac:dyDescent="0.25">
      <c r="J1674" s="50"/>
      <c r="L1674" s="50"/>
    </row>
    <row r="1675" spans="10:12" x14ac:dyDescent="0.25">
      <c r="J1675" s="50"/>
      <c r="L1675" s="50"/>
    </row>
    <row r="1676" spans="10:12" x14ac:dyDescent="0.25">
      <c r="J1676" s="50"/>
      <c r="L1676" s="50"/>
    </row>
    <row r="1677" spans="10:12" x14ac:dyDescent="0.25">
      <c r="J1677" s="50"/>
      <c r="L1677" s="50"/>
    </row>
    <row r="1678" spans="10:12" x14ac:dyDescent="0.25">
      <c r="J1678" s="50"/>
      <c r="L1678" s="50"/>
    </row>
    <row r="1679" spans="10:12" x14ac:dyDescent="0.25">
      <c r="J1679" s="50"/>
      <c r="L1679" s="50"/>
    </row>
    <row r="1680" spans="10:12" x14ac:dyDescent="0.25">
      <c r="J1680" s="50"/>
      <c r="L1680" s="50"/>
    </row>
    <row r="1681" spans="10:12" x14ac:dyDescent="0.25">
      <c r="J1681" s="50"/>
      <c r="L1681" s="50"/>
    </row>
    <row r="1682" spans="10:12" x14ac:dyDescent="0.25">
      <c r="J1682" s="50"/>
      <c r="L1682" s="50"/>
    </row>
    <row r="1683" spans="10:12" x14ac:dyDescent="0.25">
      <c r="J1683" s="50"/>
      <c r="L1683" s="50"/>
    </row>
    <row r="1684" spans="10:12" x14ac:dyDescent="0.25">
      <c r="J1684" s="50"/>
      <c r="L1684" s="50"/>
    </row>
    <row r="1685" spans="10:12" x14ac:dyDescent="0.25">
      <c r="J1685" s="50"/>
      <c r="L1685" s="50"/>
    </row>
    <row r="1686" spans="10:12" x14ac:dyDescent="0.25">
      <c r="J1686" s="50"/>
      <c r="L1686" s="50"/>
    </row>
    <row r="1687" spans="10:12" x14ac:dyDescent="0.25">
      <c r="J1687" s="50"/>
      <c r="L1687" s="50"/>
    </row>
    <row r="1688" spans="10:12" x14ac:dyDescent="0.25">
      <c r="J1688" s="50"/>
      <c r="L1688" s="50"/>
    </row>
    <row r="1689" spans="10:12" x14ac:dyDescent="0.25">
      <c r="J1689" s="50"/>
      <c r="L1689" s="50"/>
    </row>
    <row r="1690" spans="10:12" x14ac:dyDescent="0.25">
      <c r="J1690" s="50"/>
      <c r="L1690" s="50"/>
    </row>
    <row r="1691" spans="10:12" x14ac:dyDescent="0.25">
      <c r="J1691" s="50"/>
      <c r="L1691" s="50"/>
    </row>
    <row r="1692" spans="10:12" x14ac:dyDescent="0.25">
      <c r="J1692" s="50"/>
      <c r="L1692" s="50"/>
    </row>
    <row r="1693" spans="10:12" x14ac:dyDescent="0.25">
      <c r="J1693" s="50"/>
      <c r="L1693" s="50"/>
    </row>
    <row r="1694" spans="10:12" x14ac:dyDescent="0.25">
      <c r="J1694" s="50"/>
      <c r="L1694" s="50"/>
    </row>
    <row r="1695" spans="10:12" x14ac:dyDescent="0.25">
      <c r="J1695" s="50"/>
      <c r="L1695" s="50"/>
    </row>
    <row r="1696" spans="10:12" x14ac:dyDescent="0.25">
      <c r="J1696" s="50"/>
      <c r="L1696" s="50"/>
    </row>
    <row r="1697" spans="10:12" x14ac:dyDescent="0.25">
      <c r="J1697" s="50"/>
      <c r="L1697" s="50"/>
    </row>
    <row r="1698" spans="10:12" x14ac:dyDescent="0.25">
      <c r="J1698" s="50"/>
      <c r="L1698" s="50"/>
    </row>
    <row r="1699" spans="10:12" x14ac:dyDescent="0.25">
      <c r="J1699" s="50"/>
      <c r="L1699" s="50"/>
    </row>
    <row r="1700" spans="10:12" x14ac:dyDescent="0.25">
      <c r="J1700" s="50"/>
      <c r="L1700" s="50"/>
    </row>
    <row r="1701" spans="10:12" x14ac:dyDescent="0.25">
      <c r="J1701" s="50"/>
      <c r="L1701" s="50"/>
    </row>
    <row r="1702" spans="10:12" x14ac:dyDescent="0.25">
      <c r="J1702" s="50"/>
      <c r="L1702" s="50"/>
    </row>
    <row r="1703" spans="10:12" x14ac:dyDescent="0.25">
      <c r="J1703" s="50"/>
      <c r="L1703" s="50"/>
    </row>
    <row r="1704" spans="10:12" x14ac:dyDescent="0.25">
      <c r="J1704" s="50"/>
      <c r="L1704" s="50"/>
    </row>
    <row r="1705" spans="10:12" x14ac:dyDescent="0.25">
      <c r="J1705" s="50"/>
      <c r="L1705" s="50"/>
    </row>
    <row r="1706" spans="10:12" x14ac:dyDescent="0.25">
      <c r="J1706" s="50"/>
      <c r="L1706" s="50"/>
    </row>
    <row r="1707" spans="10:12" x14ac:dyDescent="0.25">
      <c r="J1707" s="50"/>
      <c r="L1707" s="50"/>
    </row>
    <row r="1708" spans="10:12" x14ac:dyDescent="0.25">
      <c r="J1708" s="50"/>
      <c r="L1708" s="50"/>
    </row>
    <row r="1709" spans="10:12" x14ac:dyDescent="0.25">
      <c r="J1709" s="50"/>
      <c r="L1709" s="50"/>
    </row>
    <row r="1710" spans="10:12" x14ac:dyDescent="0.25">
      <c r="J1710" s="50"/>
      <c r="L1710" s="50"/>
    </row>
    <row r="1711" spans="10:12" x14ac:dyDescent="0.25">
      <c r="J1711" s="50"/>
      <c r="L1711" s="50"/>
    </row>
    <row r="1712" spans="10:12" x14ac:dyDescent="0.25">
      <c r="J1712" s="50"/>
      <c r="L1712" s="50"/>
    </row>
    <row r="1713" spans="10:12" x14ac:dyDescent="0.25">
      <c r="J1713" s="50"/>
      <c r="L1713" s="50"/>
    </row>
    <row r="1714" spans="10:12" x14ac:dyDescent="0.25">
      <c r="J1714" s="50"/>
      <c r="L1714" s="50"/>
    </row>
    <row r="1715" spans="10:12" x14ac:dyDescent="0.25">
      <c r="J1715" s="50"/>
      <c r="L1715" s="50"/>
    </row>
    <row r="1716" spans="10:12" x14ac:dyDescent="0.25">
      <c r="J1716" s="50"/>
      <c r="L1716" s="50"/>
    </row>
    <row r="1717" spans="10:12" x14ac:dyDescent="0.25">
      <c r="J1717" s="50"/>
      <c r="L1717" s="50"/>
    </row>
    <row r="1718" spans="10:12" x14ac:dyDescent="0.25">
      <c r="J1718" s="50"/>
      <c r="L1718" s="50"/>
    </row>
    <row r="1719" spans="10:12" x14ac:dyDescent="0.25">
      <c r="J1719" s="50"/>
      <c r="L1719" s="50"/>
    </row>
    <row r="1720" spans="10:12" x14ac:dyDescent="0.25">
      <c r="J1720" s="50"/>
      <c r="L1720" s="50"/>
    </row>
    <row r="1721" spans="10:12" x14ac:dyDescent="0.25">
      <c r="J1721" s="50"/>
      <c r="L1721" s="50"/>
    </row>
    <row r="1722" spans="10:12" x14ac:dyDescent="0.25">
      <c r="J1722" s="50"/>
      <c r="L1722" s="50"/>
    </row>
    <row r="1723" spans="10:12" x14ac:dyDescent="0.25">
      <c r="J1723" s="50"/>
      <c r="L1723" s="50"/>
    </row>
    <row r="1724" spans="10:12" x14ac:dyDescent="0.25">
      <c r="J1724" s="50"/>
      <c r="L1724" s="50"/>
    </row>
    <row r="1725" spans="10:12" x14ac:dyDescent="0.25">
      <c r="J1725" s="50"/>
      <c r="L1725" s="50"/>
    </row>
    <row r="1726" spans="10:12" x14ac:dyDescent="0.25">
      <c r="J1726" s="50"/>
      <c r="L1726" s="50"/>
    </row>
    <row r="1727" spans="10:12" x14ac:dyDescent="0.25">
      <c r="J1727" s="50"/>
      <c r="L1727" s="50"/>
    </row>
    <row r="1728" spans="10:12" x14ac:dyDescent="0.25">
      <c r="J1728" s="50"/>
      <c r="L1728" s="50"/>
    </row>
    <row r="1729" spans="10:12" x14ac:dyDescent="0.25">
      <c r="J1729" s="50"/>
      <c r="L1729" s="50"/>
    </row>
    <row r="1730" spans="10:12" x14ac:dyDescent="0.25">
      <c r="J1730" s="50"/>
      <c r="L1730" s="50"/>
    </row>
    <row r="1731" spans="10:12" x14ac:dyDescent="0.25">
      <c r="J1731" s="50"/>
      <c r="L1731" s="50"/>
    </row>
    <row r="1732" spans="10:12" x14ac:dyDescent="0.25">
      <c r="J1732" s="50"/>
      <c r="L1732" s="50"/>
    </row>
    <row r="1733" spans="10:12" x14ac:dyDescent="0.25">
      <c r="J1733" s="50"/>
      <c r="L1733" s="50"/>
    </row>
    <row r="1734" spans="10:12" x14ac:dyDescent="0.25">
      <c r="J1734" s="50"/>
      <c r="L1734" s="50"/>
    </row>
    <row r="1735" spans="10:12" x14ac:dyDescent="0.25">
      <c r="J1735" s="50"/>
      <c r="L1735" s="50"/>
    </row>
    <row r="1736" spans="10:12" x14ac:dyDescent="0.25">
      <c r="J1736" s="50"/>
      <c r="L1736" s="50"/>
    </row>
    <row r="1737" spans="10:12" x14ac:dyDescent="0.25">
      <c r="J1737" s="50"/>
      <c r="L1737" s="50"/>
    </row>
    <row r="1738" spans="10:12" x14ac:dyDescent="0.25">
      <c r="J1738" s="50"/>
      <c r="L1738" s="50"/>
    </row>
    <row r="1739" spans="10:12" x14ac:dyDescent="0.25">
      <c r="J1739" s="50"/>
      <c r="L1739" s="50"/>
    </row>
    <row r="1740" spans="10:12" x14ac:dyDescent="0.25">
      <c r="J1740" s="50"/>
      <c r="L1740" s="50"/>
    </row>
    <row r="1741" spans="10:12" x14ac:dyDescent="0.25">
      <c r="J1741" s="50"/>
      <c r="L1741" s="50"/>
    </row>
    <row r="1742" spans="10:12" x14ac:dyDescent="0.25">
      <c r="J1742" s="50"/>
      <c r="L1742" s="50"/>
    </row>
    <row r="1743" spans="10:12" x14ac:dyDescent="0.25">
      <c r="J1743" s="50"/>
      <c r="L1743" s="50"/>
    </row>
    <row r="1744" spans="10:12" x14ac:dyDescent="0.25">
      <c r="J1744" s="50"/>
      <c r="L1744" s="50"/>
    </row>
    <row r="1745" spans="10:12" x14ac:dyDescent="0.25">
      <c r="J1745" s="50"/>
      <c r="L1745" s="50"/>
    </row>
    <row r="1746" spans="10:12" x14ac:dyDescent="0.25">
      <c r="J1746" s="50"/>
      <c r="L1746" s="50"/>
    </row>
    <row r="1747" spans="10:12" x14ac:dyDescent="0.25">
      <c r="J1747" s="50"/>
      <c r="L1747" s="50"/>
    </row>
    <row r="1748" spans="10:12" x14ac:dyDescent="0.25">
      <c r="J1748" s="50"/>
      <c r="L1748" s="50"/>
    </row>
    <row r="1749" spans="10:12" x14ac:dyDescent="0.25">
      <c r="J1749" s="50"/>
      <c r="L1749" s="50"/>
    </row>
    <row r="1750" spans="10:12" x14ac:dyDescent="0.25">
      <c r="J1750" s="50"/>
      <c r="L1750" s="50"/>
    </row>
    <row r="1751" spans="10:12" x14ac:dyDescent="0.25">
      <c r="J1751" s="50"/>
      <c r="L1751" s="50"/>
    </row>
    <row r="1752" spans="10:12" x14ac:dyDescent="0.25">
      <c r="J1752" s="50"/>
      <c r="L1752" s="50"/>
    </row>
    <row r="1753" spans="10:12" x14ac:dyDescent="0.25">
      <c r="J1753" s="50"/>
      <c r="L1753" s="50"/>
    </row>
    <row r="1754" spans="10:12" x14ac:dyDescent="0.25">
      <c r="J1754" s="50"/>
      <c r="L1754" s="50"/>
    </row>
    <row r="1755" spans="10:12" x14ac:dyDescent="0.25">
      <c r="J1755" s="50"/>
      <c r="L1755" s="50"/>
    </row>
    <row r="1756" spans="10:12" x14ac:dyDescent="0.25">
      <c r="J1756" s="50"/>
      <c r="L1756" s="50"/>
    </row>
    <row r="1757" spans="10:12" x14ac:dyDescent="0.25">
      <c r="J1757" s="50"/>
      <c r="L1757" s="50"/>
    </row>
    <row r="1758" spans="10:12" x14ac:dyDescent="0.25">
      <c r="J1758" s="50"/>
      <c r="L1758" s="50"/>
    </row>
    <row r="1759" spans="10:12" x14ac:dyDescent="0.25">
      <c r="J1759" s="50"/>
      <c r="L1759" s="50"/>
    </row>
    <row r="1760" spans="10:12" x14ac:dyDescent="0.25">
      <c r="J1760" s="50"/>
      <c r="L1760" s="50"/>
    </row>
    <row r="1761" spans="10:12" x14ac:dyDescent="0.25">
      <c r="J1761" s="50"/>
      <c r="L1761" s="50"/>
    </row>
    <row r="1762" spans="10:12" x14ac:dyDescent="0.25">
      <c r="J1762" s="50"/>
      <c r="L1762" s="50"/>
    </row>
    <row r="1763" spans="10:12" x14ac:dyDescent="0.25">
      <c r="J1763" s="50"/>
      <c r="L1763" s="50"/>
    </row>
    <row r="1764" spans="10:12" x14ac:dyDescent="0.25">
      <c r="J1764" s="50"/>
      <c r="L1764" s="50"/>
    </row>
    <row r="1765" spans="10:12" x14ac:dyDescent="0.25">
      <c r="J1765" s="50"/>
      <c r="L1765" s="50"/>
    </row>
    <row r="1766" spans="10:12" x14ac:dyDescent="0.25">
      <c r="J1766" s="50"/>
      <c r="L1766" s="50"/>
    </row>
    <row r="1767" spans="10:12" x14ac:dyDescent="0.25">
      <c r="J1767" s="50"/>
      <c r="L1767" s="50"/>
    </row>
    <row r="1768" spans="10:12" x14ac:dyDescent="0.25">
      <c r="J1768" s="50"/>
      <c r="L1768" s="50"/>
    </row>
    <row r="1769" spans="10:12" x14ac:dyDescent="0.25">
      <c r="J1769" s="50"/>
      <c r="L1769" s="50"/>
    </row>
    <row r="1770" spans="10:12" x14ac:dyDescent="0.25">
      <c r="J1770" s="50"/>
      <c r="L1770" s="50"/>
    </row>
    <row r="1771" spans="10:12" x14ac:dyDescent="0.25">
      <c r="J1771" s="50"/>
      <c r="L1771" s="50"/>
    </row>
    <row r="1772" spans="10:12" x14ac:dyDescent="0.25">
      <c r="J1772" s="50"/>
      <c r="L1772" s="50"/>
    </row>
    <row r="1773" spans="10:12" x14ac:dyDescent="0.25">
      <c r="J1773" s="50"/>
      <c r="L1773" s="50"/>
    </row>
    <row r="1774" spans="10:12" x14ac:dyDescent="0.25">
      <c r="J1774" s="50"/>
      <c r="L1774" s="50"/>
    </row>
    <row r="1775" spans="10:12" x14ac:dyDescent="0.25">
      <c r="J1775" s="50"/>
      <c r="L1775" s="50"/>
    </row>
    <row r="1776" spans="10:12" x14ac:dyDescent="0.25">
      <c r="J1776" s="50"/>
      <c r="L1776" s="50"/>
    </row>
    <row r="1777" spans="10:12" x14ac:dyDescent="0.25">
      <c r="J1777" s="50"/>
      <c r="L1777" s="50"/>
    </row>
    <row r="1778" spans="10:12" x14ac:dyDescent="0.25">
      <c r="J1778" s="50"/>
      <c r="L1778" s="50"/>
    </row>
    <row r="1779" spans="10:12" x14ac:dyDescent="0.25">
      <c r="J1779" s="50"/>
      <c r="L1779" s="50"/>
    </row>
    <row r="1780" spans="10:12" x14ac:dyDescent="0.25">
      <c r="J1780" s="50"/>
      <c r="L1780" s="50"/>
    </row>
    <row r="1781" spans="10:12" x14ac:dyDescent="0.25">
      <c r="J1781" s="50"/>
      <c r="L1781" s="50"/>
    </row>
    <row r="1782" spans="10:12" x14ac:dyDescent="0.25">
      <c r="J1782" s="50"/>
      <c r="L1782" s="50"/>
    </row>
    <row r="1783" spans="10:12" x14ac:dyDescent="0.25">
      <c r="J1783" s="50"/>
      <c r="L1783" s="50"/>
    </row>
    <row r="1784" spans="10:12" x14ac:dyDescent="0.25">
      <c r="J1784" s="50"/>
      <c r="L1784" s="50"/>
    </row>
    <row r="1785" spans="10:12" x14ac:dyDescent="0.25">
      <c r="J1785" s="50"/>
      <c r="L1785" s="50"/>
    </row>
    <row r="1786" spans="10:12" x14ac:dyDescent="0.25">
      <c r="J1786" s="50"/>
      <c r="L1786" s="50"/>
    </row>
    <row r="1787" spans="10:12" x14ac:dyDescent="0.25">
      <c r="J1787" s="50"/>
      <c r="L1787" s="50"/>
    </row>
    <row r="1788" spans="10:12" x14ac:dyDescent="0.25">
      <c r="J1788" s="50"/>
      <c r="L1788" s="50"/>
    </row>
    <row r="1789" spans="10:12" x14ac:dyDescent="0.25">
      <c r="J1789" s="50"/>
      <c r="L1789" s="50"/>
    </row>
    <row r="1790" spans="10:12" x14ac:dyDescent="0.25">
      <c r="J1790" s="50"/>
      <c r="L1790" s="50"/>
    </row>
    <row r="1791" spans="10:12" x14ac:dyDescent="0.25">
      <c r="J1791" s="50"/>
      <c r="L1791" s="50"/>
    </row>
    <row r="1792" spans="10:12" x14ac:dyDescent="0.25">
      <c r="J1792" s="50"/>
      <c r="L1792" s="50"/>
    </row>
    <row r="1793" spans="10:12" x14ac:dyDescent="0.25">
      <c r="J1793" s="50"/>
      <c r="L1793" s="50"/>
    </row>
    <row r="1794" spans="10:12" x14ac:dyDescent="0.25">
      <c r="J1794" s="50"/>
      <c r="L1794" s="50"/>
    </row>
    <row r="1795" spans="10:12" x14ac:dyDescent="0.25">
      <c r="J1795" s="50"/>
      <c r="L1795" s="50"/>
    </row>
    <row r="1796" spans="10:12" x14ac:dyDescent="0.25">
      <c r="J1796" s="50"/>
      <c r="L1796" s="50"/>
    </row>
    <row r="1797" spans="10:12" x14ac:dyDescent="0.25">
      <c r="J1797" s="50"/>
      <c r="L1797" s="50"/>
    </row>
    <row r="1798" spans="10:12" x14ac:dyDescent="0.25">
      <c r="J1798" s="50"/>
      <c r="L1798" s="50"/>
    </row>
    <row r="1799" spans="10:12" x14ac:dyDescent="0.25">
      <c r="J1799" s="50"/>
      <c r="L1799" s="50"/>
    </row>
    <row r="1800" spans="10:12" x14ac:dyDescent="0.25">
      <c r="J1800" s="50"/>
      <c r="L1800" s="50"/>
    </row>
    <row r="1801" spans="10:12" x14ac:dyDescent="0.25">
      <c r="J1801" s="50"/>
      <c r="L1801" s="50"/>
    </row>
    <row r="1802" spans="10:12" x14ac:dyDescent="0.25">
      <c r="J1802" s="50"/>
      <c r="L1802" s="50"/>
    </row>
    <row r="1803" spans="10:12" x14ac:dyDescent="0.25">
      <c r="J1803" s="50"/>
      <c r="L1803" s="50"/>
    </row>
    <row r="1804" spans="10:12" x14ac:dyDescent="0.25">
      <c r="J1804" s="50"/>
      <c r="L1804" s="50"/>
    </row>
    <row r="1805" spans="10:12" x14ac:dyDescent="0.25">
      <c r="J1805" s="50"/>
      <c r="L1805" s="50"/>
    </row>
    <row r="1806" spans="10:12" x14ac:dyDescent="0.25">
      <c r="J1806" s="50"/>
      <c r="L1806" s="50"/>
    </row>
    <row r="1807" spans="10:12" x14ac:dyDescent="0.25">
      <c r="J1807" s="50"/>
      <c r="L1807" s="50"/>
    </row>
    <row r="1808" spans="10:12" x14ac:dyDescent="0.25">
      <c r="J1808" s="50"/>
      <c r="L1808" s="50"/>
    </row>
    <row r="1809" spans="10:12" x14ac:dyDescent="0.25">
      <c r="J1809" s="50"/>
      <c r="L1809" s="50"/>
    </row>
    <row r="1810" spans="10:12" x14ac:dyDescent="0.25">
      <c r="J1810" s="50"/>
      <c r="L1810" s="50"/>
    </row>
    <row r="1811" spans="10:12" x14ac:dyDescent="0.25">
      <c r="J1811" s="50"/>
      <c r="L1811" s="50"/>
    </row>
    <row r="1812" spans="10:12" x14ac:dyDescent="0.25">
      <c r="J1812" s="50"/>
      <c r="L1812" s="50"/>
    </row>
    <row r="1813" spans="10:12" x14ac:dyDescent="0.25">
      <c r="J1813" s="50"/>
      <c r="L1813" s="50"/>
    </row>
    <row r="1814" spans="10:12" x14ac:dyDescent="0.25">
      <c r="J1814" s="50"/>
      <c r="L1814" s="50"/>
    </row>
    <row r="1815" spans="10:12" x14ac:dyDescent="0.25">
      <c r="J1815" s="50"/>
      <c r="L1815" s="50"/>
    </row>
    <row r="1816" spans="10:12" x14ac:dyDescent="0.25">
      <c r="J1816" s="50"/>
      <c r="L1816" s="50"/>
    </row>
    <row r="1817" spans="10:12" x14ac:dyDescent="0.25">
      <c r="J1817" s="50"/>
      <c r="L1817" s="50"/>
    </row>
    <row r="1818" spans="10:12" x14ac:dyDescent="0.25">
      <c r="J1818" s="50"/>
      <c r="L1818" s="50"/>
    </row>
    <row r="1819" spans="10:12" x14ac:dyDescent="0.25">
      <c r="J1819" s="50"/>
      <c r="L1819" s="50"/>
    </row>
    <row r="1820" spans="10:12" x14ac:dyDescent="0.25">
      <c r="J1820" s="50"/>
      <c r="L1820" s="50"/>
    </row>
    <row r="1821" spans="10:12" x14ac:dyDescent="0.25">
      <c r="J1821" s="50"/>
      <c r="L1821" s="50"/>
    </row>
    <row r="1822" spans="10:12" x14ac:dyDescent="0.25">
      <c r="J1822" s="50"/>
      <c r="L1822" s="50"/>
    </row>
    <row r="1823" spans="10:12" x14ac:dyDescent="0.25">
      <c r="J1823" s="50"/>
      <c r="L1823" s="50"/>
    </row>
    <row r="1824" spans="10:12" x14ac:dyDescent="0.25">
      <c r="J1824" s="50"/>
      <c r="L1824" s="50"/>
    </row>
    <row r="1825" spans="10:12" x14ac:dyDescent="0.25">
      <c r="J1825" s="50"/>
      <c r="L1825" s="50"/>
    </row>
    <row r="1826" spans="10:12" x14ac:dyDescent="0.25">
      <c r="J1826" s="50"/>
      <c r="L1826" s="50"/>
    </row>
    <row r="1827" spans="10:12" x14ac:dyDescent="0.25">
      <c r="J1827" s="50"/>
      <c r="L1827" s="50"/>
    </row>
    <row r="1828" spans="10:12" x14ac:dyDescent="0.25">
      <c r="J1828" s="50"/>
      <c r="L1828" s="50"/>
    </row>
    <row r="1829" spans="10:12" x14ac:dyDescent="0.25">
      <c r="J1829" s="50"/>
      <c r="L1829" s="50"/>
    </row>
    <row r="1830" spans="10:12" x14ac:dyDescent="0.25">
      <c r="J1830" s="50"/>
      <c r="L1830" s="50"/>
    </row>
    <row r="1831" spans="10:12" x14ac:dyDescent="0.25">
      <c r="J1831" s="50"/>
      <c r="L1831" s="50"/>
    </row>
    <row r="1832" spans="10:12" x14ac:dyDescent="0.25">
      <c r="J1832" s="50"/>
      <c r="L1832" s="50"/>
    </row>
    <row r="1833" spans="10:12" x14ac:dyDescent="0.25">
      <c r="J1833" s="50"/>
      <c r="L1833" s="50"/>
    </row>
    <row r="1834" spans="10:12" x14ac:dyDescent="0.25">
      <c r="J1834" s="50"/>
      <c r="L1834" s="50"/>
    </row>
    <row r="1835" spans="10:12" x14ac:dyDescent="0.25">
      <c r="J1835" s="50"/>
      <c r="L1835" s="50"/>
    </row>
    <row r="1836" spans="10:12" x14ac:dyDescent="0.25">
      <c r="J1836" s="50"/>
      <c r="L1836" s="50"/>
    </row>
    <row r="1837" spans="10:12" x14ac:dyDescent="0.25">
      <c r="J1837" s="50"/>
      <c r="L1837" s="50"/>
    </row>
    <row r="1838" spans="10:12" x14ac:dyDescent="0.25">
      <c r="J1838" s="50"/>
      <c r="L1838" s="50"/>
    </row>
    <row r="1839" spans="10:12" x14ac:dyDescent="0.25">
      <c r="J1839" s="50"/>
      <c r="L1839" s="50"/>
    </row>
    <row r="1840" spans="10:12" x14ac:dyDescent="0.25">
      <c r="J1840" s="50"/>
      <c r="L1840" s="50"/>
    </row>
    <row r="1841" spans="10:12" x14ac:dyDescent="0.25">
      <c r="J1841" s="50"/>
      <c r="L1841" s="50"/>
    </row>
    <row r="1842" spans="10:12" x14ac:dyDescent="0.25">
      <c r="J1842" s="50"/>
      <c r="L1842" s="50"/>
    </row>
    <row r="1843" spans="10:12" x14ac:dyDescent="0.25">
      <c r="J1843" s="50"/>
      <c r="L1843" s="50"/>
    </row>
    <row r="1844" spans="10:12" x14ac:dyDescent="0.25">
      <c r="J1844" s="50"/>
      <c r="L1844" s="50"/>
    </row>
    <row r="1845" spans="10:12" x14ac:dyDescent="0.25">
      <c r="J1845" s="50"/>
      <c r="L1845" s="50"/>
    </row>
    <row r="1846" spans="10:12" x14ac:dyDescent="0.25">
      <c r="J1846" s="50"/>
      <c r="L1846" s="50"/>
    </row>
    <row r="1847" spans="10:12" x14ac:dyDescent="0.25">
      <c r="J1847" s="50"/>
      <c r="L1847" s="50"/>
    </row>
    <row r="1848" spans="10:12" x14ac:dyDescent="0.25">
      <c r="J1848" s="50"/>
      <c r="L1848" s="50"/>
    </row>
    <row r="1849" spans="10:12" x14ac:dyDescent="0.25">
      <c r="J1849" s="50"/>
      <c r="L1849" s="50"/>
    </row>
    <row r="1850" spans="10:12" x14ac:dyDescent="0.25">
      <c r="J1850" s="50"/>
      <c r="L1850" s="50"/>
    </row>
    <row r="1851" spans="10:12" x14ac:dyDescent="0.25">
      <c r="J1851" s="50"/>
      <c r="L1851" s="50"/>
    </row>
    <row r="1852" spans="10:12" x14ac:dyDescent="0.25">
      <c r="J1852" s="50"/>
      <c r="L1852" s="50"/>
    </row>
    <row r="1853" spans="10:12" x14ac:dyDescent="0.25">
      <c r="J1853" s="50"/>
      <c r="L1853" s="50"/>
    </row>
    <row r="1854" spans="10:12" x14ac:dyDescent="0.25">
      <c r="J1854" s="50"/>
      <c r="L1854" s="50"/>
    </row>
    <row r="1855" spans="10:12" x14ac:dyDescent="0.25">
      <c r="J1855" s="50"/>
      <c r="L1855" s="50"/>
    </row>
    <row r="1856" spans="10:12" x14ac:dyDescent="0.25">
      <c r="J1856" s="50"/>
      <c r="L1856" s="50"/>
    </row>
    <row r="1857" spans="10:12" x14ac:dyDescent="0.25">
      <c r="J1857" s="50"/>
      <c r="L1857" s="50"/>
    </row>
    <row r="1858" spans="10:12" x14ac:dyDescent="0.25">
      <c r="J1858" s="50"/>
      <c r="L1858" s="50"/>
    </row>
    <row r="1859" spans="10:12" x14ac:dyDescent="0.25">
      <c r="J1859" s="50"/>
      <c r="L1859" s="50"/>
    </row>
    <row r="1860" spans="10:12" x14ac:dyDescent="0.25">
      <c r="J1860" s="50"/>
      <c r="L1860" s="50"/>
    </row>
    <row r="1861" spans="10:12" x14ac:dyDescent="0.25">
      <c r="J1861" s="50"/>
      <c r="L1861" s="50"/>
    </row>
    <row r="1862" spans="10:12" x14ac:dyDescent="0.25">
      <c r="J1862" s="50"/>
      <c r="L1862" s="50"/>
    </row>
    <row r="1863" spans="10:12" x14ac:dyDescent="0.25">
      <c r="J1863" s="50"/>
      <c r="L1863" s="50"/>
    </row>
    <row r="1864" spans="10:12" x14ac:dyDescent="0.25">
      <c r="J1864" s="50"/>
      <c r="L1864" s="50"/>
    </row>
    <row r="1865" spans="10:12" x14ac:dyDescent="0.25">
      <c r="J1865" s="50"/>
      <c r="L1865" s="50"/>
    </row>
    <row r="1866" spans="10:12" x14ac:dyDescent="0.25">
      <c r="J1866" s="50"/>
      <c r="L1866" s="50"/>
    </row>
    <row r="1867" spans="10:12" x14ac:dyDescent="0.25">
      <c r="J1867" s="50"/>
      <c r="L1867" s="50"/>
    </row>
    <row r="1868" spans="10:12" x14ac:dyDescent="0.25">
      <c r="J1868" s="50"/>
      <c r="L1868" s="50"/>
    </row>
    <row r="1869" spans="10:12" x14ac:dyDescent="0.25">
      <c r="J1869" s="50"/>
      <c r="L1869" s="50"/>
    </row>
    <row r="1870" spans="10:12" x14ac:dyDescent="0.25">
      <c r="J1870" s="50"/>
      <c r="L1870" s="50"/>
    </row>
    <row r="1871" spans="10:12" x14ac:dyDescent="0.25">
      <c r="J1871" s="50"/>
      <c r="L1871" s="50"/>
    </row>
    <row r="1872" spans="10:12" x14ac:dyDescent="0.25">
      <c r="J1872" s="50"/>
      <c r="L1872" s="50"/>
    </row>
    <row r="1873" spans="10:12" x14ac:dyDescent="0.25">
      <c r="J1873" s="50"/>
      <c r="L1873" s="50"/>
    </row>
    <row r="1874" spans="10:12" x14ac:dyDescent="0.25">
      <c r="J1874" s="50"/>
      <c r="L1874" s="50"/>
    </row>
    <row r="1875" spans="10:12" x14ac:dyDescent="0.25">
      <c r="J1875" s="50"/>
      <c r="L1875" s="50"/>
    </row>
    <row r="1876" spans="10:12" x14ac:dyDescent="0.25">
      <c r="J1876" s="50"/>
      <c r="L1876" s="50"/>
    </row>
    <row r="1877" spans="10:12" x14ac:dyDescent="0.25">
      <c r="J1877" s="50"/>
      <c r="L1877" s="50"/>
    </row>
    <row r="1878" spans="10:12" x14ac:dyDescent="0.25">
      <c r="J1878" s="50"/>
      <c r="L1878" s="50"/>
    </row>
    <row r="1879" spans="10:12" x14ac:dyDescent="0.25">
      <c r="J1879" s="50"/>
      <c r="L1879" s="50"/>
    </row>
    <row r="1880" spans="10:12" x14ac:dyDescent="0.25">
      <c r="J1880" s="50"/>
      <c r="L1880" s="50"/>
    </row>
    <row r="1881" spans="10:12" x14ac:dyDescent="0.25">
      <c r="J1881" s="50"/>
      <c r="L1881" s="50"/>
    </row>
    <row r="1882" spans="10:12" x14ac:dyDescent="0.25">
      <c r="J1882" s="50"/>
      <c r="L1882" s="50"/>
    </row>
    <row r="1883" spans="10:12" x14ac:dyDescent="0.25">
      <c r="J1883" s="50"/>
      <c r="L1883" s="50"/>
    </row>
    <row r="1884" spans="10:12" x14ac:dyDescent="0.25">
      <c r="J1884" s="50"/>
      <c r="L1884" s="50"/>
    </row>
    <row r="1885" spans="10:12" x14ac:dyDescent="0.25">
      <c r="J1885" s="50"/>
      <c r="L1885" s="50"/>
    </row>
    <row r="1886" spans="10:12" x14ac:dyDescent="0.25">
      <c r="J1886" s="50"/>
      <c r="L1886" s="50"/>
    </row>
    <row r="1887" spans="10:12" x14ac:dyDescent="0.25">
      <c r="J1887" s="50"/>
      <c r="L1887" s="50"/>
    </row>
    <row r="1888" spans="10:12" x14ac:dyDescent="0.25">
      <c r="J1888" s="50"/>
      <c r="L1888" s="50"/>
    </row>
    <row r="1889" spans="10:12" x14ac:dyDescent="0.25">
      <c r="J1889" s="50"/>
      <c r="L1889" s="50"/>
    </row>
    <row r="1890" spans="10:12" x14ac:dyDescent="0.25">
      <c r="J1890" s="50"/>
      <c r="L1890" s="50"/>
    </row>
    <row r="1891" spans="10:12" x14ac:dyDescent="0.25">
      <c r="J1891" s="50"/>
      <c r="L1891" s="50"/>
    </row>
    <row r="1892" spans="10:12" x14ac:dyDescent="0.25">
      <c r="J1892" s="50"/>
      <c r="L1892" s="50"/>
    </row>
    <row r="1893" spans="10:12" x14ac:dyDescent="0.25">
      <c r="J1893" s="50"/>
      <c r="L1893" s="50"/>
    </row>
    <row r="1894" spans="10:12" x14ac:dyDescent="0.25">
      <c r="J1894" s="50"/>
      <c r="L1894" s="50"/>
    </row>
    <row r="1895" spans="10:12" x14ac:dyDescent="0.25">
      <c r="J1895" s="50"/>
      <c r="L1895" s="50"/>
    </row>
    <row r="1896" spans="10:12" x14ac:dyDescent="0.25">
      <c r="J1896" s="50"/>
      <c r="L1896" s="50"/>
    </row>
    <row r="1897" spans="10:12" x14ac:dyDescent="0.25">
      <c r="J1897" s="50"/>
      <c r="L1897" s="50"/>
    </row>
    <row r="1898" spans="10:12" x14ac:dyDescent="0.25">
      <c r="J1898" s="50"/>
      <c r="L1898" s="50"/>
    </row>
    <row r="1899" spans="10:12" x14ac:dyDescent="0.25">
      <c r="J1899" s="50"/>
      <c r="L1899" s="50"/>
    </row>
    <row r="1900" spans="10:12" x14ac:dyDescent="0.25">
      <c r="J1900" s="50"/>
      <c r="L1900" s="50"/>
    </row>
    <row r="1901" spans="10:12" x14ac:dyDescent="0.25">
      <c r="J1901" s="50"/>
      <c r="L1901" s="50"/>
    </row>
    <row r="1902" spans="10:12" x14ac:dyDescent="0.25">
      <c r="J1902" s="50"/>
      <c r="L1902" s="50"/>
    </row>
    <row r="1903" spans="10:12" x14ac:dyDescent="0.25">
      <c r="J1903" s="50"/>
      <c r="L1903" s="50"/>
    </row>
    <row r="1904" spans="10:12" x14ac:dyDescent="0.25">
      <c r="J1904" s="50"/>
      <c r="L1904" s="50"/>
    </row>
    <row r="1905" spans="10:12" x14ac:dyDescent="0.25">
      <c r="J1905" s="50"/>
      <c r="L1905" s="50"/>
    </row>
    <row r="1906" spans="10:12" x14ac:dyDescent="0.25">
      <c r="J1906" s="50"/>
      <c r="L1906" s="50"/>
    </row>
    <row r="1907" spans="10:12" x14ac:dyDescent="0.25">
      <c r="J1907" s="50"/>
      <c r="L1907" s="50"/>
    </row>
    <row r="1908" spans="10:12" x14ac:dyDescent="0.25">
      <c r="J1908" s="50"/>
      <c r="L1908" s="50"/>
    </row>
    <row r="1909" spans="10:12" x14ac:dyDescent="0.25">
      <c r="J1909" s="50"/>
      <c r="L1909" s="50"/>
    </row>
    <row r="1910" spans="10:12" x14ac:dyDescent="0.25">
      <c r="J1910" s="50"/>
      <c r="L1910" s="50"/>
    </row>
    <row r="1911" spans="10:12" x14ac:dyDescent="0.25">
      <c r="J1911" s="50"/>
      <c r="L1911" s="50"/>
    </row>
    <row r="1912" spans="10:12" x14ac:dyDescent="0.25">
      <c r="J1912" s="50"/>
      <c r="L1912" s="50"/>
    </row>
    <row r="1913" spans="10:12" x14ac:dyDescent="0.25">
      <c r="J1913" s="50"/>
      <c r="L1913" s="50"/>
    </row>
    <row r="1914" spans="10:12" x14ac:dyDescent="0.25">
      <c r="J1914" s="50"/>
      <c r="L1914" s="50"/>
    </row>
    <row r="1915" spans="10:12" x14ac:dyDescent="0.25">
      <c r="J1915" s="50"/>
      <c r="L1915" s="50"/>
    </row>
    <row r="1916" spans="10:12" x14ac:dyDescent="0.25">
      <c r="J1916" s="50"/>
      <c r="L1916" s="50"/>
    </row>
    <row r="1917" spans="10:12" x14ac:dyDescent="0.25">
      <c r="J1917" s="50"/>
      <c r="L1917" s="50"/>
    </row>
    <row r="1918" spans="10:12" x14ac:dyDescent="0.25">
      <c r="J1918" s="50"/>
      <c r="L1918" s="50"/>
    </row>
    <row r="1919" spans="10:12" x14ac:dyDescent="0.25">
      <c r="J1919" s="50"/>
      <c r="L1919" s="50"/>
    </row>
    <row r="1920" spans="10:12" x14ac:dyDescent="0.25">
      <c r="J1920" s="50"/>
      <c r="L1920" s="50"/>
    </row>
    <row r="1921" spans="10:12" x14ac:dyDescent="0.25">
      <c r="J1921" s="50"/>
      <c r="L1921" s="50"/>
    </row>
    <row r="1922" spans="10:12" x14ac:dyDescent="0.25">
      <c r="J1922" s="50"/>
      <c r="L1922" s="50"/>
    </row>
    <row r="1923" spans="10:12" x14ac:dyDescent="0.25">
      <c r="J1923" s="50"/>
      <c r="L1923" s="50"/>
    </row>
    <row r="1924" spans="10:12" x14ac:dyDescent="0.25">
      <c r="J1924" s="50"/>
      <c r="L1924" s="50"/>
    </row>
    <row r="1925" spans="10:12" x14ac:dyDescent="0.25">
      <c r="J1925" s="50"/>
      <c r="L1925" s="50"/>
    </row>
    <row r="1926" spans="10:12" x14ac:dyDescent="0.25">
      <c r="J1926" s="50"/>
      <c r="L1926" s="50"/>
    </row>
    <row r="1927" spans="10:12" x14ac:dyDescent="0.25">
      <c r="J1927" s="50"/>
      <c r="L1927" s="50"/>
    </row>
    <row r="1928" spans="10:12" x14ac:dyDescent="0.25">
      <c r="J1928" s="50"/>
      <c r="L1928" s="50"/>
    </row>
    <row r="1929" spans="10:12" x14ac:dyDescent="0.25">
      <c r="J1929" s="50"/>
      <c r="L1929" s="50"/>
    </row>
    <row r="1930" spans="10:12" x14ac:dyDescent="0.25">
      <c r="J1930" s="50"/>
      <c r="L1930" s="50"/>
    </row>
    <row r="1931" spans="10:12" x14ac:dyDescent="0.25">
      <c r="J1931" s="50"/>
      <c r="L1931" s="50"/>
    </row>
    <row r="1932" spans="10:12" x14ac:dyDescent="0.25">
      <c r="J1932" s="50"/>
      <c r="L1932" s="50"/>
    </row>
    <row r="1933" spans="10:12" x14ac:dyDescent="0.25">
      <c r="J1933" s="50"/>
      <c r="L1933" s="50"/>
    </row>
    <row r="1934" spans="10:12" x14ac:dyDescent="0.25">
      <c r="J1934" s="50"/>
      <c r="L1934" s="50"/>
    </row>
    <row r="1935" spans="10:12" x14ac:dyDescent="0.25">
      <c r="J1935" s="50"/>
      <c r="L1935" s="50"/>
    </row>
    <row r="1936" spans="10:12" x14ac:dyDescent="0.25">
      <c r="J1936" s="50"/>
      <c r="L1936" s="50"/>
    </row>
    <row r="1937" spans="10:12" x14ac:dyDescent="0.25">
      <c r="J1937" s="50"/>
      <c r="L1937" s="50"/>
    </row>
    <row r="1938" spans="10:12" x14ac:dyDescent="0.25">
      <c r="J1938" s="50"/>
      <c r="L1938" s="50"/>
    </row>
    <row r="1939" spans="10:12" x14ac:dyDescent="0.25">
      <c r="J1939" s="50"/>
      <c r="L1939" s="50"/>
    </row>
    <row r="1940" spans="10:12" x14ac:dyDescent="0.25">
      <c r="J1940" s="50"/>
      <c r="L1940" s="50"/>
    </row>
    <row r="1941" spans="10:12" x14ac:dyDescent="0.25">
      <c r="J1941" s="50"/>
      <c r="L1941" s="50"/>
    </row>
    <row r="1942" spans="10:12" x14ac:dyDescent="0.25">
      <c r="J1942" s="50"/>
      <c r="L1942" s="50"/>
    </row>
    <row r="1943" spans="10:12" x14ac:dyDescent="0.25">
      <c r="J1943" s="50"/>
      <c r="L1943" s="50"/>
    </row>
    <row r="1944" spans="10:12" x14ac:dyDescent="0.25">
      <c r="J1944" s="50"/>
      <c r="L1944" s="50"/>
    </row>
    <row r="1945" spans="10:12" x14ac:dyDescent="0.25">
      <c r="J1945" s="50"/>
      <c r="L1945" s="50"/>
    </row>
    <row r="1946" spans="10:12" x14ac:dyDescent="0.25">
      <c r="J1946" s="50"/>
      <c r="L1946" s="50"/>
    </row>
    <row r="1947" spans="10:12" x14ac:dyDescent="0.25">
      <c r="J1947" s="50"/>
      <c r="L1947" s="50"/>
    </row>
    <row r="1948" spans="10:12" x14ac:dyDescent="0.25">
      <c r="J1948" s="50"/>
      <c r="L1948" s="50"/>
    </row>
    <row r="1949" spans="10:12" x14ac:dyDescent="0.25">
      <c r="J1949" s="50"/>
      <c r="L1949" s="50"/>
    </row>
    <row r="1950" spans="10:12" x14ac:dyDescent="0.25">
      <c r="J1950" s="50"/>
      <c r="L1950" s="50"/>
    </row>
    <row r="1951" spans="10:12" x14ac:dyDescent="0.25">
      <c r="J1951" s="50"/>
      <c r="L1951" s="50"/>
    </row>
    <row r="1952" spans="10:12" x14ac:dyDescent="0.25">
      <c r="J1952" s="50"/>
      <c r="L1952" s="50"/>
    </row>
    <row r="1953" spans="10:12" x14ac:dyDescent="0.25">
      <c r="J1953" s="50"/>
      <c r="L1953" s="50"/>
    </row>
    <row r="1954" spans="10:12" x14ac:dyDescent="0.25">
      <c r="J1954" s="50"/>
      <c r="L1954" s="50"/>
    </row>
    <row r="1955" spans="10:12" x14ac:dyDescent="0.25">
      <c r="J1955" s="50"/>
      <c r="L1955" s="50"/>
    </row>
    <row r="1956" spans="10:12" x14ac:dyDescent="0.25">
      <c r="J1956" s="50"/>
      <c r="L1956" s="50"/>
    </row>
    <row r="1957" spans="10:12" x14ac:dyDescent="0.25">
      <c r="J1957" s="50"/>
      <c r="L1957" s="50"/>
    </row>
    <row r="1958" spans="10:12" x14ac:dyDescent="0.25">
      <c r="J1958" s="50"/>
      <c r="L1958" s="50"/>
    </row>
    <row r="1959" spans="10:12" x14ac:dyDescent="0.25">
      <c r="J1959" s="50"/>
      <c r="L1959" s="50"/>
    </row>
    <row r="1960" spans="10:12" x14ac:dyDescent="0.25">
      <c r="J1960" s="50"/>
      <c r="L1960" s="50"/>
    </row>
    <row r="1961" spans="10:12" x14ac:dyDescent="0.25">
      <c r="J1961" s="50"/>
      <c r="L1961" s="50"/>
    </row>
    <row r="1962" spans="10:12" x14ac:dyDescent="0.25">
      <c r="J1962" s="50"/>
      <c r="L1962" s="50"/>
    </row>
    <row r="1963" spans="10:12" x14ac:dyDescent="0.25">
      <c r="J1963" s="50"/>
      <c r="L1963" s="50"/>
    </row>
    <row r="1964" spans="10:12" x14ac:dyDescent="0.25">
      <c r="J1964" s="50"/>
      <c r="L1964" s="50"/>
    </row>
    <row r="1965" spans="10:12" x14ac:dyDescent="0.25">
      <c r="J1965" s="50"/>
      <c r="L1965" s="50"/>
    </row>
    <row r="1966" spans="10:12" x14ac:dyDescent="0.25">
      <c r="J1966" s="50"/>
      <c r="L1966" s="50"/>
    </row>
    <row r="1967" spans="10:12" x14ac:dyDescent="0.25">
      <c r="J1967" s="50"/>
      <c r="L1967" s="50"/>
    </row>
    <row r="1968" spans="10:12" x14ac:dyDescent="0.25">
      <c r="J1968" s="50"/>
      <c r="L1968" s="50"/>
    </row>
    <row r="1969" spans="10:12" x14ac:dyDescent="0.25">
      <c r="J1969" s="50"/>
      <c r="L1969" s="50"/>
    </row>
    <row r="1970" spans="10:12" x14ac:dyDescent="0.25">
      <c r="J1970" s="50"/>
      <c r="L1970" s="50"/>
    </row>
    <row r="1971" spans="10:12" x14ac:dyDescent="0.25">
      <c r="J1971" s="50"/>
      <c r="L1971" s="50"/>
    </row>
    <row r="1972" spans="10:12" x14ac:dyDescent="0.25">
      <c r="J1972" s="50"/>
      <c r="L1972" s="50"/>
    </row>
    <row r="1973" spans="10:12" x14ac:dyDescent="0.25">
      <c r="J1973" s="50"/>
      <c r="L1973" s="50"/>
    </row>
    <row r="1974" spans="10:12" x14ac:dyDescent="0.25">
      <c r="J1974" s="50"/>
      <c r="L1974" s="50"/>
    </row>
    <row r="1975" spans="10:12" x14ac:dyDescent="0.25">
      <c r="J1975" s="50"/>
      <c r="L1975" s="50"/>
    </row>
    <row r="1976" spans="10:12" x14ac:dyDescent="0.25">
      <c r="J1976" s="50"/>
      <c r="L1976" s="50"/>
    </row>
    <row r="1977" spans="10:12" x14ac:dyDescent="0.25">
      <c r="J1977" s="50"/>
      <c r="L1977" s="50"/>
    </row>
    <row r="1978" spans="10:12" x14ac:dyDescent="0.25">
      <c r="J1978" s="50"/>
      <c r="L1978" s="50"/>
    </row>
    <row r="1979" spans="10:12" x14ac:dyDescent="0.25">
      <c r="J1979" s="50"/>
      <c r="L1979" s="50"/>
    </row>
    <row r="1980" spans="10:12" x14ac:dyDescent="0.25">
      <c r="J1980" s="50"/>
      <c r="L1980" s="50"/>
    </row>
    <row r="1981" spans="10:12" x14ac:dyDescent="0.25">
      <c r="J1981" s="50"/>
      <c r="L1981" s="50"/>
    </row>
    <row r="1982" spans="10:12" x14ac:dyDescent="0.25">
      <c r="J1982" s="50"/>
      <c r="L1982" s="50"/>
    </row>
    <row r="1983" spans="10:12" x14ac:dyDescent="0.25">
      <c r="J1983" s="50"/>
      <c r="L1983" s="50"/>
    </row>
    <row r="1984" spans="10:12" x14ac:dyDescent="0.25">
      <c r="J1984" s="50"/>
      <c r="L1984" s="50"/>
    </row>
    <row r="1985" spans="10:12" x14ac:dyDescent="0.25">
      <c r="J1985" s="50"/>
      <c r="L1985" s="50"/>
    </row>
    <row r="1986" spans="10:12" x14ac:dyDescent="0.25">
      <c r="J1986" s="50"/>
      <c r="L1986" s="50"/>
    </row>
    <row r="1987" spans="10:12" x14ac:dyDescent="0.25">
      <c r="J1987" s="50"/>
      <c r="L1987" s="50"/>
    </row>
    <row r="1988" spans="10:12" x14ac:dyDescent="0.25">
      <c r="J1988" s="50"/>
      <c r="L1988" s="50"/>
    </row>
    <row r="1989" spans="10:12" x14ac:dyDescent="0.25">
      <c r="J1989" s="50"/>
      <c r="L1989" s="50"/>
    </row>
    <row r="1990" spans="10:12" x14ac:dyDescent="0.25">
      <c r="J1990" s="50"/>
      <c r="L1990" s="50"/>
    </row>
    <row r="1991" spans="10:12" x14ac:dyDescent="0.25">
      <c r="J1991" s="50"/>
      <c r="L1991" s="50"/>
    </row>
    <row r="1992" spans="10:12" x14ac:dyDescent="0.25">
      <c r="J1992" s="50"/>
      <c r="L1992" s="50"/>
    </row>
    <row r="1993" spans="10:12" x14ac:dyDescent="0.25">
      <c r="J1993" s="50"/>
      <c r="L1993" s="50"/>
    </row>
    <row r="1994" spans="10:12" x14ac:dyDescent="0.25">
      <c r="J1994" s="50"/>
      <c r="L1994" s="50"/>
    </row>
    <row r="1995" spans="10:12" x14ac:dyDescent="0.25">
      <c r="J1995" s="50"/>
      <c r="L1995" s="50"/>
    </row>
    <row r="1996" spans="10:12" x14ac:dyDescent="0.25">
      <c r="J1996" s="50"/>
      <c r="L1996" s="50"/>
    </row>
    <row r="1997" spans="10:12" x14ac:dyDescent="0.25">
      <c r="J1997" s="50"/>
      <c r="L1997" s="50"/>
    </row>
    <row r="1998" spans="10:12" x14ac:dyDescent="0.25">
      <c r="J1998" s="50"/>
      <c r="L1998" s="50"/>
    </row>
    <row r="1999" spans="10:12" x14ac:dyDescent="0.25">
      <c r="J1999" s="50"/>
      <c r="L1999" s="50"/>
    </row>
    <row r="2000" spans="10:12" x14ac:dyDescent="0.25">
      <c r="J2000" s="50"/>
      <c r="L2000" s="50"/>
    </row>
    <row r="2001" spans="10:12" x14ac:dyDescent="0.25">
      <c r="J2001" s="50"/>
      <c r="L2001" s="50"/>
    </row>
    <row r="2002" spans="10:12" x14ac:dyDescent="0.25">
      <c r="J2002" s="50"/>
      <c r="L2002" s="50"/>
    </row>
    <row r="2003" spans="10:12" x14ac:dyDescent="0.25">
      <c r="J2003" s="50"/>
      <c r="L2003" s="50"/>
    </row>
    <row r="2004" spans="10:12" x14ac:dyDescent="0.25">
      <c r="J2004" s="50"/>
      <c r="L2004" s="50"/>
    </row>
    <row r="2005" spans="10:12" x14ac:dyDescent="0.25">
      <c r="J2005" s="50"/>
      <c r="L2005" s="50"/>
    </row>
    <row r="2006" spans="10:12" x14ac:dyDescent="0.25">
      <c r="J2006" s="50"/>
      <c r="L2006" s="50"/>
    </row>
    <row r="2007" spans="10:12" x14ac:dyDescent="0.25">
      <c r="J2007" s="50"/>
      <c r="L2007" s="50"/>
    </row>
    <row r="2008" spans="10:12" x14ac:dyDescent="0.25">
      <c r="J2008" s="50"/>
      <c r="L2008" s="50"/>
    </row>
    <row r="2009" spans="10:12" x14ac:dyDescent="0.25">
      <c r="J2009" s="50"/>
      <c r="L2009" s="50"/>
    </row>
    <row r="2010" spans="10:12" x14ac:dyDescent="0.25">
      <c r="J2010" s="50"/>
      <c r="L2010" s="50"/>
    </row>
    <row r="2011" spans="10:12" x14ac:dyDescent="0.25">
      <c r="J2011" s="50"/>
      <c r="L2011" s="50"/>
    </row>
    <row r="2012" spans="10:12" x14ac:dyDescent="0.25">
      <c r="J2012" s="50"/>
      <c r="L2012" s="50"/>
    </row>
    <row r="2013" spans="10:12" x14ac:dyDescent="0.25">
      <c r="J2013" s="50"/>
      <c r="L2013" s="50"/>
    </row>
    <row r="2014" spans="10:12" x14ac:dyDescent="0.25">
      <c r="J2014" s="50"/>
      <c r="L2014" s="50"/>
    </row>
    <row r="2015" spans="10:12" x14ac:dyDescent="0.25">
      <c r="J2015" s="50"/>
      <c r="L2015" s="50"/>
    </row>
    <row r="2016" spans="10:12" x14ac:dyDescent="0.25">
      <c r="J2016" s="50"/>
      <c r="L2016" s="50"/>
    </row>
    <row r="2017" spans="10:12" x14ac:dyDescent="0.25">
      <c r="J2017" s="50"/>
      <c r="L2017" s="50"/>
    </row>
    <row r="2018" spans="10:12" x14ac:dyDescent="0.25">
      <c r="J2018" s="50"/>
      <c r="L2018" s="50"/>
    </row>
    <row r="2019" spans="10:12" x14ac:dyDescent="0.25">
      <c r="J2019" s="50"/>
      <c r="L2019" s="50"/>
    </row>
    <row r="2020" spans="10:12" x14ac:dyDescent="0.25">
      <c r="J2020" s="50"/>
      <c r="L2020" s="50"/>
    </row>
    <row r="2021" spans="10:12" x14ac:dyDescent="0.25">
      <c r="J2021" s="50"/>
      <c r="L2021" s="50"/>
    </row>
    <row r="2022" spans="10:12" x14ac:dyDescent="0.25">
      <c r="J2022" s="50"/>
      <c r="L2022" s="50"/>
    </row>
    <row r="2023" spans="10:12" x14ac:dyDescent="0.25">
      <c r="J2023" s="50"/>
      <c r="L2023" s="50"/>
    </row>
    <row r="2024" spans="10:12" x14ac:dyDescent="0.25">
      <c r="J2024" s="50"/>
      <c r="L2024" s="50"/>
    </row>
    <row r="2025" spans="10:12" x14ac:dyDescent="0.25">
      <c r="J2025" s="50"/>
      <c r="L2025" s="50"/>
    </row>
    <row r="2026" spans="10:12" x14ac:dyDescent="0.25">
      <c r="J2026" s="50"/>
      <c r="L2026" s="50"/>
    </row>
    <row r="2027" spans="10:12" x14ac:dyDescent="0.25">
      <c r="J2027" s="50"/>
      <c r="L2027" s="50"/>
    </row>
    <row r="2028" spans="10:12" x14ac:dyDescent="0.25">
      <c r="J2028" s="50"/>
      <c r="L2028" s="50"/>
    </row>
    <row r="2029" spans="10:12" x14ac:dyDescent="0.25">
      <c r="J2029" s="50"/>
      <c r="L2029" s="50"/>
    </row>
    <row r="2030" spans="10:12" x14ac:dyDescent="0.25">
      <c r="J2030" s="50"/>
      <c r="L2030" s="50"/>
    </row>
    <row r="2031" spans="10:12" x14ac:dyDescent="0.25">
      <c r="J2031" s="50"/>
      <c r="L2031" s="50"/>
    </row>
    <row r="2032" spans="10:12" x14ac:dyDescent="0.25">
      <c r="J2032" s="50"/>
      <c r="L2032" s="50"/>
    </row>
    <row r="2033" spans="10:12" x14ac:dyDescent="0.25">
      <c r="J2033" s="50"/>
      <c r="L2033" s="50"/>
    </row>
    <row r="2034" spans="10:12" x14ac:dyDescent="0.25">
      <c r="J2034" s="50"/>
      <c r="L2034" s="50"/>
    </row>
    <row r="2035" spans="10:12" x14ac:dyDescent="0.25">
      <c r="J2035" s="50"/>
      <c r="L2035" s="50"/>
    </row>
    <row r="2036" spans="10:12" x14ac:dyDescent="0.25">
      <c r="J2036" s="50"/>
      <c r="L2036" s="50"/>
    </row>
    <row r="2037" spans="10:12" x14ac:dyDescent="0.25">
      <c r="J2037" s="50"/>
      <c r="L2037" s="50"/>
    </row>
    <row r="2038" spans="10:12" x14ac:dyDescent="0.25">
      <c r="J2038" s="50"/>
      <c r="L2038" s="50"/>
    </row>
    <row r="2039" spans="10:12" x14ac:dyDescent="0.25">
      <c r="J2039" s="50"/>
      <c r="L2039" s="50"/>
    </row>
    <row r="2040" spans="10:12" x14ac:dyDescent="0.25">
      <c r="J2040" s="50"/>
      <c r="L2040" s="50"/>
    </row>
    <row r="2041" spans="10:12" x14ac:dyDescent="0.25">
      <c r="J2041" s="50"/>
      <c r="L2041" s="50"/>
    </row>
    <row r="2042" spans="10:12" x14ac:dyDescent="0.25">
      <c r="J2042" s="50"/>
      <c r="L2042" s="50"/>
    </row>
    <row r="2043" spans="10:12" x14ac:dyDescent="0.25">
      <c r="J2043" s="50"/>
      <c r="L2043" s="50"/>
    </row>
    <row r="2044" spans="10:12" x14ac:dyDescent="0.25">
      <c r="J2044" s="50"/>
      <c r="L2044" s="50"/>
    </row>
    <row r="2045" spans="10:12" x14ac:dyDescent="0.25">
      <c r="J2045" s="50"/>
      <c r="L2045" s="50"/>
    </row>
    <row r="2046" spans="10:12" x14ac:dyDescent="0.25">
      <c r="J2046" s="50"/>
      <c r="L2046" s="50"/>
    </row>
    <row r="2047" spans="10:12" x14ac:dyDescent="0.25">
      <c r="J2047" s="50"/>
      <c r="L2047" s="50"/>
    </row>
    <row r="2048" spans="10:12" x14ac:dyDescent="0.25">
      <c r="J2048" s="50"/>
      <c r="L2048" s="50"/>
    </row>
    <row r="2049" spans="10:12" x14ac:dyDescent="0.25">
      <c r="J2049" s="50"/>
      <c r="L2049" s="50"/>
    </row>
    <row r="2050" spans="10:12" x14ac:dyDescent="0.25">
      <c r="J2050" s="50"/>
      <c r="L2050" s="50"/>
    </row>
    <row r="2051" spans="10:12" x14ac:dyDescent="0.25">
      <c r="J2051" s="50"/>
      <c r="L2051" s="50"/>
    </row>
    <row r="2052" spans="10:12" x14ac:dyDescent="0.25">
      <c r="J2052" s="50"/>
      <c r="L2052" s="50"/>
    </row>
    <row r="2053" spans="10:12" x14ac:dyDescent="0.25">
      <c r="J2053" s="50"/>
      <c r="L2053" s="50"/>
    </row>
    <row r="2054" spans="10:12" x14ac:dyDescent="0.25">
      <c r="J2054" s="50"/>
      <c r="L2054" s="50"/>
    </row>
    <row r="2055" spans="10:12" x14ac:dyDescent="0.25">
      <c r="J2055" s="50"/>
      <c r="L2055" s="50"/>
    </row>
    <row r="2056" spans="10:12" x14ac:dyDescent="0.25">
      <c r="J2056" s="50"/>
      <c r="L2056" s="50"/>
    </row>
    <row r="2057" spans="10:12" x14ac:dyDescent="0.25">
      <c r="J2057" s="50"/>
      <c r="L2057" s="50"/>
    </row>
    <row r="2058" spans="10:12" x14ac:dyDescent="0.25">
      <c r="J2058" s="50"/>
      <c r="L2058" s="50"/>
    </row>
    <row r="2059" spans="10:12" x14ac:dyDescent="0.25">
      <c r="J2059" s="50"/>
      <c r="L2059" s="50"/>
    </row>
    <row r="2060" spans="10:12" x14ac:dyDescent="0.25">
      <c r="J2060" s="50"/>
      <c r="L2060" s="50"/>
    </row>
    <row r="2061" spans="10:12" x14ac:dyDescent="0.25">
      <c r="J2061" s="50"/>
      <c r="L2061" s="50"/>
    </row>
    <row r="2062" spans="10:12" x14ac:dyDescent="0.25">
      <c r="J2062" s="50"/>
      <c r="L2062" s="50"/>
    </row>
    <row r="2063" spans="10:12" x14ac:dyDescent="0.25">
      <c r="J2063" s="50"/>
      <c r="L2063" s="50"/>
    </row>
    <row r="2064" spans="10:12" x14ac:dyDescent="0.25">
      <c r="J2064" s="50"/>
      <c r="L2064" s="50"/>
    </row>
    <row r="2065" spans="10:12" x14ac:dyDescent="0.25">
      <c r="J2065" s="50"/>
      <c r="L2065" s="50"/>
    </row>
    <row r="2066" spans="10:12" x14ac:dyDescent="0.25">
      <c r="J2066" s="50"/>
      <c r="L2066" s="50"/>
    </row>
    <row r="2067" spans="10:12" x14ac:dyDescent="0.25">
      <c r="J2067" s="50"/>
      <c r="L2067" s="50"/>
    </row>
    <row r="2068" spans="10:12" x14ac:dyDescent="0.25">
      <c r="J2068" s="50"/>
      <c r="L2068" s="50"/>
    </row>
    <row r="2069" spans="10:12" x14ac:dyDescent="0.25">
      <c r="J2069" s="50"/>
      <c r="L2069" s="50"/>
    </row>
    <row r="2070" spans="10:12" x14ac:dyDescent="0.25">
      <c r="J2070" s="50"/>
      <c r="L2070" s="50"/>
    </row>
    <row r="2071" spans="10:12" x14ac:dyDescent="0.25">
      <c r="J2071" s="50"/>
      <c r="L2071" s="50"/>
    </row>
    <row r="2072" spans="10:12" x14ac:dyDescent="0.25">
      <c r="J2072" s="50"/>
      <c r="L2072" s="50"/>
    </row>
    <row r="2073" spans="10:12" x14ac:dyDescent="0.25">
      <c r="J2073" s="50"/>
      <c r="L2073" s="50"/>
    </row>
    <row r="2074" spans="10:12" x14ac:dyDescent="0.25">
      <c r="J2074" s="50"/>
      <c r="L2074" s="50"/>
    </row>
    <row r="2075" spans="10:12" x14ac:dyDescent="0.25">
      <c r="J2075" s="50"/>
      <c r="L2075" s="50"/>
    </row>
    <row r="2076" spans="10:12" x14ac:dyDescent="0.25">
      <c r="J2076" s="50"/>
      <c r="L2076" s="50"/>
    </row>
    <row r="2077" spans="10:12" x14ac:dyDescent="0.25">
      <c r="J2077" s="50"/>
      <c r="L2077" s="50"/>
    </row>
    <row r="2078" spans="10:12" x14ac:dyDescent="0.25">
      <c r="J2078" s="50"/>
      <c r="L2078" s="50"/>
    </row>
    <row r="2079" spans="10:12" x14ac:dyDescent="0.25">
      <c r="J2079" s="50"/>
      <c r="L2079" s="50"/>
    </row>
    <row r="2080" spans="10:12" x14ac:dyDescent="0.25">
      <c r="J2080" s="50"/>
      <c r="L2080" s="50"/>
    </row>
    <row r="2081" spans="10:12" x14ac:dyDescent="0.25">
      <c r="J2081" s="50"/>
      <c r="L2081" s="50"/>
    </row>
    <row r="2082" spans="10:12" x14ac:dyDescent="0.25">
      <c r="J2082" s="50"/>
      <c r="L2082" s="50"/>
    </row>
    <row r="2083" spans="10:12" x14ac:dyDescent="0.25">
      <c r="J2083" s="50"/>
      <c r="L2083" s="50"/>
    </row>
    <row r="2084" spans="10:12" x14ac:dyDescent="0.25">
      <c r="J2084" s="50"/>
      <c r="L2084" s="50"/>
    </row>
    <row r="2085" spans="10:12" x14ac:dyDescent="0.25">
      <c r="J2085" s="50"/>
      <c r="L2085" s="50"/>
    </row>
    <row r="2086" spans="10:12" x14ac:dyDescent="0.25">
      <c r="J2086" s="50"/>
      <c r="L2086" s="50"/>
    </row>
    <row r="2087" spans="10:12" x14ac:dyDescent="0.25">
      <c r="J2087" s="50"/>
      <c r="L2087" s="50"/>
    </row>
    <row r="2088" spans="10:12" x14ac:dyDescent="0.25">
      <c r="J2088" s="50"/>
      <c r="L2088" s="50"/>
    </row>
    <row r="2089" spans="10:12" x14ac:dyDescent="0.25">
      <c r="J2089" s="50"/>
      <c r="L2089" s="50"/>
    </row>
    <row r="2090" spans="10:12" x14ac:dyDescent="0.25">
      <c r="J2090" s="50"/>
      <c r="L2090" s="50"/>
    </row>
    <row r="2091" spans="10:12" x14ac:dyDescent="0.25">
      <c r="J2091" s="50"/>
      <c r="L2091" s="50"/>
    </row>
    <row r="2092" spans="10:12" x14ac:dyDescent="0.25">
      <c r="J2092" s="50"/>
      <c r="L2092" s="50"/>
    </row>
    <row r="2093" spans="10:12" x14ac:dyDescent="0.25">
      <c r="J2093" s="50"/>
      <c r="L2093" s="50"/>
    </row>
    <row r="2094" spans="10:12" x14ac:dyDescent="0.25">
      <c r="J2094" s="50"/>
      <c r="L2094" s="50"/>
    </row>
    <row r="2095" spans="10:12" x14ac:dyDescent="0.25">
      <c r="J2095" s="50"/>
      <c r="L2095" s="50"/>
    </row>
    <row r="2096" spans="10:12" x14ac:dyDescent="0.25">
      <c r="J2096" s="50"/>
      <c r="L2096" s="50"/>
    </row>
    <row r="2097" spans="10:12" x14ac:dyDescent="0.25">
      <c r="J2097" s="50"/>
      <c r="L2097" s="50"/>
    </row>
    <row r="2098" spans="10:12" x14ac:dyDescent="0.25">
      <c r="J2098" s="50"/>
      <c r="L2098" s="50"/>
    </row>
    <row r="2099" spans="10:12" x14ac:dyDescent="0.25">
      <c r="J2099" s="50"/>
      <c r="L2099" s="50"/>
    </row>
    <row r="2100" spans="10:12" x14ac:dyDescent="0.25">
      <c r="J2100" s="50"/>
      <c r="L2100" s="50"/>
    </row>
    <row r="2101" spans="10:12" x14ac:dyDescent="0.25">
      <c r="J2101" s="50"/>
      <c r="L2101" s="50"/>
    </row>
    <row r="2102" spans="10:12" x14ac:dyDescent="0.25">
      <c r="J2102" s="50"/>
      <c r="L2102" s="50"/>
    </row>
    <row r="2103" spans="10:12" x14ac:dyDescent="0.25">
      <c r="J2103" s="50"/>
      <c r="L2103" s="50"/>
    </row>
    <row r="2104" spans="10:12" x14ac:dyDescent="0.25">
      <c r="J2104" s="50"/>
      <c r="L2104" s="50"/>
    </row>
    <row r="2105" spans="10:12" x14ac:dyDescent="0.25">
      <c r="J2105" s="50"/>
      <c r="L2105" s="50"/>
    </row>
    <row r="2106" spans="10:12" x14ac:dyDescent="0.25">
      <c r="J2106" s="50"/>
      <c r="L2106" s="50"/>
    </row>
    <row r="2107" spans="10:12" x14ac:dyDescent="0.25">
      <c r="J2107" s="50"/>
      <c r="L2107" s="50"/>
    </row>
    <row r="2108" spans="10:12" x14ac:dyDescent="0.25">
      <c r="J2108" s="50"/>
      <c r="L2108" s="50"/>
    </row>
    <row r="2109" spans="10:12" x14ac:dyDescent="0.25">
      <c r="J2109" s="50"/>
      <c r="L2109" s="50"/>
    </row>
    <row r="2110" spans="10:12" x14ac:dyDescent="0.25">
      <c r="J2110" s="50"/>
      <c r="L2110" s="50"/>
    </row>
    <row r="2111" spans="10:12" x14ac:dyDescent="0.25">
      <c r="J2111" s="50"/>
      <c r="L2111" s="50"/>
    </row>
    <row r="2112" spans="10:12" x14ac:dyDescent="0.25">
      <c r="J2112" s="50"/>
      <c r="L2112" s="50"/>
    </row>
    <row r="2113" spans="10:12" x14ac:dyDescent="0.25">
      <c r="J2113" s="50"/>
      <c r="L2113" s="50"/>
    </row>
    <row r="2114" spans="10:12" x14ac:dyDescent="0.25">
      <c r="J2114" s="50"/>
      <c r="L2114" s="50"/>
    </row>
    <row r="2115" spans="10:12" x14ac:dyDescent="0.25">
      <c r="J2115" s="50"/>
      <c r="L2115" s="50"/>
    </row>
    <row r="2116" spans="10:12" x14ac:dyDescent="0.25">
      <c r="J2116" s="50"/>
      <c r="L2116" s="50"/>
    </row>
    <row r="2117" spans="10:12" x14ac:dyDescent="0.25">
      <c r="J2117" s="50"/>
      <c r="L2117" s="50"/>
    </row>
    <row r="2118" spans="10:12" x14ac:dyDescent="0.25">
      <c r="J2118" s="50"/>
      <c r="L2118" s="50"/>
    </row>
    <row r="2119" spans="10:12" x14ac:dyDescent="0.25">
      <c r="J2119" s="50"/>
      <c r="L2119" s="50"/>
    </row>
    <row r="2120" spans="10:12" x14ac:dyDescent="0.25">
      <c r="J2120" s="50"/>
      <c r="L2120" s="50"/>
    </row>
    <row r="2121" spans="10:12" x14ac:dyDescent="0.25">
      <c r="J2121" s="50"/>
      <c r="L2121" s="50"/>
    </row>
    <row r="2122" spans="10:12" x14ac:dyDescent="0.25">
      <c r="J2122" s="50"/>
      <c r="L2122" s="50"/>
    </row>
    <row r="2123" spans="10:12" x14ac:dyDescent="0.25">
      <c r="J2123" s="50"/>
      <c r="L2123" s="50"/>
    </row>
    <row r="2124" spans="10:12" x14ac:dyDescent="0.25">
      <c r="J2124" s="50"/>
      <c r="L2124" s="50"/>
    </row>
    <row r="2125" spans="10:12" x14ac:dyDescent="0.25">
      <c r="J2125" s="50"/>
      <c r="L2125" s="50"/>
    </row>
    <row r="2126" spans="10:12" x14ac:dyDescent="0.25">
      <c r="J2126" s="50"/>
      <c r="L2126" s="50"/>
    </row>
    <row r="2127" spans="10:12" x14ac:dyDescent="0.25">
      <c r="J2127" s="50"/>
      <c r="L2127" s="50"/>
    </row>
    <row r="2128" spans="10:12" x14ac:dyDescent="0.25">
      <c r="J2128" s="50"/>
      <c r="L2128" s="50"/>
    </row>
    <row r="2129" spans="10:12" x14ac:dyDescent="0.25">
      <c r="J2129" s="50"/>
      <c r="L2129" s="50"/>
    </row>
    <row r="2130" spans="10:12" x14ac:dyDescent="0.25">
      <c r="J2130" s="50"/>
      <c r="L2130" s="50"/>
    </row>
    <row r="2131" spans="10:12" x14ac:dyDescent="0.25">
      <c r="J2131" s="50"/>
      <c r="L2131" s="50"/>
    </row>
    <row r="2132" spans="10:12" x14ac:dyDescent="0.25">
      <c r="J2132" s="50"/>
      <c r="L2132" s="50"/>
    </row>
    <row r="2133" spans="10:12" x14ac:dyDescent="0.25">
      <c r="J2133" s="50"/>
      <c r="L2133" s="50"/>
    </row>
    <row r="2134" spans="10:12" x14ac:dyDescent="0.25">
      <c r="J2134" s="50"/>
      <c r="L2134" s="50"/>
    </row>
    <row r="2135" spans="10:12" x14ac:dyDescent="0.25">
      <c r="J2135" s="50"/>
      <c r="L2135" s="50"/>
    </row>
    <row r="2136" spans="10:12" x14ac:dyDescent="0.25">
      <c r="J2136" s="50"/>
      <c r="L2136" s="50"/>
    </row>
    <row r="2137" spans="10:12" x14ac:dyDescent="0.25">
      <c r="J2137" s="50"/>
      <c r="L2137" s="50"/>
    </row>
    <row r="2138" spans="10:12" x14ac:dyDescent="0.25">
      <c r="J2138" s="50"/>
      <c r="L2138" s="50"/>
    </row>
    <row r="2139" spans="10:12" x14ac:dyDescent="0.25">
      <c r="J2139" s="50"/>
      <c r="L2139" s="50"/>
    </row>
    <row r="2140" spans="10:12" x14ac:dyDescent="0.25">
      <c r="J2140" s="50"/>
      <c r="L2140" s="50"/>
    </row>
    <row r="2141" spans="10:12" x14ac:dyDescent="0.25">
      <c r="J2141" s="50"/>
      <c r="L2141" s="50"/>
    </row>
    <row r="2142" spans="10:12" x14ac:dyDescent="0.25">
      <c r="J2142" s="50"/>
      <c r="L2142" s="50"/>
    </row>
    <row r="2143" spans="10:12" x14ac:dyDescent="0.25">
      <c r="J2143" s="50"/>
      <c r="L2143" s="50"/>
    </row>
    <row r="2144" spans="10:12" x14ac:dyDescent="0.25">
      <c r="J2144" s="50"/>
      <c r="L2144" s="50"/>
    </row>
    <row r="2145" spans="10:12" x14ac:dyDescent="0.25">
      <c r="J2145" s="50"/>
      <c r="L2145" s="50"/>
    </row>
    <row r="2146" spans="10:12" x14ac:dyDescent="0.25">
      <c r="J2146" s="50"/>
      <c r="L2146" s="50"/>
    </row>
    <row r="2147" spans="10:12" x14ac:dyDescent="0.25">
      <c r="J2147" s="50"/>
      <c r="L2147" s="50"/>
    </row>
    <row r="2148" spans="10:12" x14ac:dyDescent="0.25">
      <c r="J2148" s="50"/>
      <c r="L2148" s="50"/>
    </row>
    <row r="2149" spans="10:12" x14ac:dyDescent="0.25">
      <c r="J2149" s="50"/>
      <c r="L2149" s="50"/>
    </row>
    <row r="2150" spans="10:12" x14ac:dyDescent="0.25">
      <c r="J2150" s="50"/>
      <c r="L2150" s="50"/>
    </row>
    <row r="2151" spans="10:12" x14ac:dyDescent="0.25">
      <c r="J2151" s="50"/>
      <c r="L2151" s="50"/>
    </row>
    <row r="2152" spans="10:12" x14ac:dyDescent="0.25">
      <c r="J2152" s="50"/>
      <c r="L2152" s="50"/>
    </row>
    <row r="2153" spans="10:12" x14ac:dyDescent="0.25">
      <c r="J2153" s="50"/>
      <c r="L2153" s="50"/>
    </row>
    <row r="2154" spans="10:12" x14ac:dyDescent="0.25">
      <c r="J2154" s="50"/>
      <c r="L2154" s="50"/>
    </row>
    <row r="2155" spans="10:12" x14ac:dyDescent="0.25">
      <c r="J2155" s="50"/>
      <c r="L2155" s="50"/>
    </row>
    <row r="2156" spans="10:12" x14ac:dyDescent="0.25">
      <c r="J2156" s="50"/>
      <c r="L2156" s="50"/>
    </row>
    <row r="2157" spans="10:12" x14ac:dyDescent="0.25">
      <c r="J2157" s="50"/>
      <c r="L2157" s="50"/>
    </row>
    <row r="2158" spans="10:12" x14ac:dyDescent="0.25">
      <c r="J2158" s="50"/>
      <c r="L2158" s="50"/>
    </row>
    <row r="2159" spans="10:12" x14ac:dyDescent="0.25">
      <c r="J2159" s="50"/>
      <c r="L2159" s="50"/>
    </row>
    <row r="2160" spans="10:12" x14ac:dyDescent="0.25">
      <c r="J2160" s="50"/>
      <c r="L2160" s="50"/>
    </row>
    <row r="2161" spans="10:12" x14ac:dyDescent="0.25">
      <c r="J2161" s="50"/>
      <c r="L2161" s="50"/>
    </row>
    <row r="2162" spans="10:12" x14ac:dyDescent="0.25">
      <c r="J2162" s="50"/>
      <c r="L2162" s="50"/>
    </row>
    <row r="2163" spans="10:12" x14ac:dyDescent="0.25">
      <c r="J2163" s="50"/>
      <c r="L2163" s="50"/>
    </row>
    <row r="2164" spans="10:12" x14ac:dyDescent="0.25">
      <c r="J2164" s="50"/>
      <c r="L2164" s="50"/>
    </row>
    <row r="2165" spans="10:12" x14ac:dyDescent="0.25">
      <c r="J2165" s="50"/>
      <c r="L2165" s="50"/>
    </row>
    <row r="2166" spans="10:12" x14ac:dyDescent="0.25">
      <c r="J2166" s="50"/>
      <c r="L2166" s="50"/>
    </row>
    <row r="2167" spans="10:12" x14ac:dyDescent="0.25">
      <c r="J2167" s="50"/>
      <c r="L2167" s="50"/>
    </row>
    <row r="2168" spans="10:12" x14ac:dyDescent="0.25">
      <c r="J2168" s="50"/>
      <c r="L2168" s="50"/>
    </row>
    <row r="2169" spans="10:12" x14ac:dyDescent="0.25">
      <c r="J2169" s="50"/>
      <c r="L2169" s="50"/>
    </row>
    <row r="2170" spans="10:12" x14ac:dyDescent="0.25">
      <c r="J2170" s="50"/>
      <c r="L2170" s="50"/>
    </row>
    <row r="2171" spans="10:12" x14ac:dyDescent="0.25">
      <c r="J2171" s="50"/>
      <c r="L2171" s="50"/>
    </row>
    <row r="2172" spans="10:12" x14ac:dyDescent="0.25">
      <c r="J2172" s="50"/>
      <c r="L2172" s="50"/>
    </row>
    <row r="2173" spans="10:12" x14ac:dyDescent="0.25">
      <c r="J2173" s="50"/>
      <c r="L2173" s="50"/>
    </row>
    <row r="2174" spans="10:12" x14ac:dyDescent="0.25">
      <c r="J2174" s="50"/>
      <c r="L2174" s="50"/>
    </row>
    <row r="2175" spans="10:12" x14ac:dyDescent="0.25">
      <c r="J2175" s="50"/>
      <c r="L2175" s="50"/>
    </row>
    <row r="2176" spans="10:12" x14ac:dyDescent="0.25">
      <c r="J2176" s="50"/>
      <c r="L2176" s="50"/>
    </row>
    <row r="2177" spans="10:12" x14ac:dyDescent="0.25">
      <c r="J2177" s="50"/>
      <c r="L2177" s="50"/>
    </row>
    <row r="2178" spans="10:12" x14ac:dyDescent="0.25">
      <c r="J2178" s="50"/>
      <c r="L2178" s="50"/>
    </row>
    <row r="2179" spans="10:12" x14ac:dyDescent="0.25">
      <c r="J2179" s="50"/>
      <c r="L2179" s="50"/>
    </row>
    <row r="2180" spans="10:12" x14ac:dyDescent="0.25">
      <c r="J2180" s="50"/>
      <c r="L2180" s="50"/>
    </row>
    <row r="2181" spans="10:12" x14ac:dyDescent="0.25">
      <c r="J2181" s="50"/>
      <c r="L2181" s="50"/>
    </row>
    <row r="2182" spans="10:12" x14ac:dyDescent="0.25">
      <c r="J2182" s="50"/>
      <c r="L2182" s="50"/>
    </row>
    <row r="2183" spans="10:12" x14ac:dyDescent="0.25">
      <c r="J2183" s="50"/>
      <c r="L2183" s="50"/>
    </row>
    <row r="2184" spans="10:12" x14ac:dyDescent="0.25">
      <c r="J2184" s="50"/>
      <c r="L2184" s="50"/>
    </row>
    <row r="2185" spans="10:12" x14ac:dyDescent="0.25">
      <c r="J2185" s="50"/>
      <c r="L2185" s="50"/>
    </row>
    <row r="2186" spans="10:12" x14ac:dyDescent="0.25">
      <c r="J2186" s="50"/>
      <c r="L2186" s="50"/>
    </row>
    <row r="2187" spans="10:12" x14ac:dyDescent="0.25">
      <c r="J2187" s="50"/>
      <c r="L2187" s="50"/>
    </row>
    <row r="2188" spans="10:12" x14ac:dyDescent="0.25">
      <c r="J2188" s="50"/>
      <c r="L2188" s="50"/>
    </row>
    <row r="2189" spans="10:12" x14ac:dyDescent="0.25">
      <c r="J2189" s="50"/>
      <c r="L2189" s="50"/>
    </row>
    <row r="2190" spans="10:12" x14ac:dyDescent="0.25">
      <c r="J2190" s="50"/>
      <c r="L2190" s="50"/>
    </row>
    <row r="2191" spans="10:12" x14ac:dyDescent="0.25">
      <c r="J2191" s="50"/>
      <c r="L2191" s="50"/>
    </row>
    <row r="2192" spans="10:12" x14ac:dyDescent="0.25">
      <c r="J2192" s="50"/>
      <c r="L2192" s="50"/>
    </row>
    <row r="2193" spans="10:12" x14ac:dyDescent="0.25">
      <c r="J2193" s="50"/>
      <c r="L2193" s="50"/>
    </row>
    <row r="2194" spans="10:12" x14ac:dyDescent="0.25">
      <c r="J2194" s="50"/>
      <c r="L2194" s="50"/>
    </row>
    <row r="2195" spans="10:12" x14ac:dyDescent="0.25">
      <c r="J2195" s="50"/>
      <c r="L2195" s="50"/>
    </row>
    <row r="2196" spans="10:12" x14ac:dyDescent="0.25">
      <c r="J2196" s="50"/>
      <c r="L2196" s="50"/>
    </row>
    <row r="2197" spans="10:12" x14ac:dyDescent="0.25">
      <c r="J2197" s="50"/>
      <c r="L2197" s="50"/>
    </row>
    <row r="2198" spans="10:12" x14ac:dyDescent="0.25">
      <c r="J2198" s="50"/>
      <c r="L2198" s="50"/>
    </row>
    <row r="2199" spans="10:12" x14ac:dyDescent="0.25">
      <c r="J2199" s="50"/>
      <c r="L2199" s="50"/>
    </row>
    <row r="2200" spans="10:12" x14ac:dyDescent="0.25">
      <c r="J2200" s="50"/>
      <c r="L2200" s="50"/>
    </row>
    <row r="2201" spans="10:12" x14ac:dyDescent="0.25">
      <c r="J2201" s="50"/>
      <c r="L2201" s="50"/>
    </row>
    <row r="2202" spans="10:12" x14ac:dyDescent="0.25">
      <c r="J2202" s="50"/>
      <c r="L2202" s="50"/>
    </row>
    <row r="2203" spans="10:12" x14ac:dyDescent="0.25">
      <c r="J2203" s="50"/>
      <c r="L2203" s="50"/>
    </row>
    <row r="2204" spans="10:12" x14ac:dyDescent="0.25">
      <c r="J2204" s="50"/>
      <c r="L2204" s="50"/>
    </row>
    <row r="2205" spans="10:12" x14ac:dyDescent="0.25">
      <c r="J2205" s="50"/>
      <c r="L2205" s="50"/>
    </row>
    <row r="2206" spans="10:12" x14ac:dyDescent="0.25">
      <c r="J2206" s="50"/>
      <c r="L2206" s="50"/>
    </row>
    <row r="2207" spans="10:12" x14ac:dyDescent="0.25">
      <c r="J2207" s="50"/>
      <c r="L2207" s="50"/>
    </row>
    <row r="2208" spans="10:12" x14ac:dyDescent="0.25">
      <c r="J2208" s="50"/>
      <c r="L2208" s="50"/>
    </row>
    <row r="2209" spans="10:12" x14ac:dyDescent="0.25">
      <c r="J2209" s="50"/>
      <c r="L2209" s="50"/>
    </row>
    <row r="2210" spans="10:12" x14ac:dyDescent="0.25">
      <c r="J2210" s="50"/>
      <c r="L2210" s="50"/>
    </row>
    <row r="2211" spans="10:12" x14ac:dyDescent="0.25">
      <c r="J2211" s="50"/>
      <c r="L2211" s="50"/>
    </row>
    <row r="2212" spans="10:12" x14ac:dyDescent="0.25">
      <c r="J2212" s="50"/>
      <c r="L2212" s="50"/>
    </row>
    <row r="2213" spans="10:12" x14ac:dyDescent="0.25">
      <c r="J2213" s="50"/>
      <c r="L2213" s="50"/>
    </row>
    <row r="2214" spans="10:12" x14ac:dyDescent="0.25">
      <c r="J2214" s="50"/>
      <c r="L2214" s="50"/>
    </row>
    <row r="2215" spans="10:12" x14ac:dyDescent="0.25">
      <c r="J2215" s="50"/>
      <c r="L2215" s="50"/>
    </row>
    <row r="2216" spans="10:12" x14ac:dyDescent="0.25">
      <c r="J2216" s="50"/>
      <c r="L2216" s="50"/>
    </row>
    <row r="2217" spans="10:12" x14ac:dyDescent="0.25">
      <c r="J2217" s="50"/>
      <c r="L2217" s="50"/>
    </row>
    <row r="2218" spans="10:12" x14ac:dyDescent="0.25">
      <c r="J2218" s="50"/>
      <c r="L2218" s="50"/>
    </row>
    <row r="2219" spans="10:12" x14ac:dyDescent="0.25">
      <c r="J2219" s="50"/>
      <c r="L2219" s="50"/>
    </row>
    <row r="2220" spans="10:12" x14ac:dyDescent="0.25">
      <c r="J2220" s="50"/>
      <c r="L2220" s="50"/>
    </row>
    <row r="2221" spans="10:12" x14ac:dyDescent="0.25">
      <c r="J2221" s="50"/>
      <c r="L2221" s="50"/>
    </row>
    <row r="2222" spans="10:12" x14ac:dyDescent="0.25">
      <c r="J2222" s="50"/>
      <c r="L2222" s="50"/>
    </row>
    <row r="2223" spans="10:12" x14ac:dyDescent="0.25">
      <c r="J2223" s="50"/>
      <c r="L2223" s="50"/>
    </row>
    <row r="2224" spans="10:12" x14ac:dyDescent="0.25">
      <c r="J2224" s="50"/>
      <c r="L2224" s="50"/>
    </row>
    <row r="2225" spans="10:12" x14ac:dyDescent="0.25">
      <c r="J2225" s="50"/>
      <c r="L2225" s="50"/>
    </row>
    <row r="2226" spans="10:12" x14ac:dyDescent="0.25">
      <c r="J2226" s="50"/>
      <c r="L2226" s="50"/>
    </row>
    <row r="2227" spans="10:12" x14ac:dyDescent="0.25">
      <c r="J2227" s="50"/>
      <c r="L2227" s="50"/>
    </row>
    <row r="2228" spans="10:12" x14ac:dyDescent="0.25">
      <c r="J2228" s="50"/>
      <c r="L2228" s="50"/>
    </row>
    <row r="2229" spans="10:12" x14ac:dyDescent="0.25">
      <c r="J2229" s="50"/>
      <c r="L2229" s="50"/>
    </row>
    <row r="2230" spans="10:12" x14ac:dyDescent="0.25">
      <c r="J2230" s="50"/>
      <c r="L2230" s="50"/>
    </row>
    <row r="2231" spans="10:12" x14ac:dyDescent="0.25">
      <c r="J2231" s="50"/>
      <c r="L2231" s="50"/>
    </row>
    <row r="2232" spans="10:12" x14ac:dyDescent="0.25">
      <c r="J2232" s="50"/>
      <c r="L2232" s="50"/>
    </row>
    <row r="2233" spans="10:12" x14ac:dyDescent="0.25">
      <c r="J2233" s="50"/>
      <c r="L2233" s="50"/>
    </row>
    <row r="2234" spans="10:12" x14ac:dyDescent="0.25">
      <c r="J2234" s="50"/>
      <c r="L2234" s="50"/>
    </row>
    <row r="2235" spans="10:12" x14ac:dyDescent="0.25">
      <c r="J2235" s="50"/>
      <c r="L2235" s="50"/>
    </row>
    <row r="2236" spans="10:12" x14ac:dyDescent="0.25">
      <c r="J2236" s="50"/>
      <c r="L2236" s="50"/>
    </row>
    <row r="2237" spans="10:12" x14ac:dyDescent="0.25">
      <c r="J2237" s="50"/>
      <c r="L2237" s="50"/>
    </row>
    <row r="2238" spans="10:12" x14ac:dyDescent="0.25">
      <c r="J2238" s="50"/>
      <c r="L2238" s="50"/>
    </row>
    <row r="2239" spans="10:12" x14ac:dyDescent="0.25">
      <c r="J2239" s="50"/>
      <c r="L2239" s="50"/>
    </row>
    <row r="2240" spans="10:12" x14ac:dyDescent="0.25">
      <c r="J2240" s="50"/>
      <c r="L2240" s="50"/>
    </row>
    <row r="2241" spans="10:12" x14ac:dyDescent="0.25">
      <c r="J2241" s="50"/>
      <c r="L2241" s="50"/>
    </row>
    <row r="2242" spans="10:12" x14ac:dyDescent="0.25">
      <c r="J2242" s="50"/>
      <c r="L2242" s="50"/>
    </row>
    <row r="2243" spans="10:12" x14ac:dyDescent="0.25">
      <c r="J2243" s="50"/>
      <c r="L2243" s="50"/>
    </row>
    <row r="2244" spans="10:12" x14ac:dyDescent="0.25">
      <c r="J2244" s="50"/>
      <c r="L2244" s="50"/>
    </row>
    <row r="2245" spans="10:12" x14ac:dyDescent="0.25">
      <c r="J2245" s="50"/>
      <c r="L2245" s="50"/>
    </row>
    <row r="2246" spans="10:12" x14ac:dyDescent="0.25">
      <c r="J2246" s="50"/>
      <c r="L2246" s="50"/>
    </row>
    <row r="2247" spans="10:12" x14ac:dyDescent="0.25">
      <c r="J2247" s="50"/>
      <c r="L2247" s="50"/>
    </row>
    <row r="2248" spans="10:12" x14ac:dyDescent="0.25">
      <c r="J2248" s="50"/>
      <c r="L2248" s="50"/>
    </row>
    <row r="2249" spans="10:12" x14ac:dyDescent="0.25">
      <c r="J2249" s="50"/>
      <c r="L2249" s="50"/>
    </row>
    <row r="2250" spans="10:12" x14ac:dyDescent="0.25">
      <c r="J2250" s="50"/>
      <c r="L2250" s="50"/>
    </row>
    <row r="2251" spans="10:12" x14ac:dyDescent="0.25">
      <c r="J2251" s="50"/>
      <c r="L2251" s="50"/>
    </row>
    <row r="2252" spans="10:12" x14ac:dyDescent="0.25">
      <c r="J2252" s="50"/>
      <c r="L2252" s="50"/>
    </row>
    <row r="2253" spans="10:12" x14ac:dyDescent="0.25">
      <c r="J2253" s="50"/>
      <c r="L2253" s="50"/>
    </row>
    <row r="2254" spans="10:12" x14ac:dyDescent="0.25">
      <c r="J2254" s="50"/>
      <c r="L2254" s="50"/>
    </row>
    <row r="2255" spans="10:12" x14ac:dyDescent="0.25">
      <c r="J2255" s="50"/>
      <c r="L2255" s="50"/>
    </row>
    <row r="2256" spans="10:12" x14ac:dyDescent="0.25">
      <c r="J2256" s="50"/>
      <c r="L2256" s="50"/>
    </row>
    <row r="2257" spans="10:12" x14ac:dyDescent="0.25">
      <c r="J2257" s="50"/>
      <c r="L2257" s="50"/>
    </row>
    <row r="2258" spans="10:12" x14ac:dyDescent="0.25">
      <c r="J2258" s="50"/>
      <c r="L2258" s="50"/>
    </row>
    <row r="2259" spans="10:12" x14ac:dyDescent="0.25">
      <c r="J2259" s="50"/>
      <c r="L2259" s="50"/>
    </row>
    <row r="2260" spans="10:12" x14ac:dyDescent="0.25">
      <c r="J2260" s="50"/>
      <c r="L2260" s="50"/>
    </row>
    <row r="2261" spans="10:12" x14ac:dyDescent="0.25">
      <c r="J2261" s="50"/>
      <c r="L2261" s="50"/>
    </row>
    <row r="2262" spans="10:12" x14ac:dyDescent="0.25">
      <c r="J2262" s="50"/>
      <c r="L2262" s="50"/>
    </row>
    <row r="2263" spans="10:12" x14ac:dyDescent="0.25">
      <c r="J2263" s="50"/>
      <c r="L2263" s="50"/>
    </row>
    <row r="2264" spans="10:12" x14ac:dyDescent="0.25">
      <c r="J2264" s="50"/>
      <c r="L2264" s="50"/>
    </row>
    <row r="2265" spans="10:12" x14ac:dyDescent="0.25">
      <c r="J2265" s="50"/>
      <c r="L2265" s="50"/>
    </row>
    <row r="2266" spans="10:12" x14ac:dyDescent="0.25">
      <c r="J2266" s="50"/>
      <c r="L2266" s="50"/>
    </row>
    <row r="2267" spans="10:12" x14ac:dyDescent="0.25">
      <c r="J2267" s="50"/>
      <c r="L2267" s="50"/>
    </row>
    <row r="2268" spans="10:12" x14ac:dyDescent="0.25">
      <c r="J2268" s="50"/>
      <c r="L2268" s="50"/>
    </row>
    <row r="2269" spans="10:12" x14ac:dyDescent="0.25">
      <c r="J2269" s="50"/>
      <c r="L2269" s="50"/>
    </row>
    <row r="2270" spans="10:12" x14ac:dyDescent="0.25">
      <c r="J2270" s="50"/>
      <c r="L2270" s="50"/>
    </row>
    <row r="2271" spans="10:12" x14ac:dyDescent="0.25">
      <c r="J2271" s="50"/>
      <c r="L2271" s="50"/>
    </row>
    <row r="2272" spans="10:12" x14ac:dyDescent="0.25">
      <c r="J2272" s="50"/>
      <c r="L2272" s="50"/>
    </row>
    <row r="2273" spans="10:12" x14ac:dyDescent="0.25">
      <c r="J2273" s="50"/>
      <c r="L2273" s="50"/>
    </row>
    <row r="2274" spans="10:12" x14ac:dyDescent="0.25">
      <c r="J2274" s="50"/>
      <c r="L2274" s="50"/>
    </row>
    <row r="2275" spans="10:12" x14ac:dyDescent="0.25">
      <c r="J2275" s="50"/>
      <c r="L2275" s="50"/>
    </row>
    <row r="2276" spans="10:12" x14ac:dyDescent="0.25">
      <c r="J2276" s="50"/>
      <c r="L2276" s="50"/>
    </row>
    <row r="2277" spans="10:12" x14ac:dyDescent="0.25">
      <c r="J2277" s="50"/>
      <c r="L2277" s="50"/>
    </row>
    <row r="2278" spans="10:12" x14ac:dyDescent="0.25">
      <c r="J2278" s="50"/>
      <c r="L2278" s="50"/>
    </row>
    <row r="2279" spans="10:12" x14ac:dyDescent="0.25">
      <c r="J2279" s="50"/>
      <c r="L2279" s="50"/>
    </row>
    <row r="2280" spans="10:12" x14ac:dyDescent="0.25">
      <c r="J2280" s="50"/>
      <c r="L2280" s="50"/>
    </row>
    <row r="2281" spans="10:12" x14ac:dyDescent="0.25">
      <c r="J2281" s="50"/>
      <c r="L2281" s="50"/>
    </row>
    <row r="2282" spans="10:12" x14ac:dyDescent="0.25">
      <c r="J2282" s="50"/>
      <c r="L2282" s="50"/>
    </row>
    <row r="2283" spans="10:12" x14ac:dyDescent="0.25">
      <c r="J2283" s="50"/>
      <c r="L2283" s="50"/>
    </row>
    <row r="2284" spans="10:12" x14ac:dyDescent="0.25">
      <c r="J2284" s="50"/>
      <c r="L2284" s="50"/>
    </row>
    <row r="2285" spans="10:12" x14ac:dyDescent="0.25">
      <c r="J2285" s="50"/>
      <c r="L2285" s="50"/>
    </row>
    <row r="2286" spans="10:12" x14ac:dyDescent="0.25">
      <c r="J2286" s="50"/>
      <c r="L2286" s="50"/>
    </row>
    <row r="2287" spans="10:12" x14ac:dyDescent="0.25">
      <c r="J2287" s="50"/>
      <c r="L2287" s="50"/>
    </row>
    <row r="2288" spans="10:12" x14ac:dyDescent="0.25">
      <c r="J2288" s="50"/>
      <c r="L2288" s="50"/>
    </row>
    <row r="2289" spans="10:12" x14ac:dyDescent="0.25">
      <c r="J2289" s="50"/>
      <c r="L2289" s="50"/>
    </row>
    <row r="2290" spans="10:12" x14ac:dyDescent="0.25">
      <c r="J2290" s="50"/>
      <c r="L2290" s="50"/>
    </row>
    <row r="2291" spans="10:12" x14ac:dyDescent="0.25">
      <c r="J2291" s="50"/>
      <c r="L2291" s="50"/>
    </row>
    <row r="2292" spans="10:12" x14ac:dyDescent="0.25">
      <c r="J2292" s="50"/>
      <c r="L2292" s="50"/>
    </row>
    <row r="2293" spans="10:12" x14ac:dyDescent="0.25">
      <c r="J2293" s="50"/>
      <c r="L2293" s="50"/>
    </row>
    <row r="2294" spans="10:12" x14ac:dyDescent="0.25">
      <c r="J2294" s="50"/>
      <c r="L2294" s="50"/>
    </row>
    <row r="2295" spans="10:12" x14ac:dyDescent="0.25">
      <c r="J2295" s="50"/>
      <c r="L2295" s="50"/>
    </row>
    <row r="2296" spans="10:12" x14ac:dyDescent="0.25">
      <c r="J2296" s="50"/>
      <c r="L2296" s="50"/>
    </row>
    <row r="2297" spans="10:12" x14ac:dyDescent="0.25">
      <c r="J2297" s="50"/>
      <c r="L2297" s="50"/>
    </row>
    <row r="2298" spans="10:12" x14ac:dyDescent="0.25">
      <c r="J2298" s="50"/>
      <c r="L2298" s="50"/>
    </row>
    <row r="2299" spans="10:12" x14ac:dyDescent="0.25">
      <c r="J2299" s="50"/>
      <c r="L2299" s="50"/>
    </row>
    <row r="2300" spans="10:12" x14ac:dyDescent="0.25">
      <c r="J2300" s="50"/>
      <c r="L2300" s="50"/>
    </row>
    <row r="2301" spans="10:12" x14ac:dyDescent="0.25">
      <c r="J2301" s="50"/>
      <c r="L2301" s="50"/>
    </row>
    <row r="2302" spans="10:12" x14ac:dyDescent="0.25">
      <c r="J2302" s="50"/>
      <c r="L2302" s="50"/>
    </row>
    <row r="2303" spans="10:12" x14ac:dyDescent="0.25">
      <c r="J2303" s="50"/>
      <c r="L2303" s="50"/>
    </row>
    <row r="2304" spans="10:12" x14ac:dyDescent="0.25">
      <c r="J2304" s="50"/>
      <c r="L2304" s="50"/>
    </row>
    <row r="2305" spans="10:12" x14ac:dyDescent="0.25">
      <c r="J2305" s="50"/>
      <c r="L2305" s="50"/>
    </row>
    <row r="2306" spans="10:12" x14ac:dyDescent="0.25">
      <c r="J2306" s="50"/>
      <c r="L2306" s="50"/>
    </row>
    <row r="2307" spans="10:12" x14ac:dyDescent="0.25">
      <c r="J2307" s="50"/>
      <c r="L2307" s="50"/>
    </row>
    <row r="2308" spans="10:12" x14ac:dyDescent="0.25">
      <c r="J2308" s="50"/>
      <c r="L2308" s="50"/>
    </row>
    <row r="2309" spans="10:12" x14ac:dyDescent="0.25">
      <c r="J2309" s="50"/>
      <c r="L2309" s="50"/>
    </row>
    <row r="2310" spans="10:12" x14ac:dyDescent="0.25">
      <c r="J2310" s="50"/>
      <c r="L2310" s="50"/>
    </row>
    <row r="2311" spans="10:12" x14ac:dyDescent="0.25">
      <c r="J2311" s="50"/>
      <c r="L2311" s="50"/>
    </row>
    <row r="2312" spans="10:12" x14ac:dyDescent="0.25">
      <c r="J2312" s="50"/>
      <c r="L2312" s="50"/>
    </row>
    <row r="2313" spans="10:12" x14ac:dyDescent="0.25">
      <c r="J2313" s="50"/>
      <c r="L2313" s="50"/>
    </row>
    <row r="2314" spans="10:12" x14ac:dyDescent="0.25">
      <c r="J2314" s="50"/>
      <c r="L2314" s="50"/>
    </row>
    <row r="2315" spans="10:12" x14ac:dyDescent="0.25">
      <c r="J2315" s="50"/>
      <c r="L2315" s="50"/>
    </row>
    <row r="2316" spans="10:12" x14ac:dyDescent="0.25">
      <c r="J2316" s="50"/>
      <c r="L2316" s="50"/>
    </row>
    <row r="2317" spans="10:12" x14ac:dyDescent="0.25">
      <c r="J2317" s="50"/>
      <c r="L2317" s="50"/>
    </row>
    <row r="2318" spans="10:12" x14ac:dyDescent="0.25">
      <c r="J2318" s="50"/>
      <c r="L2318" s="50"/>
    </row>
    <row r="2319" spans="10:12" x14ac:dyDescent="0.25">
      <c r="J2319" s="50"/>
      <c r="L2319" s="50"/>
    </row>
    <row r="2320" spans="10:12" x14ac:dyDescent="0.25">
      <c r="J2320" s="50"/>
      <c r="L2320" s="50"/>
    </row>
    <row r="2321" spans="10:12" x14ac:dyDescent="0.25">
      <c r="J2321" s="50"/>
      <c r="L2321" s="50"/>
    </row>
    <row r="2322" spans="10:12" x14ac:dyDescent="0.25">
      <c r="J2322" s="50"/>
      <c r="L2322" s="50"/>
    </row>
    <row r="2323" spans="10:12" x14ac:dyDescent="0.25">
      <c r="J2323" s="50"/>
      <c r="L2323" s="50"/>
    </row>
    <row r="2324" spans="10:12" x14ac:dyDescent="0.25">
      <c r="J2324" s="50"/>
      <c r="L2324" s="50"/>
    </row>
    <row r="2325" spans="10:12" x14ac:dyDescent="0.25">
      <c r="J2325" s="50"/>
      <c r="L2325" s="50"/>
    </row>
    <row r="2326" spans="10:12" x14ac:dyDescent="0.25">
      <c r="J2326" s="50"/>
      <c r="L2326" s="50"/>
    </row>
    <row r="2327" spans="10:12" x14ac:dyDescent="0.25">
      <c r="J2327" s="50"/>
      <c r="L2327" s="50"/>
    </row>
    <row r="2328" spans="10:12" x14ac:dyDescent="0.25">
      <c r="J2328" s="50"/>
      <c r="L2328" s="50"/>
    </row>
    <row r="2329" spans="10:12" x14ac:dyDescent="0.25">
      <c r="J2329" s="50"/>
      <c r="L2329" s="50"/>
    </row>
    <row r="2330" spans="10:12" x14ac:dyDescent="0.25">
      <c r="J2330" s="50"/>
      <c r="L2330" s="50"/>
    </row>
    <row r="2331" spans="10:12" x14ac:dyDescent="0.25">
      <c r="J2331" s="50"/>
      <c r="L2331" s="50"/>
    </row>
    <row r="2332" spans="10:12" x14ac:dyDescent="0.25">
      <c r="J2332" s="50"/>
      <c r="L2332" s="50"/>
    </row>
    <row r="2333" spans="10:12" x14ac:dyDescent="0.25">
      <c r="J2333" s="50"/>
      <c r="L2333" s="50"/>
    </row>
    <row r="2334" spans="10:12" x14ac:dyDescent="0.25">
      <c r="J2334" s="50"/>
      <c r="L2334" s="50"/>
    </row>
    <row r="2335" spans="10:12" x14ac:dyDescent="0.25">
      <c r="J2335" s="50"/>
      <c r="L2335" s="50"/>
    </row>
    <row r="2336" spans="10:12" x14ac:dyDescent="0.25">
      <c r="J2336" s="50"/>
      <c r="L2336" s="50"/>
    </row>
    <row r="2337" spans="10:12" x14ac:dyDescent="0.25">
      <c r="J2337" s="50"/>
      <c r="L2337" s="50"/>
    </row>
    <row r="2338" spans="10:12" x14ac:dyDescent="0.25">
      <c r="J2338" s="50"/>
      <c r="L2338" s="50"/>
    </row>
    <row r="2339" spans="10:12" x14ac:dyDescent="0.25">
      <c r="J2339" s="50"/>
      <c r="L2339" s="50"/>
    </row>
    <row r="2340" spans="10:12" x14ac:dyDescent="0.25">
      <c r="J2340" s="50"/>
      <c r="L2340" s="50"/>
    </row>
    <row r="2341" spans="10:12" x14ac:dyDescent="0.25">
      <c r="J2341" s="50"/>
      <c r="L2341" s="50"/>
    </row>
    <row r="2342" spans="10:12" x14ac:dyDescent="0.25">
      <c r="J2342" s="50"/>
      <c r="L2342" s="50"/>
    </row>
    <row r="2343" spans="10:12" x14ac:dyDescent="0.25">
      <c r="J2343" s="50"/>
      <c r="L2343" s="50"/>
    </row>
    <row r="2344" spans="10:12" x14ac:dyDescent="0.25">
      <c r="J2344" s="50"/>
      <c r="L2344" s="50"/>
    </row>
    <row r="2345" spans="10:12" x14ac:dyDescent="0.25">
      <c r="J2345" s="50"/>
      <c r="L2345" s="50"/>
    </row>
    <row r="2346" spans="10:12" x14ac:dyDescent="0.25">
      <c r="J2346" s="50"/>
      <c r="L2346" s="50"/>
    </row>
    <row r="2347" spans="10:12" x14ac:dyDescent="0.25">
      <c r="J2347" s="50"/>
      <c r="L2347" s="50"/>
    </row>
    <row r="2348" spans="10:12" x14ac:dyDescent="0.25">
      <c r="J2348" s="50"/>
      <c r="L2348" s="50"/>
    </row>
    <row r="2349" spans="10:12" x14ac:dyDescent="0.25">
      <c r="J2349" s="50"/>
      <c r="L2349" s="50"/>
    </row>
    <row r="2350" spans="10:12" x14ac:dyDescent="0.25">
      <c r="J2350" s="50"/>
      <c r="L2350" s="50"/>
    </row>
    <row r="2351" spans="10:12" x14ac:dyDescent="0.25">
      <c r="J2351" s="50"/>
      <c r="L2351" s="50"/>
    </row>
    <row r="2352" spans="10:12" x14ac:dyDescent="0.25">
      <c r="J2352" s="50"/>
      <c r="L2352" s="50"/>
    </row>
    <row r="2353" spans="10:12" x14ac:dyDescent="0.25">
      <c r="J2353" s="50"/>
      <c r="L2353" s="50"/>
    </row>
    <row r="2354" spans="10:12" x14ac:dyDescent="0.25">
      <c r="J2354" s="50"/>
      <c r="L2354" s="50"/>
    </row>
    <row r="2355" spans="10:12" x14ac:dyDescent="0.25">
      <c r="J2355" s="50"/>
      <c r="L2355" s="50"/>
    </row>
    <row r="2356" spans="10:12" x14ac:dyDescent="0.25">
      <c r="J2356" s="50"/>
      <c r="L2356" s="50"/>
    </row>
    <row r="2357" spans="10:12" x14ac:dyDescent="0.25">
      <c r="J2357" s="50"/>
      <c r="L2357" s="50"/>
    </row>
    <row r="2358" spans="10:12" x14ac:dyDescent="0.25">
      <c r="J2358" s="50"/>
      <c r="L2358" s="50"/>
    </row>
    <row r="2359" spans="10:12" x14ac:dyDescent="0.25">
      <c r="J2359" s="50"/>
      <c r="L2359" s="50"/>
    </row>
    <row r="2360" spans="10:12" x14ac:dyDescent="0.25">
      <c r="J2360" s="50"/>
      <c r="L2360" s="50"/>
    </row>
    <row r="2361" spans="10:12" x14ac:dyDescent="0.25">
      <c r="J2361" s="50"/>
      <c r="L2361" s="50"/>
    </row>
    <row r="2362" spans="10:12" x14ac:dyDescent="0.25">
      <c r="J2362" s="50"/>
      <c r="L2362" s="50"/>
    </row>
    <row r="2363" spans="10:12" x14ac:dyDescent="0.25">
      <c r="J2363" s="50"/>
      <c r="L2363" s="50"/>
    </row>
    <row r="2364" spans="10:12" x14ac:dyDescent="0.25">
      <c r="J2364" s="50"/>
      <c r="L2364" s="50"/>
    </row>
    <row r="2365" spans="10:12" x14ac:dyDescent="0.25">
      <c r="J2365" s="50"/>
      <c r="L2365" s="50"/>
    </row>
    <row r="2366" spans="10:12" x14ac:dyDescent="0.25">
      <c r="J2366" s="50"/>
      <c r="L2366" s="50"/>
    </row>
    <row r="2367" spans="10:12" x14ac:dyDescent="0.25">
      <c r="J2367" s="50"/>
      <c r="L2367" s="50"/>
    </row>
    <row r="2368" spans="10:12" x14ac:dyDescent="0.25">
      <c r="J2368" s="50"/>
      <c r="L2368" s="50"/>
    </row>
    <row r="2369" spans="10:12" x14ac:dyDescent="0.25">
      <c r="J2369" s="50"/>
      <c r="L2369" s="50"/>
    </row>
    <row r="2370" spans="10:12" x14ac:dyDescent="0.25">
      <c r="J2370" s="50"/>
      <c r="L2370" s="50"/>
    </row>
    <row r="2371" spans="10:12" x14ac:dyDescent="0.25">
      <c r="J2371" s="50"/>
      <c r="L2371" s="50"/>
    </row>
    <row r="2372" spans="10:12" x14ac:dyDescent="0.25">
      <c r="J2372" s="50"/>
      <c r="L2372" s="50"/>
    </row>
    <row r="2373" spans="10:12" x14ac:dyDescent="0.25">
      <c r="J2373" s="50"/>
      <c r="L2373" s="50"/>
    </row>
    <row r="2374" spans="10:12" x14ac:dyDescent="0.25">
      <c r="J2374" s="50"/>
      <c r="L2374" s="50"/>
    </row>
    <row r="2375" spans="10:12" x14ac:dyDescent="0.25">
      <c r="J2375" s="50"/>
      <c r="L2375" s="50"/>
    </row>
    <row r="2376" spans="10:12" x14ac:dyDescent="0.25">
      <c r="J2376" s="50"/>
      <c r="L2376" s="50"/>
    </row>
    <row r="2377" spans="10:12" x14ac:dyDescent="0.25">
      <c r="J2377" s="50"/>
      <c r="L2377" s="50"/>
    </row>
    <row r="2378" spans="10:12" x14ac:dyDescent="0.25">
      <c r="J2378" s="50"/>
      <c r="L2378" s="50"/>
    </row>
    <row r="2379" spans="10:12" x14ac:dyDescent="0.25">
      <c r="J2379" s="50"/>
      <c r="L2379" s="50"/>
    </row>
    <row r="2380" spans="10:12" x14ac:dyDescent="0.25">
      <c r="J2380" s="50"/>
      <c r="L2380" s="50"/>
    </row>
    <row r="2381" spans="10:12" x14ac:dyDescent="0.25">
      <c r="J2381" s="50"/>
      <c r="L2381" s="50"/>
    </row>
    <row r="2382" spans="10:12" x14ac:dyDescent="0.25">
      <c r="J2382" s="50"/>
      <c r="L2382" s="50"/>
    </row>
    <row r="2383" spans="10:12" x14ac:dyDescent="0.25">
      <c r="J2383" s="50"/>
      <c r="L2383" s="50"/>
    </row>
    <row r="2384" spans="10:12" x14ac:dyDescent="0.25">
      <c r="J2384" s="50"/>
      <c r="L2384" s="50"/>
    </row>
    <row r="2385" spans="10:12" x14ac:dyDescent="0.25">
      <c r="J2385" s="50"/>
      <c r="L2385" s="50"/>
    </row>
    <row r="2386" spans="10:12" x14ac:dyDescent="0.25">
      <c r="J2386" s="50"/>
      <c r="L2386" s="50"/>
    </row>
    <row r="2387" spans="10:12" x14ac:dyDescent="0.25">
      <c r="J2387" s="50"/>
      <c r="L2387" s="50"/>
    </row>
    <row r="2388" spans="10:12" x14ac:dyDescent="0.25">
      <c r="J2388" s="50"/>
      <c r="L2388" s="50"/>
    </row>
    <row r="2389" spans="10:12" x14ac:dyDescent="0.25">
      <c r="J2389" s="50"/>
      <c r="L2389" s="50"/>
    </row>
    <row r="2390" spans="10:12" x14ac:dyDescent="0.25">
      <c r="J2390" s="50"/>
      <c r="L2390" s="50"/>
    </row>
    <row r="2391" spans="10:12" x14ac:dyDescent="0.25">
      <c r="J2391" s="50"/>
      <c r="L2391" s="50"/>
    </row>
    <row r="2392" spans="10:12" x14ac:dyDescent="0.25">
      <c r="J2392" s="50"/>
      <c r="L2392" s="50"/>
    </row>
    <row r="2393" spans="10:12" x14ac:dyDescent="0.25">
      <c r="J2393" s="50"/>
      <c r="L2393" s="50"/>
    </row>
    <row r="2394" spans="10:12" x14ac:dyDescent="0.25">
      <c r="J2394" s="50"/>
      <c r="L2394" s="50"/>
    </row>
    <row r="2395" spans="10:12" x14ac:dyDescent="0.25">
      <c r="J2395" s="50"/>
      <c r="L2395" s="50"/>
    </row>
    <row r="2396" spans="10:12" x14ac:dyDescent="0.25">
      <c r="J2396" s="50"/>
      <c r="L2396" s="50"/>
    </row>
    <row r="2397" spans="10:12" x14ac:dyDescent="0.25">
      <c r="J2397" s="50"/>
      <c r="L2397" s="50"/>
    </row>
    <row r="2398" spans="10:12" x14ac:dyDescent="0.25">
      <c r="J2398" s="50"/>
      <c r="L2398" s="50"/>
    </row>
    <row r="2399" spans="10:12" x14ac:dyDescent="0.25">
      <c r="J2399" s="50"/>
      <c r="L2399" s="50"/>
    </row>
    <row r="2400" spans="10:12" x14ac:dyDescent="0.25">
      <c r="J2400" s="50"/>
      <c r="L2400" s="50"/>
    </row>
    <row r="2401" spans="10:12" x14ac:dyDescent="0.25">
      <c r="J2401" s="50"/>
      <c r="L2401" s="50"/>
    </row>
    <row r="2402" spans="10:12" x14ac:dyDescent="0.25">
      <c r="J2402" s="50"/>
      <c r="L2402" s="50"/>
    </row>
    <row r="2403" spans="10:12" x14ac:dyDescent="0.25">
      <c r="J2403" s="50"/>
      <c r="L2403" s="50"/>
    </row>
    <row r="2404" spans="10:12" x14ac:dyDescent="0.25">
      <c r="J2404" s="50"/>
      <c r="L2404" s="50"/>
    </row>
    <row r="2405" spans="10:12" x14ac:dyDescent="0.25">
      <c r="J2405" s="50"/>
      <c r="L2405" s="50"/>
    </row>
    <row r="2406" spans="10:12" x14ac:dyDescent="0.25">
      <c r="J2406" s="50"/>
      <c r="L2406" s="50"/>
    </row>
    <row r="2407" spans="10:12" x14ac:dyDescent="0.25">
      <c r="J2407" s="50"/>
      <c r="L2407" s="50"/>
    </row>
    <row r="2408" spans="10:12" x14ac:dyDescent="0.25">
      <c r="J2408" s="50"/>
      <c r="L2408" s="50"/>
    </row>
    <row r="2409" spans="10:12" x14ac:dyDescent="0.25">
      <c r="J2409" s="50"/>
      <c r="L2409" s="50"/>
    </row>
    <row r="2410" spans="10:12" x14ac:dyDescent="0.25">
      <c r="J2410" s="50"/>
      <c r="L2410" s="50"/>
    </row>
    <row r="2411" spans="10:12" x14ac:dyDescent="0.25">
      <c r="J2411" s="50"/>
      <c r="L2411" s="50"/>
    </row>
    <row r="2412" spans="10:12" x14ac:dyDescent="0.25">
      <c r="J2412" s="50"/>
      <c r="L2412" s="50"/>
    </row>
    <row r="2413" spans="10:12" x14ac:dyDescent="0.25">
      <c r="J2413" s="50"/>
      <c r="L2413" s="50"/>
    </row>
    <row r="2414" spans="10:12" x14ac:dyDescent="0.25">
      <c r="J2414" s="50"/>
      <c r="L2414" s="50"/>
    </row>
    <row r="2415" spans="10:12" x14ac:dyDescent="0.25">
      <c r="J2415" s="50"/>
      <c r="L2415" s="50"/>
    </row>
    <row r="2416" spans="10:12" x14ac:dyDescent="0.25">
      <c r="J2416" s="50"/>
      <c r="L2416" s="50"/>
    </row>
    <row r="2417" spans="10:12" x14ac:dyDescent="0.25">
      <c r="J2417" s="50"/>
      <c r="L2417" s="50"/>
    </row>
    <row r="2418" spans="10:12" x14ac:dyDescent="0.25">
      <c r="J2418" s="50"/>
      <c r="L2418" s="50"/>
    </row>
    <row r="2419" spans="10:12" x14ac:dyDescent="0.25">
      <c r="J2419" s="50"/>
      <c r="L2419" s="50"/>
    </row>
    <row r="2420" spans="10:12" x14ac:dyDescent="0.25">
      <c r="J2420" s="50"/>
      <c r="L2420" s="50"/>
    </row>
    <row r="2421" spans="10:12" x14ac:dyDescent="0.25">
      <c r="J2421" s="50"/>
      <c r="L2421" s="50"/>
    </row>
    <row r="2422" spans="10:12" x14ac:dyDescent="0.25">
      <c r="J2422" s="50"/>
      <c r="L2422" s="50"/>
    </row>
    <row r="2423" spans="10:12" x14ac:dyDescent="0.25">
      <c r="J2423" s="50"/>
      <c r="L2423" s="50"/>
    </row>
    <row r="2424" spans="10:12" x14ac:dyDescent="0.25">
      <c r="J2424" s="50"/>
      <c r="L2424" s="50"/>
    </row>
    <row r="2425" spans="10:12" x14ac:dyDescent="0.25">
      <c r="J2425" s="50"/>
      <c r="L2425" s="50"/>
    </row>
    <row r="2426" spans="10:12" x14ac:dyDescent="0.25">
      <c r="J2426" s="50"/>
      <c r="L2426" s="50"/>
    </row>
    <row r="2427" spans="10:12" x14ac:dyDescent="0.25">
      <c r="J2427" s="50"/>
      <c r="L2427" s="50"/>
    </row>
    <row r="2428" spans="10:12" x14ac:dyDescent="0.25">
      <c r="J2428" s="50"/>
      <c r="L2428" s="50"/>
    </row>
    <row r="2429" spans="10:12" x14ac:dyDescent="0.25">
      <c r="J2429" s="50"/>
      <c r="L2429" s="50"/>
    </row>
    <row r="2430" spans="10:12" x14ac:dyDescent="0.25">
      <c r="J2430" s="50"/>
      <c r="L2430" s="50"/>
    </row>
    <row r="2431" spans="10:12" x14ac:dyDescent="0.25">
      <c r="J2431" s="50"/>
      <c r="L2431" s="50"/>
    </row>
    <row r="2432" spans="10:12" x14ac:dyDescent="0.25">
      <c r="J2432" s="50"/>
      <c r="L2432" s="50"/>
    </row>
    <row r="2433" spans="10:12" x14ac:dyDescent="0.25">
      <c r="J2433" s="50"/>
      <c r="L2433" s="50"/>
    </row>
    <row r="2434" spans="10:12" x14ac:dyDescent="0.25">
      <c r="J2434" s="50"/>
      <c r="L2434" s="50"/>
    </row>
    <row r="2435" spans="10:12" x14ac:dyDescent="0.25">
      <c r="J2435" s="50"/>
      <c r="L2435" s="50"/>
    </row>
    <row r="2436" spans="10:12" x14ac:dyDescent="0.25">
      <c r="J2436" s="50"/>
      <c r="L2436" s="50"/>
    </row>
    <row r="2437" spans="10:12" x14ac:dyDescent="0.25">
      <c r="J2437" s="50"/>
      <c r="L2437" s="50"/>
    </row>
    <row r="2438" spans="10:12" x14ac:dyDescent="0.25">
      <c r="J2438" s="50"/>
      <c r="L2438" s="50"/>
    </row>
    <row r="2439" spans="10:12" x14ac:dyDescent="0.25">
      <c r="J2439" s="50"/>
      <c r="L2439" s="50"/>
    </row>
    <row r="2440" spans="10:12" x14ac:dyDescent="0.25">
      <c r="J2440" s="50"/>
      <c r="L2440" s="50"/>
    </row>
    <row r="2441" spans="10:12" x14ac:dyDescent="0.25">
      <c r="J2441" s="50"/>
      <c r="L2441" s="50"/>
    </row>
    <row r="2442" spans="10:12" x14ac:dyDescent="0.25">
      <c r="J2442" s="50"/>
      <c r="L2442" s="50"/>
    </row>
    <row r="2443" spans="10:12" x14ac:dyDescent="0.25">
      <c r="J2443" s="50"/>
      <c r="L2443" s="50"/>
    </row>
    <row r="2444" spans="10:12" x14ac:dyDescent="0.25">
      <c r="J2444" s="50"/>
      <c r="L2444" s="50"/>
    </row>
    <row r="2445" spans="10:12" x14ac:dyDescent="0.25">
      <c r="J2445" s="50"/>
      <c r="L2445" s="50"/>
    </row>
    <row r="2446" spans="10:12" x14ac:dyDescent="0.25">
      <c r="J2446" s="50"/>
      <c r="L2446" s="50"/>
    </row>
    <row r="2447" spans="10:12" x14ac:dyDescent="0.25">
      <c r="J2447" s="50"/>
      <c r="L2447" s="50"/>
    </row>
    <row r="2448" spans="10:12" x14ac:dyDescent="0.25">
      <c r="J2448" s="50"/>
      <c r="L2448" s="50"/>
    </row>
    <row r="2449" spans="10:12" x14ac:dyDescent="0.25">
      <c r="J2449" s="50"/>
      <c r="L2449" s="50"/>
    </row>
    <row r="2450" spans="10:12" x14ac:dyDescent="0.25">
      <c r="J2450" s="50"/>
      <c r="L2450" s="50"/>
    </row>
    <row r="2451" spans="10:12" x14ac:dyDescent="0.25">
      <c r="J2451" s="50"/>
      <c r="L2451" s="50"/>
    </row>
    <row r="2452" spans="10:12" x14ac:dyDescent="0.25">
      <c r="J2452" s="50"/>
      <c r="L2452" s="50"/>
    </row>
    <row r="2453" spans="10:12" x14ac:dyDescent="0.25">
      <c r="J2453" s="50"/>
      <c r="L2453" s="50"/>
    </row>
    <row r="2454" spans="10:12" x14ac:dyDescent="0.25">
      <c r="J2454" s="50"/>
      <c r="L2454" s="50"/>
    </row>
    <row r="2455" spans="10:12" x14ac:dyDescent="0.25">
      <c r="J2455" s="50"/>
      <c r="L2455" s="50"/>
    </row>
    <row r="2456" spans="10:12" x14ac:dyDescent="0.25">
      <c r="J2456" s="50"/>
      <c r="L2456" s="50"/>
    </row>
    <row r="2457" spans="10:12" x14ac:dyDescent="0.25">
      <c r="J2457" s="50"/>
      <c r="L2457" s="50"/>
    </row>
    <row r="2458" spans="10:12" x14ac:dyDescent="0.25">
      <c r="J2458" s="50"/>
      <c r="L2458" s="50"/>
    </row>
    <row r="2459" spans="10:12" x14ac:dyDescent="0.25">
      <c r="J2459" s="50"/>
      <c r="L2459" s="50"/>
    </row>
    <row r="2460" spans="10:12" x14ac:dyDescent="0.25">
      <c r="J2460" s="50"/>
      <c r="L2460" s="50"/>
    </row>
    <row r="2461" spans="10:12" x14ac:dyDescent="0.25">
      <c r="J2461" s="50"/>
      <c r="L2461" s="50"/>
    </row>
    <row r="2462" spans="10:12" x14ac:dyDescent="0.25">
      <c r="J2462" s="50"/>
      <c r="L2462" s="50"/>
    </row>
    <row r="2463" spans="10:12" x14ac:dyDescent="0.25">
      <c r="J2463" s="50"/>
      <c r="L2463" s="50"/>
    </row>
    <row r="2464" spans="10:12" x14ac:dyDescent="0.25">
      <c r="J2464" s="50"/>
      <c r="L2464" s="50"/>
    </row>
    <row r="2465" spans="10:12" x14ac:dyDescent="0.25">
      <c r="J2465" s="50"/>
      <c r="L2465" s="50"/>
    </row>
    <row r="2466" spans="10:12" x14ac:dyDescent="0.25">
      <c r="J2466" s="50"/>
      <c r="L2466" s="50"/>
    </row>
    <row r="2467" spans="10:12" x14ac:dyDescent="0.25">
      <c r="J2467" s="50"/>
      <c r="L2467" s="50"/>
    </row>
    <row r="2468" spans="10:12" x14ac:dyDescent="0.25">
      <c r="J2468" s="50"/>
      <c r="L2468" s="50"/>
    </row>
    <row r="2469" spans="10:12" x14ac:dyDescent="0.25">
      <c r="J2469" s="50"/>
      <c r="L2469" s="50"/>
    </row>
    <row r="2470" spans="10:12" x14ac:dyDescent="0.25">
      <c r="J2470" s="50"/>
      <c r="L2470" s="50"/>
    </row>
    <row r="2471" spans="10:12" x14ac:dyDescent="0.25">
      <c r="J2471" s="50"/>
      <c r="L2471" s="50"/>
    </row>
    <row r="2472" spans="10:12" x14ac:dyDescent="0.25">
      <c r="J2472" s="50"/>
      <c r="L2472" s="50"/>
    </row>
    <row r="2473" spans="10:12" x14ac:dyDescent="0.25">
      <c r="J2473" s="50"/>
      <c r="L2473" s="50"/>
    </row>
    <row r="2474" spans="10:12" x14ac:dyDescent="0.25">
      <c r="J2474" s="50"/>
      <c r="L2474" s="50"/>
    </row>
    <row r="2475" spans="10:12" x14ac:dyDescent="0.25">
      <c r="J2475" s="50"/>
      <c r="L2475" s="50"/>
    </row>
    <row r="2476" spans="10:12" x14ac:dyDescent="0.25">
      <c r="J2476" s="50"/>
      <c r="L2476" s="50"/>
    </row>
    <row r="2477" spans="10:12" x14ac:dyDescent="0.25">
      <c r="J2477" s="50"/>
      <c r="L2477" s="50"/>
    </row>
    <row r="2478" spans="10:12" x14ac:dyDescent="0.25">
      <c r="J2478" s="50"/>
      <c r="L2478" s="50"/>
    </row>
    <row r="2479" spans="10:12" x14ac:dyDescent="0.25">
      <c r="J2479" s="50"/>
      <c r="L2479" s="50"/>
    </row>
    <row r="2480" spans="10:12" x14ac:dyDescent="0.25">
      <c r="J2480" s="50"/>
      <c r="L2480" s="50"/>
    </row>
    <row r="2481" spans="10:12" x14ac:dyDescent="0.25">
      <c r="J2481" s="50"/>
      <c r="L2481" s="50"/>
    </row>
    <row r="2482" spans="10:12" x14ac:dyDescent="0.25">
      <c r="J2482" s="50"/>
      <c r="L2482" s="50"/>
    </row>
    <row r="2483" spans="10:12" x14ac:dyDescent="0.25">
      <c r="J2483" s="50"/>
      <c r="L2483" s="50"/>
    </row>
    <row r="2484" spans="10:12" x14ac:dyDescent="0.25">
      <c r="J2484" s="50"/>
      <c r="L2484" s="50"/>
    </row>
    <row r="2485" spans="10:12" x14ac:dyDescent="0.25">
      <c r="J2485" s="50"/>
      <c r="L2485" s="50"/>
    </row>
    <row r="2486" spans="10:12" x14ac:dyDescent="0.25">
      <c r="J2486" s="50"/>
      <c r="L2486" s="50"/>
    </row>
    <row r="2487" spans="10:12" x14ac:dyDescent="0.25">
      <c r="J2487" s="50"/>
      <c r="L2487" s="50"/>
    </row>
    <row r="2488" spans="10:12" x14ac:dyDescent="0.25">
      <c r="J2488" s="50"/>
      <c r="L2488" s="50"/>
    </row>
    <row r="2489" spans="10:12" x14ac:dyDescent="0.25">
      <c r="J2489" s="50"/>
      <c r="L2489" s="50"/>
    </row>
    <row r="2490" spans="10:12" x14ac:dyDescent="0.25">
      <c r="J2490" s="50"/>
      <c r="L2490" s="50"/>
    </row>
    <row r="2491" spans="10:12" x14ac:dyDescent="0.25">
      <c r="J2491" s="50"/>
      <c r="L2491" s="50"/>
    </row>
    <row r="2492" spans="10:12" x14ac:dyDescent="0.25">
      <c r="J2492" s="50"/>
      <c r="L2492" s="50"/>
    </row>
    <row r="2493" spans="10:12" x14ac:dyDescent="0.25">
      <c r="J2493" s="50"/>
      <c r="L2493" s="50"/>
    </row>
    <row r="2494" spans="10:12" x14ac:dyDescent="0.25">
      <c r="J2494" s="50"/>
      <c r="L2494" s="50"/>
    </row>
    <row r="2495" spans="10:12" x14ac:dyDescent="0.25">
      <c r="J2495" s="50"/>
      <c r="L2495" s="50"/>
    </row>
    <row r="2496" spans="10:12" x14ac:dyDescent="0.25">
      <c r="J2496" s="50"/>
      <c r="L2496" s="50"/>
    </row>
    <row r="2497" spans="10:12" x14ac:dyDescent="0.25">
      <c r="J2497" s="50"/>
      <c r="L2497" s="50"/>
    </row>
    <row r="2498" spans="10:12" x14ac:dyDescent="0.25">
      <c r="J2498" s="50"/>
      <c r="L2498" s="50"/>
    </row>
    <row r="2499" spans="10:12" x14ac:dyDescent="0.25">
      <c r="J2499" s="50"/>
      <c r="L2499" s="50"/>
    </row>
    <row r="2500" spans="10:12" x14ac:dyDescent="0.25">
      <c r="J2500" s="50"/>
      <c r="L2500" s="50"/>
    </row>
    <row r="2501" spans="10:12" x14ac:dyDescent="0.25">
      <c r="J2501" s="50"/>
      <c r="L2501" s="50"/>
    </row>
    <row r="2502" spans="10:12" x14ac:dyDescent="0.25">
      <c r="J2502" s="50"/>
      <c r="L2502" s="50"/>
    </row>
    <row r="2503" spans="10:12" x14ac:dyDescent="0.25">
      <c r="J2503" s="50"/>
      <c r="L2503" s="50"/>
    </row>
    <row r="2504" spans="10:12" x14ac:dyDescent="0.25">
      <c r="J2504" s="50"/>
      <c r="L2504" s="50"/>
    </row>
    <row r="2505" spans="10:12" x14ac:dyDescent="0.25">
      <c r="J2505" s="50"/>
      <c r="L2505" s="50"/>
    </row>
    <row r="2506" spans="10:12" x14ac:dyDescent="0.25">
      <c r="J2506" s="50"/>
      <c r="L2506" s="50"/>
    </row>
    <row r="2507" spans="10:12" x14ac:dyDescent="0.25">
      <c r="J2507" s="50"/>
      <c r="L2507" s="50"/>
    </row>
    <row r="2508" spans="10:12" x14ac:dyDescent="0.25">
      <c r="J2508" s="50"/>
      <c r="L2508" s="50"/>
    </row>
    <row r="2509" spans="10:12" x14ac:dyDescent="0.25">
      <c r="J2509" s="50"/>
      <c r="L2509" s="50"/>
    </row>
    <row r="2510" spans="10:12" x14ac:dyDescent="0.25">
      <c r="J2510" s="50"/>
      <c r="L2510" s="50"/>
    </row>
    <row r="2511" spans="10:12" x14ac:dyDescent="0.25">
      <c r="J2511" s="50"/>
      <c r="L2511" s="50"/>
    </row>
    <row r="2512" spans="10:12" x14ac:dyDescent="0.25">
      <c r="J2512" s="50"/>
      <c r="L2512" s="50"/>
    </row>
    <row r="2513" spans="10:12" x14ac:dyDescent="0.25">
      <c r="J2513" s="50"/>
      <c r="L2513" s="50"/>
    </row>
    <row r="2514" spans="10:12" x14ac:dyDescent="0.25">
      <c r="J2514" s="50"/>
      <c r="L2514" s="50"/>
    </row>
    <row r="2515" spans="10:12" x14ac:dyDescent="0.25">
      <c r="J2515" s="50"/>
      <c r="L2515" s="50"/>
    </row>
    <row r="2516" spans="10:12" x14ac:dyDescent="0.25">
      <c r="J2516" s="50"/>
      <c r="L2516" s="50"/>
    </row>
    <row r="2517" spans="10:12" x14ac:dyDescent="0.25">
      <c r="J2517" s="50"/>
      <c r="L2517" s="50"/>
    </row>
    <row r="2518" spans="10:12" x14ac:dyDescent="0.25">
      <c r="J2518" s="50"/>
      <c r="L2518" s="50"/>
    </row>
    <row r="2519" spans="10:12" x14ac:dyDescent="0.25">
      <c r="J2519" s="50"/>
      <c r="L2519" s="50"/>
    </row>
    <row r="2520" spans="10:12" x14ac:dyDescent="0.25">
      <c r="J2520" s="50"/>
      <c r="L2520" s="50"/>
    </row>
    <row r="2521" spans="10:12" x14ac:dyDescent="0.25">
      <c r="J2521" s="50"/>
      <c r="L2521" s="50"/>
    </row>
    <row r="2522" spans="10:12" x14ac:dyDescent="0.25">
      <c r="J2522" s="50"/>
      <c r="L2522" s="50"/>
    </row>
    <row r="2523" spans="10:12" x14ac:dyDescent="0.25">
      <c r="J2523" s="50"/>
      <c r="L2523" s="50"/>
    </row>
    <row r="2524" spans="10:12" x14ac:dyDescent="0.25">
      <c r="J2524" s="50"/>
      <c r="L2524" s="50"/>
    </row>
    <row r="2525" spans="10:12" x14ac:dyDescent="0.25">
      <c r="J2525" s="50"/>
      <c r="L2525" s="50"/>
    </row>
    <row r="2526" spans="10:12" x14ac:dyDescent="0.25">
      <c r="J2526" s="50"/>
      <c r="L2526" s="50"/>
    </row>
    <row r="2527" spans="10:12" x14ac:dyDescent="0.25">
      <c r="J2527" s="50"/>
      <c r="L2527" s="50"/>
    </row>
    <row r="2528" spans="10:12" x14ac:dyDescent="0.25">
      <c r="J2528" s="50"/>
      <c r="L2528" s="50"/>
    </row>
    <row r="2529" spans="10:12" x14ac:dyDescent="0.25">
      <c r="J2529" s="50"/>
      <c r="L2529" s="50"/>
    </row>
    <row r="2530" spans="10:12" x14ac:dyDescent="0.25">
      <c r="J2530" s="50"/>
      <c r="L2530" s="50"/>
    </row>
    <row r="2531" spans="10:12" x14ac:dyDescent="0.25">
      <c r="J2531" s="50"/>
      <c r="L2531" s="50"/>
    </row>
    <row r="2532" spans="10:12" x14ac:dyDescent="0.25">
      <c r="J2532" s="50"/>
      <c r="L2532" s="50"/>
    </row>
    <row r="2533" spans="10:12" x14ac:dyDescent="0.25">
      <c r="J2533" s="50"/>
      <c r="L2533" s="50"/>
    </row>
    <row r="2534" spans="10:12" x14ac:dyDescent="0.25">
      <c r="J2534" s="50"/>
      <c r="L2534" s="50"/>
    </row>
    <row r="2535" spans="10:12" x14ac:dyDescent="0.25">
      <c r="J2535" s="50"/>
      <c r="L2535" s="50"/>
    </row>
    <row r="2536" spans="10:12" x14ac:dyDescent="0.25">
      <c r="J2536" s="50"/>
      <c r="L2536" s="50"/>
    </row>
    <row r="2537" spans="10:12" x14ac:dyDescent="0.25">
      <c r="J2537" s="50"/>
      <c r="L2537" s="50"/>
    </row>
    <row r="2538" spans="10:12" x14ac:dyDescent="0.25">
      <c r="J2538" s="50"/>
      <c r="L2538" s="50"/>
    </row>
    <row r="2539" spans="10:12" x14ac:dyDescent="0.25">
      <c r="J2539" s="50"/>
      <c r="L2539" s="50"/>
    </row>
    <row r="2540" spans="10:12" x14ac:dyDescent="0.25">
      <c r="J2540" s="50"/>
      <c r="L2540" s="50"/>
    </row>
    <row r="2541" spans="10:12" x14ac:dyDescent="0.25">
      <c r="J2541" s="50"/>
      <c r="L2541" s="50"/>
    </row>
    <row r="2542" spans="10:12" x14ac:dyDescent="0.25">
      <c r="J2542" s="50"/>
      <c r="L2542" s="50"/>
    </row>
    <row r="2543" spans="10:12" x14ac:dyDescent="0.25">
      <c r="J2543" s="50"/>
      <c r="L2543" s="50"/>
    </row>
    <row r="2544" spans="10:12" x14ac:dyDescent="0.25">
      <c r="J2544" s="50"/>
      <c r="L2544" s="50"/>
    </row>
    <row r="2545" spans="10:12" x14ac:dyDescent="0.25">
      <c r="J2545" s="50"/>
      <c r="L2545" s="50"/>
    </row>
    <row r="2546" spans="10:12" x14ac:dyDescent="0.25">
      <c r="J2546" s="50"/>
      <c r="L2546" s="50"/>
    </row>
    <row r="2547" spans="10:12" x14ac:dyDescent="0.25">
      <c r="J2547" s="50"/>
      <c r="L2547" s="50"/>
    </row>
    <row r="2548" spans="10:12" x14ac:dyDescent="0.25">
      <c r="J2548" s="50"/>
      <c r="L2548" s="50"/>
    </row>
    <row r="2549" spans="10:12" x14ac:dyDescent="0.25">
      <c r="J2549" s="50"/>
      <c r="L2549" s="50"/>
    </row>
    <row r="2550" spans="10:12" x14ac:dyDescent="0.25">
      <c r="J2550" s="50"/>
      <c r="L2550" s="50"/>
    </row>
    <row r="2551" spans="10:12" x14ac:dyDescent="0.25">
      <c r="J2551" s="50"/>
      <c r="L2551" s="50"/>
    </row>
    <row r="2552" spans="10:12" x14ac:dyDescent="0.25">
      <c r="J2552" s="50"/>
      <c r="L2552" s="50"/>
    </row>
    <row r="2553" spans="10:12" x14ac:dyDescent="0.25">
      <c r="J2553" s="50"/>
      <c r="L2553" s="50"/>
    </row>
    <row r="2554" spans="10:12" x14ac:dyDescent="0.25">
      <c r="J2554" s="50"/>
      <c r="L2554" s="50"/>
    </row>
    <row r="2555" spans="10:12" x14ac:dyDescent="0.25">
      <c r="J2555" s="50"/>
      <c r="L2555" s="50"/>
    </row>
    <row r="2556" spans="10:12" x14ac:dyDescent="0.25">
      <c r="J2556" s="50"/>
      <c r="L2556" s="50"/>
    </row>
    <row r="2557" spans="10:12" x14ac:dyDescent="0.25">
      <c r="J2557" s="50"/>
      <c r="L2557" s="50"/>
    </row>
    <row r="2558" spans="10:12" x14ac:dyDescent="0.25">
      <c r="J2558" s="50"/>
      <c r="L2558" s="50"/>
    </row>
    <row r="2559" spans="10:12" x14ac:dyDescent="0.25">
      <c r="J2559" s="50"/>
      <c r="L2559" s="50"/>
    </row>
    <row r="2560" spans="10:12" x14ac:dyDescent="0.25">
      <c r="J2560" s="50"/>
      <c r="L2560" s="50"/>
    </row>
    <row r="2561" spans="10:12" x14ac:dyDescent="0.25">
      <c r="J2561" s="50"/>
      <c r="L2561" s="50"/>
    </row>
    <row r="2562" spans="10:12" x14ac:dyDescent="0.25">
      <c r="J2562" s="50"/>
      <c r="L2562" s="50"/>
    </row>
    <row r="2563" spans="10:12" x14ac:dyDescent="0.25">
      <c r="J2563" s="50"/>
      <c r="L2563" s="50"/>
    </row>
    <row r="2564" spans="10:12" x14ac:dyDescent="0.25">
      <c r="J2564" s="50"/>
      <c r="L2564" s="50"/>
    </row>
    <row r="2565" spans="10:12" x14ac:dyDescent="0.25">
      <c r="J2565" s="50"/>
      <c r="L2565" s="50"/>
    </row>
    <row r="2566" spans="10:12" x14ac:dyDescent="0.25">
      <c r="J2566" s="50"/>
      <c r="L2566" s="50"/>
    </row>
    <row r="2567" spans="10:12" x14ac:dyDescent="0.25">
      <c r="J2567" s="50"/>
      <c r="L2567" s="50"/>
    </row>
    <row r="2568" spans="10:12" x14ac:dyDescent="0.25">
      <c r="J2568" s="50"/>
      <c r="L2568" s="50"/>
    </row>
    <row r="2569" spans="10:12" x14ac:dyDescent="0.25">
      <c r="J2569" s="50"/>
      <c r="L2569" s="50"/>
    </row>
    <row r="2570" spans="10:12" x14ac:dyDescent="0.25">
      <c r="J2570" s="50"/>
      <c r="L2570" s="50"/>
    </row>
    <row r="2571" spans="10:12" x14ac:dyDescent="0.25">
      <c r="J2571" s="50"/>
      <c r="L2571" s="50"/>
    </row>
    <row r="2572" spans="10:12" x14ac:dyDescent="0.25">
      <c r="J2572" s="50"/>
      <c r="L2572" s="50"/>
    </row>
    <row r="2573" spans="10:12" x14ac:dyDescent="0.25">
      <c r="J2573" s="50"/>
      <c r="L2573" s="50"/>
    </row>
    <row r="2574" spans="10:12" x14ac:dyDescent="0.25">
      <c r="J2574" s="50"/>
      <c r="L2574" s="50"/>
    </row>
    <row r="2575" spans="10:12" x14ac:dyDescent="0.25">
      <c r="J2575" s="50"/>
      <c r="L2575" s="50"/>
    </row>
    <row r="2576" spans="10:12" x14ac:dyDescent="0.25">
      <c r="J2576" s="50"/>
      <c r="L2576" s="50"/>
    </row>
    <row r="2577" spans="10:12" x14ac:dyDescent="0.25">
      <c r="J2577" s="50"/>
      <c r="L2577" s="50"/>
    </row>
    <row r="2578" spans="10:12" x14ac:dyDescent="0.25">
      <c r="J2578" s="50"/>
      <c r="L2578" s="50"/>
    </row>
    <row r="2579" spans="10:12" x14ac:dyDescent="0.25">
      <c r="J2579" s="50"/>
      <c r="L2579" s="50"/>
    </row>
    <row r="2580" spans="10:12" x14ac:dyDescent="0.25">
      <c r="J2580" s="50"/>
      <c r="L2580" s="50"/>
    </row>
    <row r="2581" spans="10:12" x14ac:dyDescent="0.25">
      <c r="J2581" s="50"/>
      <c r="L2581" s="50"/>
    </row>
    <row r="2582" spans="10:12" x14ac:dyDescent="0.25">
      <c r="J2582" s="50"/>
      <c r="L2582" s="50"/>
    </row>
    <row r="2583" spans="10:12" x14ac:dyDescent="0.25">
      <c r="J2583" s="50"/>
      <c r="L2583" s="50"/>
    </row>
    <row r="2584" spans="10:12" x14ac:dyDescent="0.25">
      <c r="J2584" s="50"/>
      <c r="L2584" s="50"/>
    </row>
    <row r="2585" spans="10:12" x14ac:dyDescent="0.25">
      <c r="J2585" s="50"/>
      <c r="L2585" s="50"/>
    </row>
    <row r="2586" spans="10:12" x14ac:dyDescent="0.25">
      <c r="J2586" s="50"/>
      <c r="L2586" s="50"/>
    </row>
    <row r="2587" spans="10:12" x14ac:dyDescent="0.25">
      <c r="J2587" s="50"/>
      <c r="L2587" s="50"/>
    </row>
    <row r="2588" spans="10:12" x14ac:dyDescent="0.25">
      <c r="J2588" s="50"/>
      <c r="L2588" s="50"/>
    </row>
    <row r="2589" spans="10:12" x14ac:dyDescent="0.25">
      <c r="J2589" s="50"/>
      <c r="L2589" s="50"/>
    </row>
    <row r="2590" spans="10:12" x14ac:dyDescent="0.25">
      <c r="J2590" s="50"/>
      <c r="L2590" s="50"/>
    </row>
    <row r="2591" spans="10:12" x14ac:dyDescent="0.25">
      <c r="J2591" s="50"/>
      <c r="L2591" s="50"/>
    </row>
    <row r="2592" spans="10:12" x14ac:dyDescent="0.25">
      <c r="J2592" s="50"/>
      <c r="L2592" s="50"/>
    </row>
    <row r="2593" spans="10:12" x14ac:dyDescent="0.25">
      <c r="J2593" s="50"/>
      <c r="L2593" s="50"/>
    </row>
    <row r="2594" spans="10:12" x14ac:dyDescent="0.25">
      <c r="J2594" s="50"/>
      <c r="L2594" s="50"/>
    </row>
    <row r="2595" spans="10:12" x14ac:dyDescent="0.25">
      <c r="J2595" s="50"/>
      <c r="L2595" s="50"/>
    </row>
    <row r="2596" spans="10:12" x14ac:dyDescent="0.25">
      <c r="J2596" s="50"/>
      <c r="L2596" s="50"/>
    </row>
    <row r="2597" spans="10:12" x14ac:dyDescent="0.25">
      <c r="J2597" s="50"/>
      <c r="L2597" s="50"/>
    </row>
    <row r="2598" spans="10:12" x14ac:dyDescent="0.25">
      <c r="J2598" s="50"/>
      <c r="L2598" s="50"/>
    </row>
    <row r="2599" spans="10:12" x14ac:dyDescent="0.25">
      <c r="J2599" s="50"/>
      <c r="L2599" s="50"/>
    </row>
    <row r="2600" spans="10:12" x14ac:dyDescent="0.25">
      <c r="J2600" s="50"/>
      <c r="L2600" s="50"/>
    </row>
    <row r="2601" spans="10:12" x14ac:dyDescent="0.25">
      <c r="J2601" s="50"/>
      <c r="L2601" s="50"/>
    </row>
    <row r="2602" spans="10:12" x14ac:dyDescent="0.25">
      <c r="J2602" s="50"/>
      <c r="L2602" s="50"/>
    </row>
    <row r="2603" spans="10:12" x14ac:dyDescent="0.25">
      <c r="J2603" s="50"/>
      <c r="L2603" s="50"/>
    </row>
    <row r="2604" spans="10:12" x14ac:dyDescent="0.25">
      <c r="J2604" s="50"/>
      <c r="L2604" s="50"/>
    </row>
    <row r="2605" spans="10:12" x14ac:dyDescent="0.25">
      <c r="J2605" s="50"/>
      <c r="L2605" s="50"/>
    </row>
    <row r="2606" spans="10:12" x14ac:dyDescent="0.25">
      <c r="J2606" s="50"/>
      <c r="L2606" s="50"/>
    </row>
    <row r="2607" spans="10:12" x14ac:dyDescent="0.25">
      <c r="J2607" s="50"/>
      <c r="L2607" s="50"/>
    </row>
    <row r="2608" spans="10:12" x14ac:dyDescent="0.25">
      <c r="J2608" s="50"/>
      <c r="L2608" s="50"/>
    </row>
    <row r="2609" spans="10:12" x14ac:dyDescent="0.25">
      <c r="J2609" s="50"/>
      <c r="L2609" s="50"/>
    </row>
    <row r="2610" spans="10:12" x14ac:dyDescent="0.25">
      <c r="J2610" s="50"/>
      <c r="L2610" s="50"/>
    </row>
    <row r="2611" spans="10:12" x14ac:dyDescent="0.25">
      <c r="J2611" s="50"/>
      <c r="L2611" s="50"/>
    </row>
    <row r="2612" spans="10:12" x14ac:dyDescent="0.25">
      <c r="J2612" s="50"/>
      <c r="L2612" s="50"/>
    </row>
    <row r="2613" spans="10:12" x14ac:dyDescent="0.25">
      <c r="J2613" s="50"/>
      <c r="L2613" s="50"/>
    </row>
    <row r="2614" spans="10:12" x14ac:dyDescent="0.25">
      <c r="J2614" s="50"/>
      <c r="L2614" s="50"/>
    </row>
    <row r="2615" spans="10:12" x14ac:dyDescent="0.25">
      <c r="J2615" s="50"/>
      <c r="L2615" s="50"/>
    </row>
    <row r="2616" spans="10:12" x14ac:dyDescent="0.25">
      <c r="J2616" s="50"/>
      <c r="L2616" s="50"/>
    </row>
    <row r="2617" spans="10:12" x14ac:dyDescent="0.25">
      <c r="J2617" s="50"/>
      <c r="L2617" s="50"/>
    </row>
    <row r="2618" spans="10:12" x14ac:dyDescent="0.25">
      <c r="J2618" s="50"/>
      <c r="L2618" s="50"/>
    </row>
    <row r="2619" spans="10:12" x14ac:dyDescent="0.25">
      <c r="J2619" s="50"/>
      <c r="L2619" s="50"/>
    </row>
    <row r="2620" spans="10:12" x14ac:dyDescent="0.25">
      <c r="J2620" s="50"/>
      <c r="L2620" s="50"/>
    </row>
    <row r="2621" spans="10:12" x14ac:dyDescent="0.25">
      <c r="J2621" s="50"/>
      <c r="L2621" s="50"/>
    </row>
    <row r="2622" spans="10:12" x14ac:dyDescent="0.25">
      <c r="J2622" s="50"/>
      <c r="L2622" s="50"/>
    </row>
    <row r="2623" spans="10:12" x14ac:dyDescent="0.25">
      <c r="J2623" s="50"/>
      <c r="L2623" s="50"/>
    </row>
    <row r="2624" spans="10:12" x14ac:dyDescent="0.25">
      <c r="J2624" s="50"/>
      <c r="L2624" s="50"/>
    </row>
    <row r="2625" spans="10:12" x14ac:dyDescent="0.25">
      <c r="J2625" s="50"/>
      <c r="L2625" s="50"/>
    </row>
    <row r="2626" spans="10:12" x14ac:dyDescent="0.25">
      <c r="J2626" s="50"/>
      <c r="L2626" s="50"/>
    </row>
    <row r="2627" spans="10:12" x14ac:dyDescent="0.25">
      <c r="J2627" s="50"/>
      <c r="L2627" s="50"/>
    </row>
    <row r="2628" spans="10:12" x14ac:dyDescent="0.25">
      <c r="J2628" s="50"/>
      <c r="L2628" s="50"/>
    </row>
    <row r="2629" spans="10:12" x14ac:dyDescent="0.25">
      <c r="J2629" s="50"/>
      <c r="L2629" s="50"/>
    </row>
    <row r="2630" spans="10:12" x14ac:dyDescent="0.25">
      <c r="J2630" s="50"/>
      <c r="L2630" s="50"/>
    </row>
    <row r="2631" spans="10:12" x14ac:dyDescent="0.25">
      <c r="J2631" s="50"/>
      <c r="L2631" s="50"/>
    </row>
    <row r="2632" spans="10:12" x14ac:dyDescent="0.25">
      <c r="J2632" s="50"/>
      <c r="L2632" s="50"/>
    </row>
    <row r="2633" spans="10:12" x14ac:dyDescent="0.25">
      <c r="J2633" s="50"/>
      <c r="L2633" s="50"/>
    </row>
    <row r="2634" spans="10:12" x14ac:dyDescent="0.25">
      <c r="J2634" s="50"/>
      <c r="L2634" s="50"/>
    </row>
    <row r="2635" spans="10:12" x14ac:dyDescent="0.25">
      <c r="J2635" s="50"/>
      <c r="L2635" s="50"/>
    </row>
    <row r="2636" spans="10:12" x14ac:dyDescent="0.25">
      <c r="J2636" s="50"/>
      <c r="L2636" s="50"/>
    </row>
    <row r="2637" spans="10:12" x14ac:dyDescent="0.25">
      <c r="J2637" s="50"/>
      <c r="L2637" s="50"/>
    </row>
    <row r="2638" spans="10:12" x14ac:dyDescent="0.25">
      <c r="J2638" s="50"/>
      <c r="L2638" s="50"/>
    </row>
    <row r="2639" spans="10:12" x14ac:dyDescent="0.25">
      <c r="J2639" s="50"/>
      <c r="L2639" s="50"/>
    </row>
    <row r="2640" spans="10:12" x14ac:dyDescent="0.25">
      <c r="J2640" s="50"/>
      <c r="L2640" s="50"/>
    </row>
    <row r="2641" spans="10:12" x14ac:dyDescent="0.25">
      <c r="J2641" s="50"/>
      <c r="L2641" s="50"/>
    </row>
    <row r="2642" spans="10:12" x14ac:dyDescent="0.25">
      <c r="J2642" s="50"/>
      <c r="L2642" s="50"/>
    </row>
    <row r="2643" spans="10:12" x14ac:dyDescent="0.25">
      <c r="J2643" s="50"/>
      <c r="L2643" s="50"/>
    </row>
    <row r="2644" spans="10:12" x14ac:dyDescent="0.25">
      <c r="J2644" s="50"/>
      <c r="L2644" s="50"/>
    </row>
    <row r="2645" spans="10:12" x14ac:dyDescent="0.25">
      <c r="J2645" s="50"/>
      <c r="L2645" s="50"/>
    </row>
    <row r="2646" spans="10:12" x14ac:dyDescent="0.25">
      <c r="J2646" s="50"/>
      <c r="L2646" s="50"/>
    </row>
    <row r="2647" spans="10:12" x14ac:dyDescent="0.25">
      <c r="J2647" s="50"/>
      <c r="L2647" s="50"/>
    </row>
    <row r="2648" spans="10:12" x14ac:dyDescent="0.25">
      <c r="J2648" s="50"/>
      <c r="L2648" s="50"/>
    </row>
    <row r="2649" spans="10:12" x14ac:dyDescent="0.25">
      <c r="J2649" s="50"/>
      <c r="L2649" s="50"/>
    </row>
    <row r="2650" spans="10:12" x14ac:dyDescent="0.25">
      <c r="J2650" s="50"/>
      <c r="L2650" s="50"/>
    </row>
    <row r="2651" spans="10:12" x14ac:dyDescent="0.25">
      <c r="J2651" s="50"/>
      <c r="L2651" s="50"/>
    </row>
    <row r="2652" spans="10:12" x14ac:dyDescent="0.25">
      <c r="J2652" s="50"/>
      <c r="L2652" s="50"/>
    </row>
    <row r="2653" spans="10:12" x14ac:dyDescent="0.25">
      <c r="J2653" s="50"/>
      <c r="L2653" s="50"/>
    </row>
    <row r="2654" spans="10:12" x14ac:dyDescent="0.25">
      <c r="J2654" s="50"/>
      <c r="L2654" s="50"/>
    </row>
    <row r="2655" spans="10:12" x14ac:dyDescent="0.25">
      <c r="J2655" s="50"/>
      <c r="L2655" s="50"/>
    </row>
    <row r="2656" spans="10:12" x14ac:dyDescent="0.25">
      <c r="J2656" s="50"/>
      <c r="L2656" s="50"/>
    </row>
    <row r="2657" spans="10:12" x14ac:dyDescent="0.25">
      <c r="J2657" s="50"/>
      <c r="L2657" s="50"/>
    </row>
    <row r="2658" spans="10:12" x14ac:dyDescent="0.25">
      <c r="J2658" s="50"/>
      <c r="L2658" s="50"/>
    </row>
    <row r="2659" spans="10:12" x14ac:dyDescent="0.25">
      <c r="J2659" s="50"/>
      <c r="L2659" s="50"/>
    </row>
    <row r="2660" spans="10:12" x14ac:dyDescent="0.25">
      <c r="J2660" s="50"/>
      <c r="L2660" s="50"/>
    </row>
    <row r="2661" spans="10:12" x14ac:dyDescent="0.25">
      <c r="J2661" s="50"/>
      <c r="L2661" s="50"/>
    </row>
    <row r="2662" spans="10:12" x14ac:dyDescent="0.25">
      <c r="J2662" s="50"/>
      <c r="L2662" s="50"/>
    </row>
    <row r="2663" spans="10:12" x14ac:dyDescent="0.25">
      <c r="J2663" s="50"/>
      <c r="L2663" s="50"/>
    </row>
    <row r="2664" spans="10:12" x14ac:dyDescent="0.25">
      <c r="J2664" s="50"/>
      <c r="L2664" s="50"/>
    </row>
    <row r="2665" spans="10:12" x14ac:dyDescent="0.25">
      <c r="J2665" s="50"/>
      <c r="L2665" s="50"/>
    </row>
    <row r="2666" spans="10:12" x14ac:dyDescent="0.25">
      <c r="J2666" s="50"/>
      <c r="L2666" s="50"/>
    </row>
    <row r="2667" spans="10:12" x14ac:dyDescent="0.25">
      <c r="J2667" s="50"/>
      <c r="L2667" s="50"/>
    </row>
    <row r="2668" spans="10:12" x14ac:dyDescent="0.25">
      <c r="J2668" s="50"/>
      <c r="L2668" s="50"/>
    </row>
    <row r="2669" spans="10:12" x14ac:dyDescent="0.25">
      <c r="J2669" s="50"/>
      <c r="L2669" s="50"/>
    </row>
    <row r="2670" spans="10:12" x14ac:dyDescent="0.25">
      <c r="J2670" s="50"/>
      <c r="L2670" s="50"/>
    </row>
    <row r="2671" spans="10:12" x14ac:dyDescent="0.25">
      <c r="J2671" s="50"/>
      <c r="L2671" s="50"/>
    </row>
    <row r="2672" spans="10:12" x14ac:dyDescent="0.25">
      <c r="J2672" s="50"/>
      <c r="L2672" s="50"/>
    </row>
    <row r="2673" spans="10:12" x14ac:dyDescent="0.25">
      <c r="J2673" s="50"/>
      <c r="L2673" s="50"/>
    </row>
    <row r="2674" spans="10:12" x14ac:dyDescent="0.25">
      <c r="J2674" s="50"/>
      <c r="L2674" s="50"/>
    </row>
    <row r="2675" spans="10:12" x14ac:dyDescent="0.25">
      <c r="J2675" s="50"/>
      <c r="L2675" s="50"/>
    </row>
    <row r="2676" spans="10:12" x14ac:dyDescent="0.25">
      <c r="J2676" s="50"/>
      <c r="L2676" s="50"/>
    </row>
    <row r="2677" spans="10:12" x14ac:dyDescent="0.25">
      <c r="J2677" s="50"/>
      <c r="L2677" s="50"/>
    </row>
    <row r="2678" spans="10:12" x14ac:dyDescent="0.25">
      <c r="J2678" s="50"/>
      <c r="L2678" s="50"/>
    </row>
    <row r="2679" spans="10:12" x14ac:dyDescent="0.25">
      <c r="J2679" s="50"/>
      <c r="L2679" s="50"/>
    </row>
    <row r="2680" spans="10:12" x14ac:dyDescent="0.25">
      <c r="J2680" s="50"/>
      <c r="L2680" s="50"/>
    </row>
    <row r="2681" spans="10:12" x14ac:dyDescent="0.25">
      <c r="J2681" s="50"/>
      <c r="L2681" s="50"/>
    </row>
    <row r="2682" spans="10:12" x14ac:dyDescent="0.25">
      <c r="J2682" s="50"/>
      <c r="L2682" s="50"/>
    </row>
    <row r="2683" spans="10:12" x14ac:dyDescent="0.25">
      <c r="J2683" s="50"/>
      <c r="L2683" s="50"/>
    </row>
    <row r="2684" spans="10:12" x14ac:dyDescent="0.25">
      <c r="J2684" s="50"/>
      <c r="L2684" s="50"/>
    </row>
    <row r="2685" spans="10:12" x14ac:dyDescent="0.25">
      <c r="J2685" s="50"/>
      <c r="L2685" s="50"/>
    </row>
    <row r="2686" spans="10:12" x14ac:dyDescent="0.25">
      <c r="J2686" s="50"/>
      <c r="L2686" s="50"/>
    </row>
    <row r="2687" spans="10:12" x14ac:dyDescent="0.25">
      <c r="J2687" s="50"/>
      <c r="L2687" s="50"/>
    </row>
    <row r="2688" spans="10:12" x14ac:dyDescent="0.25">
      <c r="J2688" s="50"/>
      <c r="L2688" s="50"/>
    </row>
    <row r="2689" spans="10:12" x14ac:dyDescent="0.25">
      <c r="J2689" s="50"/>
      <c r="L2689" s="50"/>
    </row>
    <row r="2690" spans="10:12" x14ac:dyDescent="0.25">
      <c r="J2690" s="50"/>
      <c r="L2690" s="50"/>
    </row>
    <row r="2691" spans="10:12" x14ac:dyDescent="0.25">
      <c r="J2691" s="50"/>
      <c r="L2691" s="50"/>
    </row>
    <row r="2692" spans="10:12" x14ac:dyDescent="0.25">
      <c r="J2692" s="50"/>
      <c r="L2692" s="50"/>
    </row>
    <row r="2693" spans="10:12" x14ac:dyDescent="0.25">
      <c r="J2693" s="50"/>
      <c r="L2693" s="50"/>
    </row>
    <row r="2694" spans="10:12" x14ac:dyDescent="0.25">
      <c r="J2694" s="50"/>
      <c r="L2694" s="50"/>
    </row>
    <row r="2695" spans="10:12" x14ac:dyDescent="0.25">
      <c r="J2695" s="50"/>
      <c r="L2695" s="50"/>
    </row>
    <row r="2696" spans="10:12" x14ac:dyDescent="0.25">
      <c r="J2696" s="50"/>
      <c r="L2696" s="50"/>
    </row>
    <row r="2697" spans="10:12" x14ac:dyDescent="0.25">
      <c r="J2697" s="50"/>
      <c r="L2697" s="50"/>
    </row>
    <row r="2698" spans="10:12" x14ac:dyDescent="0.25">
      <c r="J2698" s="50"/>
      <c r="L2698" s="50"/>
    </row>
    <row r="2699" spans="10:12" x14ac:dyDescent="0.25">
      <c r="J2699" s="50"/>
      <c r="L2699" s="50"/>
    </row>
    <row r="2700" spans="10:12" x14ac:dyDescent="0.25">
      <c r="J2700" s="50"/>
      <c r="L2700" s="50"/>
    </row>
    <row r="2701" spans="10:12" x14ac:dyDescent="0.25">
      <c r="J2701" s="50"/>
      <c r="L2701" s="50"/>
    </row>
    <row r="2702" spans="10:12" x14ac:dyDescent="0.25">
      <c r="J2702" s="50"/>
      <c r="L2702" s="50"/>
    </row>
    <row r="2703" spans="10:12" x14ac:dyDescent="0.25">
      <c r="J2703" s="50"/>
      <c r="L2703" s="50"/>
    </row>
    <row r="2704" spans="10:12" x14ac:dyDescent="0.25">
      <c r="J2704" s="50"/>
      <c r="L2704" s="50"/>
    </row>
    <row r="2705" spans="10:12" x14ac:dyDescent="0.25">
      <c r="J2705" s="50"/>
      <c r="L2705" s="50"/>
    </row>
    <row r="2706" spans="10:12" x14ac:dyDescent="0.25">
      <c r="J2706" s="50"/>
      <c r="L2706" s="50"/>
    </row>
    <row r="2707" spans="10:12" x14ac:dyDescent="0.25">
      <c r="J2707" s="50"/>
      <c r="L2707" s="50"/>
    </row>
    <row r="2708" spans="10:12" x14ac:dyDescent="0.25">
      <c r="J2708" s="50"/>
      <c r="L2708" s="50"/>
    </row>
    <row r="2709" spans="10:12" x14ac:dyDescent="0.25">
      <c r="J2709" s="50"/>
      <c r="L2709" s="50"/>
    </row>
    <row r="2710" spans="10:12" x14ac:dyDescent="0.25">
      <c r="J2710" s="50"/>
      <c r="L2710" s="50"/>
    </row>
    <row r="2711" spans="10:12" x14ac:dyDescent="0.25">
      <c r="J2711" s="50"/>
      <c r="L2711" s="50"/>
    </row>
    <row r="2712" spans="10:12" x14ac:dyDescent="0.25">
      <c r="J2712" s="50"/>
      <c r="L2712" s="50"/>
    </row>
    <row r="2713" spans="10:12" x14ac:dyDescent="0.25">
      <c r="J2713" s="50"/>
      <c r="L2713" s="50"/>
    </row>
    <row r="2714" spans="10:12" x14ac:dyDescent="0.25">
      <c r="J2714" s="50"/>
      <c r="L2714" s="50"/>
    </row>
    <row r="2715" spans="10:12" x14ac:dyDescent="0.25">
      <c r="J2715" s="50"/>
      <c r="L2715" s="50"/>
    </row>
    <row r="2716" spans="10:12" x14ac:dyDescent="0.25">
      <c r="J2716" s="50"/>
      <c r="L2716" s="50"/>
    </row>
    <row r="2717" spans="10:12" x14ac:dyDescent="0.25">
      <c r="J2717" s="50"/>
      <c r="L2717" s="50"/>
    </row>
    <row r="2718" spans="10:12" x14ac:dyDescent="0.25">
      <c r="J2718" s="50"/>
      <c r="L2718" s="50"/>
    </row>
    <row r="2719" spans="10:12" x14ac:dyDescent="0.25">
      <c r="J2719" s="50"/>
      <c r="L2719" s="50"/>
    </row>
    <row r="2720" spans="10:12" x14ac:dyDescent="0.25">
      <c r="J2720" s="50"/>
      <c r="L2720" s="50"/>
    </row>
    <row r="2721" spans="10:12" x14ac:dyDescent="0.25">
      <c r="J2721" s="50"/>
      <c r="L2721" s="50"/>
    </row>
    <row r="2722" spans="10:12" x14ac:dyDescent="0.25">
      <c r="J2722" s="50"/>
      <c r="L2722" s="50"/>
    </row>
    <row r="2723" spans="10:12" x14ac:dyDescent="0.25">
      <c r="J2723" s="50"/>
      <c r="L2723" s="50"/>
    </row>
    <row r="2724" spans="10:12" x14ac:dyDescent="0.25">
      <c r="J2724" s="50"/>
      <c r="L2724" s="50"/>
    </row>
    <row r="2725" spans="10:12" x14ac:dyDescent="0.25">
      <c r="J2725" s="50"/>
      <c r="L2725" s="50"/>
    </row>
    <row r="2726" spans="10:12" x14ac:dyDescent="0.25">
      <c r="J2726" s="50"/>
      <c r="L2726" s="50"/>
    </row>
    <row r="2727" spans="10:12" x14ac:dyDescent="0.25">
      <c r="J2727" s="50"/>
      <c r="L2727" s="50"/>
    </row>
    <row r="2728" spans="10:12" x14ac:dyDescent="0.25">
      <c r="J2728" s="50"/>
      <c r="L2728" s="50"/>
    </row>
    <row r="2729" spans="10:12" x14ac:dyDescent="0.25">
      <c r="J2729" s="50"/>
      <c r="L2729" s="50"/>
    </row>
    <row r="2730" spans="10:12" x14ac:dyDescent="0.25">
      <c r="J2730" s="50"/>
      <c r="L2730" s="50"/>
    </row>
    <row r="2731" spans="10:12" x14ac:dyDescent="0.25">
      <c r="J2731" s="50"/>
      <c r="L2731" s="50"/>
    </row>
    <row r="2732" spans="10:12" x14ac:dyDescent="0.25">
      <c r="J2732" s="50"/>
      <c r="L2732" s="50"/>
    </row>
    <row r="2733" spans="10:12" x14ac:dyDescent="0.25">
      <c r="J2733" s="50"/>
      <c r="L2733" s="50"/>
    </row>
    <row r="2734" spans="10:12" x14ac:dyDescent="0.25">
      <c r="J2734" s="50"/>
      <c r="L2734" s="50"/>
    </row>
    <row r="2735" spans="10:12" x14ac:dyDescent="0.25">
      <c r="J2735" s="50"/>
      <c r="L2735" s="50"/>
    </row>
    <row r="2736" spans="10:12" x14ac:dyDescent="0.25">
      <c r="J2736" s="50"/>
      <c r="L2736" s="50"/>
    </row>
    <row r="2737" spans="10:12" x14ac:dyDescent="0.25">
      <c r="J2737" s="50"/>
      <c r="L2737" s="50"/>
    </row>
    <row r="2738" spans="10:12" x14ac:dyDescent="0.25">
      <c r="J2738" s="50"/>
      <c r="L2738" s="50"/>
    </row>
    <row r="2739" spans="10:12" x14ac:dyDescent="0.25">
      <c r="J2739" s="50"/>
      <c r="L2739" s="50"/>
    </row>
    <row r="2740" spans="10:12" x14ac:dyDescent="0.25">
      <c r="J2740" s="50"/>
      <c r="L2740" s="50"/>
    </row>
    <row r="2741" spans="10:12" x14ac:dyDescent="0.25">
      <c r="J2741" s="50"/>
      <c r="L2741" s="50"/>
    </row>
    <row r="2742" spans="10:12" x14ac:dyDescent="0.25">
      <c r="J2742" s="50"/>
      <c r="L2742" s="50"/>
    </row>
    <row r="2743" spans="10:12" x14ac:dyDescent="0.25">
      <c r="J2743" s="50"/>
      <c r="L2743" s="50"/>
    </row>
    <row r="2744" spans="10:12" x14ac:dyDescent="0.25">
      <c r="J2744" s="50"/>
      <c r="L2744" s="50"/>
    </row>
    <row r="2745" spans="10:12" x14ac:dyDescent="0.25">
      <c r="J2745" s="50"/>
      <c r="L2745" s="50"/>
    </row>
    <row r="2746" spans="10:12" x14ac:dyDescent="0.25">
      <c r="J2746" s="50"/>
      <c r="L2746" s="50"/>
    </row>
    <row r="2747" spans="10:12" x14ac:dyDescent="0.25">
      <c r="J2747" s="50"/>
      <c r="L2747" s="50"/>
    </row>
    <row r="2748" spans="10:12" x14ac:dyDescent="0.25">
      <c r="J2748" s="50"/>
      <c r="L2748" s="50"/>
    </row>
    <row r="2749" spans="10:12" x14ac:dyDescent="0.25">
      <c r="J2749" s="50"/>
      <c r="L2749" s="50"/>
    </row>
    <row r="2750" spans="10:12" x14ac:dyDescent="0.25">
      <c r="J2750" s="50"/>
      <c r="L2750" s="50"/>
    </row>
    <row r="2751" spans="10:12" x14ac:dyDescent="0.25">
      <c r="J2751" s="50"/>
      <c r="L2751" s="50"/>
    </row>
    <row r="2752" spans="10:12" x14ac:dyDescent="0.25">
      <c r="J2752" s="50"/>
      <c r="L2752" s="50"/>
    </row>
    <row r="2753" spans="10:12" x14ac:dyDescent="0.25">
      <c r="J2753" s="50"/>
      <c r="L2753" s="50"/>
    </row>
    <row r="2754" spans="10:12" x14ac:dyDescent="0.25">
      <c r="J2754" s="50"/>
      <c r="L2754" s="50"/>
    </row>
    <row r="2755" spans="10:12" x14ac:dyDescent="0.25">
      <c r="J2755" s="50"/>
      <c r="L2755" s="50"/>
    </row>
    <row r="2756" spans="10:12" x14ac:dyDescent="0.25">
      <c r="J2756" s="50"/>
      <c r="L2756" s="50"/>
    </row>
    <row r="2757" spans="10:12" x14ac:dyDescent="0.25">
      <c r="J2757" s="50"/>
      <c r="L2757" s="50"/>
    </row>
    <row r="2758" spans="10:12" x14ac:dyDescent="0.25">
      <c r="J2758" s="50"/>
      <c r="L2758" s="50"/>
    </row>
    <row r="2759" spans="10:12" x14ac:dyDescent="0.25">
      <c r="J2759" s="50"/>
      <c r="L2759" s="50"/>
    </row>
    <row r="2760" spans="10:12" x14ac:dyDescent="0.25">
      <c r="J2760" s="50"/>
      <c r="L2760" s="50"/>
    </row>
    <row r="2761" spans="10:12" x14ac:dyDescent="0.25">
      <c r="J2761" s="50"/>
      <c r="L2761" s="50"/>
    </row>
    <row r="2762" spans="10:12" x14ac:dyDescent="0.25">
      <c r="J2762" s="50"/>
      <c r="L2762" s="50"/>
    </row>
    <row r="2763" spans="10:12" x14ac:dyDescent="0.25">
      <c r="J2763" s="50"/>
      <c r="L2763" s="50"/>
    </row>
    <row r="2764" spans="10:12" x14ac:dyDescent="0.25">
      <c r="J2764" s="50"/>
      <c r="L2764" s="50"/>
    </row>
    <row r="2765" spans="10:12" x14ac:dyDescent="0.25">
      <c r="J2765" s="50"/>
      <c r="L2765" s="50"/>
    </row>
    <row r="2766" spans="10:12" x14ac:dyDescent="0.25">
      <c r="J2766" s="50"/>
      <c r="L2766" s="50"/>
    </row>
    <row r="2767" spans="10:12" x14ac:dyDescent="0.25">
      <c r="J2767" s="50"/>
      <c r="L2767" s="50"/>
    </row>
    <row r="2768" spans="10:12" x14ac:dyDescent="0.25">
      <c r="J2768" s="50"/>
      <c r="L2768" s="50"/>
    </row>
    <row r="2769" spans="10:12" x14ac:dyDescent="0.25">
      <c r="J2769" s="50"/>
      <c r="L2769" s="50"/>
    </row>
    <row r="2770" spans="10:12" x14ac:dyDescent="0.25">
      <c r="J2770" s="50"/>
      <c r="L2770" s="50"/>
    </row>
    <row r="2771" spans="10:12" x14ac:dyDescent="0.25">
      <c r="J2771" s="50"/>
      <c r="L2771" s="50"/>
    </row>
    <row r="2772" spans="10:12" x14ac:dyDescent="0.25">
      <c r="J2772" s="50"/>
      <c r="L2772" s="50"/>
    </row>
    <row r="2773" spans="10:12" x14ac:dyDescent="0.25">
      <c r="J2773" s="50"/>
      <c r="L2773" s="50"/>
    </row>
    <row r="2774" spans="10:12" x14ac:dyDescent="0.25">
      <c r="J2774" s="50"/>
      <c r="L2774" s="50"/>
    </row>
    <row r="2775" spans="10:12" x14ac:dyDescent="0.25">
      <c r="J2775" s="50"/>
      <c r="L2775" s="50"/>
    </row>
    <row r="2776" spans="10:12" x14ac:dyDescent="0.25">
      <c r="J2776" s="50"/>
      <c r="L2776" s="50"/>
    </row>
    <row r="2777" spans="10:12" x14ac:dyDescent="0.25">
      <c r="J2777" s="50"/>
      <c r="L2777" s="50"/>
    </row>
    <row r="2778" spans="10:12" x14ac:dyDescent="0.25">
      <c r="J2778" s="50"/>
      <c r="L2778" s="50"/>
    </row>
    <row r="2779" spans="10:12" x14ac:dyDescent="0.25">
      <c r="J2779" s="50"/>
      <c r="L2779" s="50"/>
    </row>
    <row r="2780" spans="10:12" x14ac:dyDescent="0.25">
      <c r="J2780" s="50"/>
      <c r="L2780" s="50"/>
    </row>
    <row r="2781" spans="10:12" x14ac:dyDescent="0.25">
      <c r="J2781" s="50"/>
      <c r="L2781" s="50"/>
    </row>
    <row r="2782" spans="10:12" x14ac:dyDescent="0.25">
      <c r="J2782" s="50"/>
      <c r="L2782" s="50"/>
    </row>
    <row r="2783" spans="10:12" x14ac:dyDescent="0.25">
      <c r="J2783" s="50"/>
      <c r="L2783" s="50"/>
    </row>
    <row r="2784" spans="10:12" x14ac:dyDescent="0.25">
      <c r="J2784" s="50"/>
      <c r="L2784" s="50"/>
    </row>
    <row r="2785" spans="10:12" x14ac:dyDescent="0.25">
      <c r="J2785" s="50"/>
      <c r="L2785" s="50"/>
    </row>
    <row r="2786" spans="10:12" x14ac:dyDescent="0.25">
      <c r="J2786" s="50"/>
      <c r="L2786" s="50"/>
    </row>
    <row r="2787" spans="10:12" x14ac:dyDescent="0.25">
      <c r="J2787" s="50"/>
      <c r="L2787" s="50"/>
    </row>
    <row r="2788" spans="10:12" x14ac:dyDescent="0.25">
      <c r="J2788" s="50"/>
      <c r="L2788" s="50"/>
    </row>
    <row r="2789" spans="10:12" x14ac:dyDescent="0.25">
      <c r="J2789" s="50"/>
      <c r="L2789" s="50"/>
    </row>
    <row r="2790" spans="10:12" x14ac:dyDescent="0.25">
      <c r="J2790" s="50"/>
      <c r="L2790" s="50"/>
    </row>
    <row r="2791" spans="10:12" x14ac:dyDescent="0.25">
      <c r="J2791" s="50"/>
      <c r="L2791" s="50"/>
    </row>
    <row r="2792" spans="10:12" x14ac:dyDescent="0.25">
      <c r="J2792" s="50"/>
      <c r="L2792" s="50"/>
    </row>
    <row r="2793" spans="10:12" x14ac:dyDescent="0.25">
      <c r="J2793" s="50"/>
      <c r="L2793" s="50"/>
    </row>
    <row r="2794" spans="10:12" x14ac:dyDescent="0.25">
      <c r="J2794" s="50"/>
      <c r="L2794" s="50"/>
    </row>
    <row r="2795" spans="10:12" x14ac:dyDescent="0.25">
      <c r="J2795" s="50"/>
      <c r="L2795" s="50"/>
    </row>
    <row r="2796" spans="10:12" x14ac:dyDescent="0.25">
      <c r="J2796" s="50"/>
      <c r="L2796" s="50"/>
    </row>
    <row r="2797" spans="10:12" x14ac:dyDescent="0.25">
      <c r="J2797" s="50"/>
      <c r="L2797" s="50"/>
    </row>
    <row r="2798" spans="10:12" x14ac:dyDescent="0.25">
      <c r="J2798" s="50"/>
      <c r="L2798" s="50"/>
    </row>
    <row r="2799" spans="10:12" x14ac:dyDescent="0.25">
      <c r="J2799" s="50"/>
      <c r="L2799" s="50"/>
    </row>
    <row r="2800" spans="10:12" x14ac:dyDescent="0.25">
      <c r="J2800" s="50"/>
      <c r="L2800" s="50"/>
    </row>
    <row r="2801" spans="10:12" x14ac:dyDescent="0.25">
      <c r="J2801" s="50"/>
      <c r="L2801" s="50"/>
    </row>
    <row r="2802" spans="10:12" x14ac:dyDescent="0.25">
      <c r="J2802" s="50"/>
      <c r="L2802" s="50"/>
    </row>
    <row r="2803" spans="10:12" x14ac:dyDescent="0.25">
      <c r="J2803" s="50"/>
      <c r="L2803" s="50"/>
    </row>
    <row r="2804" spans="10:12" x14ac:dyDescent="0.25">
      <c r="J2804" s="50"/>
      <c r="L2804" s="50"/>
    </row>
    <row r="2805" spans="10:12" x14ac:dyDescent="0.25">
      <c r="J2805" s="50"/>
      <c r="L2805" s="50"/>
    </row>
    <row r="2806" spans="10:12" x14ac:dyDescent="0.25">
      <c r="J2806" s="50"/>
      <c r="L2806" s="50"/>
    </row>
    <row r="2807" spans="10:12" x14ac:dyDescent="0.25">
      <c r="J2807" s="50"/>
      <c r="L2807" s="50"/>
    </row>
    <row r="2808" spans="10:12" x14ac:dyDescent="0.25">
      <c r="J2808" s="50"/>
      <c r="L2808" s="50"/>
    </row>
    <row r="2809" spans="10:12" x14ac:dyDescent="0.25">
      <c r="J2809" s="50"/>
      <c r="L2809" s="50"/>
    </row>
    <row r="2810" spans="10:12" x14ac:dyDescent="0.25">
      <c r="J2810" s="50"/>
      <c r="L2810" s="50"/>
    </row>
    <row r="2811" spans="10:12" x14ac:dyDescent="0.25">
      <c r="J2811" s="50"/>
      <c r="L2811" s="50"/>
    </row>
    <row r="2812" spans="10:12" x14ac:dyDescent="0.25">
      <c r="J2812" s="50"/>
      <c r="L2812" s="50"/>
    </row>
    <row r="2813" spans="10:12" x14ac:dyDescent="0.25">
      <c r="J2813" s="50"/>
      <c r="L2813" s="50"/>
    </row>
    <row r="2814" spans="10:12" x14ac:dyDescent="0.25">
      <c r="J2814" s="50"/>
      <c r="L2814" s="50"/>
    </row>
    <row r="2815" spans="10:12" x14ac:dyDescent="0.25">
      <c r="J2815" s="50"/>
      <c r="L2815" s="50"/>
    </row>
    <row r="2816" spans="10:12" x14ac:dyDescent="0.25">
      <c r="J2816" s="50"/>
      <c r="L2816" s="50"/>
    </row>
    <row r="2817" spans="10:12" x14ac:dyDescent="0.25">
      <c r="J2817" s="50"/>
      <c r="L2817" s="50"/>
    </row>
    <row r="2818" spans="10:12" x14ac:dyDescent="0.25">
      <c r="J2818" s="50"/>
      <c r="L2818" s="50"/>
    </row>
    <row r="2819" spans="10:12" x14ac:dyDescent="0.25">
      <c r="J2819" s="50"/>
      <c r="L2819" s="50"/>
    </row>
    <row r="2820" spans="10:12" x14ac:dyDescent="0.25">
      <c r="J2820" s="50"/>
      <c r="L2820" s="50"/>
    </row>
    <row r="2821" spans="10:12" x14ac:dyDescent="0.25">
      <c r="J2821" s="50"/>
      <c r="L2821" s="50"/>
    </row>
    <row r="2822" spans="10:12" x14ac:dyDescent="0.25">
      <c r="J2822" s="50"/>
      <c r="L2822" s="50"/>
    </row>
    <row r="2823" spans="10:12" x14ac:dyDescent="0.25">
      <c r="J2823" s="50"/>
      <c r="L2823" s="50"/>
    </row>
    <row r="2824" spans="10:12" x14ac:dyDescent="0.25">
      <c r="J2824" s="50"/>
      <c r="L2824" s="50"/>
    </row>
    <row r="2825" spans="10:12" x14ac:dyDescent="0.25">
      <c r="J2825" s="50"/>
      <c r="L2825" s="50"/>
    </row>
    <row r="2826" spans="10:12" x14ac:dyDescent="0.25">
      <c r="J2826" s="50"/>
      <c r="L2826" s="50"/>
    </row>
    <row r="2827" spans="10:12" x14ac:dyDescent="0.25">
      <c r="J2827" s="50"/>
      <c r="L2827" s="50"/>
    </row>
    <row r="2828" spans="10:12" x14ac:dyDescent="0.25">
      <c r="J2828" s="50"/>
      <c r="L2828" s="50"/>
    </row>
    <row r="2829" spans="10:12" x14ac:dyDescent="0.25">
      <c r="J2829" s="50"/>
      <c r="L2829" s="50"/>
    </row>
    <row r="2830" spans="10:12" x14ac:dyDescent="0.25">
      <c r="J2830" s="50"/>
      <c r="L2830" s="50"/>
    </row>
    <row r="2831" spans="10:12" x14ac:dyDescent="0.25">
      <c r="J2831" s="50"/>
      <c r="L2831" s="50"/>
    </row>
    <row r="2832" spans="10:12" x14ac:dyDescent="0.25">
      <c r="J2832" s="50"/>
      <c r="L2832" s="50"/>
    </row>
    <row r="2833" spans="10:12" x14ac:dyDescent="0.25">
      <c r="J2833" s="50"/>
      <c r="L2833" s="50"/>
    </row>
    <row r="2834" spans="10:12" x14ac:dyDescent="0.25">
      <c r="J2834" s="50"/>
      <c r="L2834" s="50"/>
    </row>
    <row r="2835" spans="10:12" x14ac:dyDescent="0.25">
      <c r="J2835" s="50"/>
      <c r="L2835" s="50"/>
    </row>
    <row r="2836" spans="10:12" x14ac:dyDescent="0.25">
      <c r="J2836" s="50"/>
      <c r="L2836" s="50"/>
    </row>
    <row r="2837" spans="10:12" x14ac:dyDescent="0.25">
      <c r="J2837" s="50"/>
      <c r="L2837" s="50"/>
    </row>
    <row r="2838" spans="10:12" x14ac:dyDescent="0.25">
      <c r="J2838" s="50"/>
      <c r="L2838" s="50"/>
    </row>
    <row r="2839" spans="10:12" x14ac:dyDescent="0.25">
      <c r="J2839" s="50"/>
      <c r="L2839" s="50"/>
    </row>
    <row r="2840" spans="10:12" x14ac:dyDescent="0.25">
      <c r="J2840" s="50"/>
      <c r="L2840" s="50"/>
    </row>
    <row r="2841" spans="10:12" x14ac:dyDescent="0.25">
      <c r="J2841" s="50"/>
      <c r="L2841" s="50"/>
    </row>
    <row r="2842" spans="10:12" x14ac:dyDescent="0.25">
      <c r="J2842" s="50"/>
      <c r="L2842" s="50"/>
    </row>
    <row r="2843" spans="10:12" x14ac:dyDescent="0.25">
      <c r="J2843" s="50"/>
      <c r="L2843" s="50"/>
    </row>
    <row r="2844" spans="10:12" x14ac:dyDescent="0.25">
      <c r="J2844" s="50"/>
      <c r="L2844" s="50"/>
    </row>
    <row r="2845" spans="10:12" x14ac:dyDescent="0.25">
      <c r="J2845" s="50"/>
      <c r="L2845" s="50"/>
    </row>
    <row r="2846" spans="10:12" x14ac:dyDescent="0.25">
      <c r="J2846" s="50"/>
      <c r="L2846" s="50"/>
    </row>
    <row r="2847" spans="10:12" x14ac:dyDescent="0.25">
      <c r="J2847" s="50"/>
      <c r="L2847" s="50"/>
    </row>
    <row r="2848" spans="10:12" x14ac:dyDescent="0.25">
      <c r="J2848" s="50"/>
      <c r="L2848" s="50"/>
    </row>
    <row r="2849" spans="10:12" x14ac:dyDescent="0.25">
      <c r="J2849" s="50"/>
      <c r="L2849" s="50"/>
    </row>
    <row r="2850" spans="10:12" x14ac:dyDescent="0.25">
      <c r="J2850" s="50"/>
      <c r="L2850" s="50"/>
    </row>
    <row r="2851" spans="10:12" x14ac:dyDescent="0.25">
      <c r="J2851" s="50"/>
      <c r="L2851" s="50"/>
    </row>
    <row r="2852" spans="10:12" x14ac:dyDescent="0.25">
      <c r="J2852" s="50"/>
      <c r="L2852" s="50"/>
    </row>
    <row r="2853" spans="10:12" x14ac:dyDescent="0.25">
      <c r="J2853" s="50"/>
      <c r="L2853" s="50"/>
    </row>
    <row r="2854" spans="10:12" x14ac:dyDescent="0.25">
      <c r="J2854" s="50"/>
      <c r="L2854" s="50"/>
    </row>
    <row r="2855" spans="10:12" x14ac:dyDescent="0.25">
      <c r="J2855" s="50"/>
      <c r="L2855" s="50"/>
    </row>
    <row r="2856" spans="10:12" x14ac:dyDescent="0.25">
      <c r="J2856" s="50"/>
      <c r="L2856" s="50"/>
    </row>
    <row r="2857" spans="10:12" x14ac:dyDescent="0.25">
      <c r="J2857" s="50"/>
      <c r="L2857" s="50"/>
    </row>
    <row r="2858" spans="10:12" x14ac:dyDescent="0.25">
      <c r="J2858" s="50"/>
      <c r="L2858" s="50"/>
    </row>
    <row r="2859" spans="10:12" x14ac:dyDescent="0.25">
      <c r="J2859" s="50"/>
      <c r="L2859" s="50"/>
    </row>
    <row r="2860" spans="10:12" x14ac:dyDescent="0.25">
      <c r="J2860" s="50"/>
      <c r="L2860" s="50"/>
    </row>
    <row r="2861" spans="10:12" x14ac:dyDescent="0.25">
      <c r="J2861" s="50"/>
      <c r="L2861" s="50"/>
    </row>
    <row r="2862" spans="10:12" x14ac:dyDescent="0.25">
      <c r="J2862" s="50"/>
      <c r="L2862" s="50"/>
    </row>
    <row r="2863" spans="10:12" x14ac:dyDescent="0.25">
      <c r="J2863" s="50"/>
      <c r="L2863" s="50"/>
    </row>
    <row r="2864" spans="10:12" x14ac:dyDescent="0.25">
      <c r="J2864" s="50"/>
      <c r="L2864" s="50"/>
    </row>
    <row r="2865" spans="10:12" x14ac:dyDescent="0.25">
      <c r="J2865" s="50"/>
      <c r="L2865" s="50"/>
    </row>
    <row r="2866" spans="10:12" x14ac:dyDescent="0.25">
      <c r="J2866" s="50"/>
      <c r="L2866" s="50"/>
    </row>
    <row r="2867" spans="10:12" x14ac:dyDescent="0.25">
      <c r="J2867" s="50"/>
      <c r="L2867" s="50"/>
    </row>
    <row r="2868" spans="10:12" x14ac:dyDescent="0.25">
      <c r="J2868" s="50"/>
      <c r="L2868" s="50"/>
    </row>
    <row r="2869" spans="10:12" x14ac:dyDescent="0.25">
      <c r="J2869" s="50"/>
      <c r="L2869" s="50"/>
    </row>
    <row r="2870" spans="10:12" x14ac:dyDescent="0.25">
      <c r="J2870" s="50"/>
      <c r="L2870" s="50"/>
    </row>
    <row r="2871" spans="10:12" x14ac:dyDescent="0.25">
      <c r="J2871" s="50"/>
      <c r="L2871" s="50"/>
    </row>
    <row r="2872" spans="10:12" x14ac:dyDescent="0.25">
      <c r="J2872" s="50"/>
      <c r="L2872" s="50"/>
    </row>
    <row r="2873" spans="10:12" x14ac:dyDescent="0.25">
      <c r="J2873" s="50"/>
      <c r="L2873" s="50"/>
    </row>
    <row r="2874" spans="10:12" x14ac:dyDescent="0.25">
      <c r="J2874" s="50"/>
      <c r="L2874" s="50"/>
    </row>
    <row r="2875" spans="10:12" x14ac:dyDescent="0.25">
      <c r="J2875" s="50"/>
      <c r="L2875" s="50"/>
    </row>
    <row r="2876" spans="10:12" x14ac:dyDescent="0.25">
      <c r="J2876" s="50"/>
      <c r="L2876" s="50"/>
    </row>
    <row r="2877" spans="10:12" x14ac:dyDescent="0.25">
      <c r="J2877" s="50"/>
      <c r="L2877" s="50"/>
    </row>
    <row r="2878" spans="10:12" x14ac:dyDescent="0.25">
      <c r="J2878" s="50"/>
      <c r="L2878" s="50"/>
    </row>
    <row r="2879" spans="10:12" x14ac:dyDescent="0.25">
      <c r="J2879" s="50"/>
      <c r="L2879" s="50"/>
    </row>
    <row r="2880" spans="10:12" x14ac:dyDescent="0.25">
      <c r="J2880" s="50"/>
      <c r="L2880" s="50"/>
    </row>
    <row r="2881" spans="10:12" x14ac:dyDescent="0.25">
      <c r="J2881" s="50"/>
      <c r="L2881" s="50"/>
    </row>
    <row r="2882" spans="10:12" x14ac:dyDescent="0.25">
      <c r="J2882" s="50"/>
      <c r="L2882" s="50"/>
    </row>
    <row r="2883" spans="10:12" x14ac:dyDescent="0.25">
      <c r="J2883" s="50"/>
      <c r="L2883" s="50"/>
    </row>
    <row r="2884" spans="10:12" x14ac:dyDescent="0.25">
      <c r="J2884" s="50"/>
      <c r="L2884" s="50"/>
    </row>
    <row r="2885" spans="10:12" x14ac:dyDescent="0.25">
      <c r="J2885" s="50"/>
      <c r="L2885" s="50"/>
    </row>
    <row r="2886" spans="10:12" x14ac:dyDescent="0.25">
      <c r="J2886" s="50"/>
      <c r="L2886" s="50"/>
    </row>
    <row r="2887" spans="10:12" x14ac:dyDescent="0.25">
      <c r="J2887" s="50"/>
      <c r="L2887" s="50"/>
    </row>
    <row r="2888" spans="10:12" x14ac:dyDescent="0.25">
      <c r="J2888" s="50"/>
      <c r="L2888" s="50"/>
    </row>
    <row r="2889" spans="10:12" x14ac:dyDescent="0.25">
      <c r="J2889" s="50"/>
      <c r="L2889" s="50"/>
    </row>
    <row r="2890" spans="10:12" x14ac:dyDescent="0.25">
      <c r="J2890" s="50"/>
      <c r="L2890" s="50"/>
    </row>
    <row r="2891" spans="10:12" x14ac:dyDescent="0.25">
      <c r="J2891" s="50"/>
      <c r="L2891" s="50"/>
    </row>
    <row r="2892" spans="10:12" x14ac:dyDescent="0.25">
      <c r="J2892" s="50"/>
      <c r="L2892" s="50"/>
    </row>
    <row r="2893" spans="10:12" x14ac:dyDescent="0.25">
      <c r="J2893" s="50"/>
      <c r="L2893" s="50"/>
    </row>
    <row r="2894" spans="10:12" x14ac:dyDescent="0.25">
      <c r="J2894" s="50"/>
      <c r="L2894" s="50"/>
    </row>
    <row r="2895" spans="10:12" x14ac:dyDescent="0.25">
      <c r="J2895" s="50"/>
      <c r="L2895" s="50"/>
    </row>
    <row r="2896" spans="10:12" x14ac:dyDescent="0.25">
      <c r="J2896" s="50"/>
      <c r="L2896" s="50"/>
    </row>
    <row r="2897" spans="10:12" x14ac:dyDescent="0.25">
      <c r="J2897" s="50"/>
      <c r="L2897" s="50"/>
    </row>
    <row r="2898" spans="10:12" x14ac:dyDescent="0.25">
      <c r="J2898" s="50"/>
      <c r="L2898" s="50"/>
    </row>
    <row r="2899" spans="10:12" x14ac:dyDescent="0.25">
      <c r="J2899" s="50"/>
      <c r="L2899" s="50"/>
    </row>
    <row r="2900" spans="10:12" x14ac:dyDescent="0.25">
      <c r="J2900" s="50"/>
      <c r="L2900" s="50"/>
    </row>
    <row r="2901" spans="10:12" x14ac:dyDescent="0.25">
      <c r="J2901" s="50"/>
      <c r="L2901" s="50"/>
    </row>
    <row r="2902" spans="10:12" x14ac:dyDescent="0.25">
      <c r="J2902" s="50"/>
      <c r="L2902" s="50"/>
    </row>
    <row r="2903" spans="10:12" x14ac:dyDescent="0.25">
      <c r="J2903" s="50"/>
      <c r="L2903" s="50"/>
    </row>
    <row r="2904" spans="10:12" x14ac:dyDescent="0.25">
      <c r="J2904" s="50"/>
      <c r="L2904" s="50"/>
    </row>
    <row r="2905" spans="10:12" x14ac:dyDescent="0.25">
      <c r="J2905" s="50"/>
      <c r="L2905" s="50"/>
    </row>
    <row r="2906" spans="10:12" x14ac:dyDescent="0.25">
      <c r="J2906" s="50"/>
      <c r="L2906" s="50"/>
    </row>
    <row r="2907" spans="10:12" x14ac:dyDescent="0.25">
      <c r="J2907" s="50"/>
      <c r="L2907" s="50"/>
    </row>
    <row r="2908" spans="10:12" x14ac:dyDescent="0.25">
      <c r="J2908" s="50"/>
      <c r="L2908" s="50"/>
    </row>
    <row r="2909" spans="10:12" x14ac:dyDescent="0.25">
      <c r="J2909" s="50"/>
      <c r="L2909" s="50"/>
    </row>
    <row r="2910" spans="10:12" x14ac:dyDescent="0.25">
      <c r="J2910" s="50"/>
      <c r="L2910" s="50"/>
    </row>
    <row r="2911" spans="10:12" x14ac:dyDescent="0.25">
      <c r="J2911" s="50"/>
      <c r="L2911" s="50"/>
    </row>
    <row r="2912" spans="10:12" x14ac:dyDescent="0.25">
      <c r="J2912" s="50"/>
      <c r="L2912" s="50"/>
    </row>
    <row r="2913" spans="10:12" x14ac:dyDescent="0.25">
      <c r="J2913" s="50"/>
      <c r="L2913" s="50"/>
    </row>
    <row r="2914" spans="10:12" x14ac:dyDescent="0.25">
      <c r="J2914" s="50"/>
      <c r="L2914" s="50"/>
    </row>
    <row r="2915" spans="10:12" x14ac:dyDescent="0.25">
      <c r="J2915" s="50"/>
      <c r="L2915" s="50"/>
    </row>
    <row r="2916" spans="10:12" x14ac:dyDescent="0.25">
      <c r="J2916" s="50"/>
      <c r="L2916" s="50"/>
    </row>
    <row r="2917" spans="10:12" x14ac:dyDescent="0.25">
      <c r="J2917" s="50"/>
      <c r="L2917" s="50"/>
    </row>
    <row r="2918" spans="10:12" x14ac:dyDescent="0.25">
      <c r="J2918" s="50"/>
      <c r="L2918" s="50"/>
    </row>
    <row r="2919" spans="10:12" x14ac:dyDescent="0.25">
      <c r="J2919" s="50"/>
      <c r="L2919" s="50"/>
    </row>
    <row r="2920" spans="10:12" x14ac:dyDescent="0.25">
      <c r="J2920" s="50"/>
      <c r="L2920" s="50"/>
    </row>
    <row r="2921" spans="10:12" x14ac:dyDescent="0.25">
      <c r="J2921" s="50"/>
      <c r="L2921" s="50"/>
    </row>
    <row r="2922" spans="10:12" x14ac:dyDescent="0.25">
      <c r="J2922" s="50"/>
      <c r="L2922" s="50"/>
    </row>
    <row r="2923" spans="10:12" x14ac:dyDescent="0.25">
      <c r="J2923" s="50"/>
      <c r="L2923" s="50"/>
    </row>
    <row r="2924" spans="10:12" x14ac:dyDescent="0.25">
      <c r="J2924" s="50"/>
      <c r="L2924" s="50"/>
    </row>
    <row r="2925" spans="10:12" x14ac:dyDescent="0.25">
      <c r="J2925" s="50"/>
      <c r="L2925" s="50"/>
    </row>
    <row r="2926" spans="10:12" x14ac:dyDescent="0.25">
      <c r="J2926" s="50"/>
      <c r="L2926" s="50"/>
    </row>
    <row r="2927" spans="10:12" x14ac:dyDescent="0.25">
      <c r="J2927" s="50"/>
      <c r="L2927" s="50"/>
    </row>
    <row r="2928" spans="10:12" x14ac:dyDescent="0.25">
      <c r="J2928" s="50"/>
      <c r="L2928" s="50"/>
    </row>
    <row r="2929" spans="10:12" x14ac:dyDescent="0.25">
      <c r="J2929" s="50"/>
      <c r="L2929" s="50"/>
    </row>
    <row r="2930" spans="10:12" x14ac:dyDescent="0.25">
      <c r="J2930" s="50"/>
      <c r="L2930" s="50"/>
    </row>
    <row r="2931" spans="10:12" x14ac:dyDescent="0.25">
      <c r="J2931" s="50"/>
      <c r="L2931" s="50"/>
    </row>
    <row r="2932" spans="10:12" x14ac:dyDescent="0.25">
      <c r="J2932" s="50"/>
      <c r="L2932" s="50"/>
    </row>
    <row r="2933" spans="10:12" x14ac:dyDescent="0.25">
      <c r="J2933" s="50"/>
      <c r="L2933" s="50"/>
    </row>
    <row r="2934" spans="10:12" x14ac:dyDescent="0.25">
      <c r="J2934" s="50"/>
      <c r="L2934" s="50"/>
    </row>
    <row r="2935" spans="10:12" x14ac:dyDescent="0.25">
      <c r="J2935" s="50"/>
      <c r="L2935" s="50"/>
    </row>
    <row r="2936" spans="10:12" x14ac:dyDescent="0.25">
      <c r="J2936" s="50"/>
      <c r="L2936" s="50"/>
    </row>
    <row r="2937" spans="10:12" x14ac:dyDescent="0.25">
      <c r="J2937" s="50"/>
      <c r="L2937" s="50"/>
    </row>
    <row r="2938" spans="10:12" x14ac:dyDescent="0.25">
      <c r="J2938" s="50"/>
      <c r="L2938" s="50"/>
    </row>
    <row r="2939" spans="10:12" x14ac:dyDescent="0.25">
      <c r="J2939" s="50"/>
      <c r="L2939" s="50"/>
    </row>
    <row r="2940" spans="10:12" x14ac:dyDescent="0.25">
      <c r="J2940" s="50"/>
      <c r="L2940" s="50"/>
    </row>
    <row r="2941" spans="10:12" x14ac:dyDescent="0.25">
      <c r="J2941" s="50"/>
      <c r="L2941" s="50"/>
    </row>
    <row r="2942" spans="10:12" x14ac:dyDescent="0.25">
      <c r="J2942" s="50"/>
      <c r="L2942" s="50"/>
    </row>
    <row r="2943" spans="10:12" x14ac:dyDescent="0.25">
      <c r="J2943" s="50"/>
      <c r="L2943" s="50"/>
    </row>
    <row r="2944" spans="10:12" x14ac:dyDescent="0.25">
      <c r="J2944" s="50"/>
      <c r="L2944" s="50"/>
    </row>
    <row r="2945" spans="10:12" x14ac:dyDescent="0.25">
      <c r="J2945" s="50"/>
      <c r="L2945" s="50"/>
    </row>
    <row r="2946" spans="10:12" x14ac:dyDescent="0.25">
      <c r="J2946" s="50"/>
      <c r="L2946" s="50"/>
    </row>
    <row r="2947" spans="10:12" x14ac:dyDescent="0.25">
      <c r="J2947" s="50"/>
      <c r="L2947" s="50"/>
    </row>
    <row r="2948" spans="10:12" x14ac:dyDescent="0.25">
      <c r="J2948" s="50"/>
      <c r="L2948" s="50"/>
    </row>
    <row r="2949" spans="10:12" x14ac:dyDescent="0.25">
      <c r="J2949" s="50"/>
      <c r="L2949" s="50"/>
    </row>
    <row r="2950" spans="10:12" x14ac:dyDescent="0.25">
      <c r="J2950" s="50"/>
      <c r="L2950" s="50"/>
    </row>
  </sheetData>
  <mergeCells count="1">
    <mergeCell ref="F1:H1"/>
  </mergeCells>
  <phoneticPr fontId="14" type="noConversion"/>
  <pageMargins left="0.75" right="0.75" top="1" bottom="1" header="0.5" footer="0.5"/>
  <pageSetup paperSize="3" scale="57" fitToHeight="0" orientation="landscape" horizontalDpi="4294967292" verticalDpi="4294967292"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108040"/>
  </sheetPr>
  <dimension ref="A1:O354"/>
  <sheetViews>
    <sheetView zoomScaleNormal="100" workbookViewId="0">
      <pane ySplit="4" topLeftCell="A5" activePane="bottomLeft" state="frozen"/>
      <selection pane="bottomLeft" activeCell="Y13" sqref="Y13"/>
    </sheetView>
  </sheetViews>
  <sheetFormatPr defaultColWidth="11" defaultRowHeight="15.75" x14ac:dyDescent="0.25"/>
  <cols>
    <col min="1" max="1" width="31.75" customWidth="1"/>
    <col min="2" max="10" width="14.875" customWidth="1"/>
    <col min="11" max="11" width="14.875" style="278" customWidth="1"/>
    <col min="12" max="12" width="14.875" customWidth="1"/>
    <col min="13" max="13" width="14.875" hidden="1" customWidth="1"/>
    <col min="14" max="14" width="11" style="124"/>
    <col min="15" max="15" width="12.125" bestFit="1" customWidth="1"/>
    <col min="16" max="16" width="13.25" customWidth="1"/>
  </cols>
  <sheetData>
    <row r="1" spans="1:15" ht="18.75" x14ac:dyDescent="0.3">
      <c r="A1" s="36" t="s">
        <v>89</v>
      </c>
      <c r="F1" s="1020" t="s">
        <v>154</v>
      </c>
      <c r="G1" s="1020"/>
      <c r="H1" s="1020"/>
      <c r="J1" s="743"/>
      <c r="K1" s="295"/>
      <c r="L1" s="743"/>
      <c r="M1" s="743"/>
    </row>
    <row r="2" spans="1:15" x14ac:dyDescent="0.25">
      <c r="A2" s="2"/>
    </row>
    <row r="3" spans="1:15" x14ac:dyDescent="0.25">
      <c r="A3" s="2"/>
      <c r="B3" s="435" t="s">
        <v>58</v>
      </c>
      <c r="C3" s="360" t="s">
        <v>58</v>
      </c>
      <c r="D3" s="360" t="s">
        <v>58</v>
      </c>
      <c r="E3" s="360" t="s">
        <v>58</v>
      </c>
      <c r="F3" s="360" t="s">
        <v>58</v>
      </c>
      <c r="G3" s="360" t="s">
        <v>58</v>
      </c>
      <c r="H3" s="360" t="s">
        <v>58</v>
      </c>
      <c r="I3" s="360" t="s">
        <v>58</v>
      </c>
      <c r="J3" s="436" t="s">
        <v>58</v>
      </c>
      <c r="K3" s="435" t="s">
        <v>58</v>
      </c>
      <c r="L3" s="441" t="s">
        <v>58</v>
      </c>
      <c r="M3" s="360" t="s">
        <v>58</v>
      </c>
    </row>
    <row r="4" spans="1:15" x14ac:dyDescent="0.25">
      <c r="A4" s="2"/>
      <c r="B4" s="437" t="s">
        <v>55</v>
      </c>
      <c r="C4" s="205" t="s">
        <v>55</v>
      </c>
      <c r="D4" s="205" t="s">
        <v>55</v>
      </c>
      <c r="E4" s="205" t="s">
        <v>55</v>
      </c>
      <c r="F4" s="205" t="s">
        <v>55</v>
      </c>
      <c r="G4" s="205" t="s">
        <v>55</v>
      </c>
      <c r="H4" s="205" t="s">
        <v>55</v>
      </c>
      <c r="I4" s="205" t="s">
        <v>55</v>
      </c>
      <c r="J4" s="438" t="s">
        <v>55</v>
      </c>
      <c r="K4" s="437" t="s">
        <v>151</v>
      </c>
      <c r="L4" s="442" t="s">
        <v>56</v>
      </c>
      <c r="M4" s="205" t="s">
        <v>253</v>
      </c>
    </row>
    <row r="5" spans="1:15" ht="19.5" thickBot="1" x14ac:dyDescent="0.35">
      <c r="A5" s="351"/>
      <c r="B5" s="439">
        <v>2009</v>
      </c>
      <c r="C5" s="367">
        <v>2010</v>
      </c>
      <c r="D5" s="367">
        <v>2011</v>
      </c>
      <c r="E5" s="367">
        <v>2012</v>
      </c>
      <c r="F5" s="367">
        <v>2013</v>
      </c>
      <c r="G5" s="367">
        <v>2014</v>
      </c>
      <c r="H5" s="367">
        <v>2015</v>
      </c>
      <c r="I5" s="367">
        <v>2016</v>
      </c>
      <c r="J5" s="440">
        <v>2017</v>
      </c>
      <c r="K5" s="439">
        <v>2018</v>
      </c>
      <c r="L5" s="456">
        <v>2019</v>
      </c>
      <c r="M5" s="367">
        <v>2018</v>
      </c>
      <c r="O5" s="2"/>
    </row>
    <row r="6" spans="1:15" s="278" customFormat="1" ht="18.75" x14ac:dyDescent="0.3">
      <c r="A6" s="850" t="s">
        <v>333</v>
      </c>
      <c r="B6" s="378"/>
      <c r="C6" s="371"/>
      <c r="D6" s="371"/>
      <c r="E6" s="371"/>
      <c r="F6" s="371"/>
      <c r="G6" s="371"/>
      <c r="H6" s="371"/>
      <c r="I6" s="371"/>
      <c r="J6" s="379"/>
      <c r="K6" s="463"/>
      <c r="L6" s="464"/>
      <c r="M6" s="379"/>
      <c r="N6" s="126"/>
      <c r="O6" s="2"/>
    </row>
    <row r="7" spans="1:15" x14ac:dyDescent="0.25">
      <c r="A7" s="851" t="s">
        <v>92</v>
      </c>
      <c r="B7" s="380">
        <v>0</v>
      </c>
      <c r="C7" s="315">
        <v>0</v>
      </c>
      <c r="D7" s="315">
        <v>0</v>
      </c>
      <c r="E7" s="315">
        <v>0</v>
      </c>
      <c r="F7" s="315">
        <v>0</v>
      </c>
      <c r="G7" s="315">
        <v>0</v>
      </c>
      <c r="H7" s="315">
        <v>0</v>
      </c>
      <c r="I7" s="315">
        <v>0</v>
      </c>
      <c r="J7" s="381">
        <v>0</v>
      </c>
      <c r="K7" s="315">
        <v>0</v>
      </c>
      <c r="L7" s="372">
        <v>0</v>
      </c>
      <c r="M7" s="381">
        <v>0</v>
      </c>
      <c r="N7" s="121"/>
      <c r="O7" s="3"/>
    </row>
    <row r="8" spans="1:15" x14ac:dyDescent="0.25">
      <c r="A8" s="852" t="s">
        <v>88</v>
      </c>
      <c r="B8" s="380">
        <v>0</v>
      </c>
      <c r="C8" s="315">
        <v>0</v>
      </c>
      <c r="D8" s="315">
        <v>0</v>
      </c>
      <c r="E8" s="315">
        <v>0</v>
      </c>
      <c r="F8" s="315">
        <v>0</v>
      </c>
      <c r="G8" s="315">
        <v>0</v>
      </c>
      <c r="H8" s="315">
        <v>0</v>
      </c>
      <c r="I8" s="315">
        <v>0</v>
      </c>
      <c r="J8" s="381">
        <v>0</v>
      </c>
      <c r="K8" s="315">
        <v>0</v>
      </c>
      <c r="L8" s="372">
        <v>0</v>
      </c>
      <c r="M8" s="381">
        <v>0</v>
      </c>
      <c r="N8" s="121"/>
      <c r="O8" s="3"/>
    </row>
    <row r="9" spans="1:15" x14ac:dyDescent="0.25">
      <c r="A9" s="853" t="s">
        <v>93</v>
      </c>
      <c r="B9" s="380">
        <f>81219242-9852418+394029-8979056+1142132-1389332</f>
        <v>62534597</v>
      </c>
      <c r="C9" s="315">
        <v>64214587</v>
      </c>
      <c r="D9" s="315">
        <f>48956335+2233023+7336279+1326725+8089069+1966081+6549810</f>
        <v>76457322</v>
      </c>
      <c r="E9" s="315">
        <f>51787002+2216992+7255159+1140270+9507820+1924408+1853220</f>
        <v>75684871</v>
      </c>
      <c r="F9" s="315">
        <f>56123745+2118166+8090487+947202+15467373+1575085+2616673</f>
        <v>86938731</v>
      </c>
      <c r="G9" s="315">
        <f>15311963+4641409+1974242+10531519+1672628+57654730+3425063</f>
        <v>95211554</v>
      </c>
      <c r="H9" s="315">
        <f>29255171+3107507+4809507+10991791+1903982+59527633+3783981+125665</f>
        <v>113505237</v>
      </c>
      <c r="I9" s="315">
        <f>20168413+3299202+3214259+12883185+1776222+61928508+9252789</f>
        <v>112522578</v>
      </c>
      <c r="J9" s="381">
        <f>19425374+15790828+14613733+74107764+1096191</f>
        <v>125033890</v>
      </c>
      <c r="K9" s="315">
        <f>24607945+2023971+40691451+73097910</f>
        <v>140421277</v>
      </c>
      <c r="L9" s="372">
        <f>23887971+39374503+17951592+75410722</f>
        <v>156624788</v>
      </c>
      <c r="M9" s="381">
        <f>24039847+2023971+16340451+73057910</f>
        <v>115462179</v>
      </c>
      <c r="N9" s="121"/>
      <c r="O9" s="3"/>
    </row>
    <row r="10" spans="1:15" x14ac:dyDescent="0.25">
      <c r="A10" s="854" t="s">
        <v>78</v>
      </c>
      <c r="B10" s="380">
        <v>0</v>
      </c>
      <c r="C10" s="315">
        <v>0</v>
      </c>
      <c r="D10" s="315">
        <v>0</v>
      </c>
      <c r="E10" s="315">
        <v>0</v>
      </c>
      <c r="F10" s="315">
        <v>0</v>
      </c>
      <c r="G10" s="315">
        <v>0</v>
      </c>
      <c r="H10" s="315">
        <v>0</v>
      </c>
      <c r="I10" s="315">
        <v>0</v>
      </c>
      <c r="J10" s="381">
        <v>0</v>
      </c>
      <c r="K10" s="315">
        <v>0</v>
      </c>
      <c r="L10" s="372">
        <v>0</v>
      </c>
      <c r="M10" s="381">
        <v>0</v>
      </c>
      <c r="N10" s="121"/>
      <c r="O10" s="3"/>
    </row>
    <row r="11" spans="1:15" ht="16.5" thickBot="1" x14ac:dyDescent="0.3">
      <c r="A11" s="856"/>
      <c r="B11" s="382"/>
      <c r="C11" s="369"/>
      <c r="D11" s="369"/>
      <c r="E11" s="369"/>
      <c r="F11" s="369"/>
      <c r="G11" s="369"/>
      <c r="H11" s="369"/>
      <c r="I11" s="369"/>
      <c r="J11" s="383"/>
      <c r="K11" s="369"/>
      <c r="L11" s="373"/>
      <c r="M11" s="383"/>
      <c r="N11" s="121"/>
      <c r="O11" s="2"/>
    </row>
    <row r="12" spans="1:15" ht="17.25" thickTop="1" thickBot="1" x14ac:dyDescent="0.3">
      <c r="A12" s="857" t="s">
        <v>100</v>
      </c>
      <c r="B12" s="431">
        <f>SUM(B7:B10)</f>
        <v>62534597</v>
      </c>
      <c r="C12" s="432">
        <f t="shared" ref="C12:J12" si="0">SUM(C7:C10)</f>
        <v>64214587</v>
      </c>
      <c r="D12" s="432">
        <f t="shared" si="0"/>
        <v>76457322</v>
      </c>
      <c r="E12" s="432">
        <f t="shared" si="0"/>
        <v>75684871</v>
      </c>
      <c r="F12" s="432">
        <f t="shared" si="0"/>
        <v>86938731</v>
      </c>
      <c r="G12" s="432">
        <f t="shared" si="0"/>
        <v>95211554</v>
      </c>
      <c r="H12" s="432">
        <f t="shared" si="0"/>
        <v>113505237</v>
      </c>
      <c r="I12" s="432">
        <f t="shared" si="0"/>
        <v>112522578</v>
      </c>
      <c r="J12" s="433">
        <f t="shared" si="0"/>
        <v>125033890</v>
      </c>
      <c r="K12" s="432">
        <f>SUM(K7:K10)</f>
        <v>140421277</v>
      </c>
      <c r="L12" s="434">
        <f>SUM(L7:L10)</f>
        <v>156624788</v>
      </c>
      <c r="M12" s="433">
        <f>SUM(M7:M10)</f>
        <v>115462179</v>
      </c>
      <c r="N12" s="126"/>
      <c r="O12" s="2"/>
    </row>
    <row r="13" spans="1:15" x14ac:dyDescent="0.25">
      <c r="A13" s="858"/>
      <c r="B13" s="407"/>
      <c r="C13" s="312"/>
      <c r="D13" s="312"/>
      <c r="E13" s="312"/>
      <c r="F13" s="312"/>
      <c r="G13" s="312"/>
      <c r="H13" s="312"/>
      <c r="I13" s="312"/>
      <c r="J13" s="823"/>
      <c r="K13" s="312"/>
      <c r="L13" s="444"/>
      <c r="M13" s="312"/>
      <c r="N13" s="126"/>
      <c r="O13" s="2"/>
    </row>
    <row r="14" spans="1:15" ht="16.5" thickBot="1" x14ac:dyDescent="0.3">
      <c r="A14" s="874"/>
      <c r="B14" s="380"/>
      <c r="C14" s="313"/>
      <c r="D14" s="313"/>
      <c r="E14" s="313"/>
      <c r="F14" s="313"/>
      <c r="G14" s="313"/>
      <c r="H14" s="313"/>
      <c r="I14" s="313"/>
      <c r="J14" s="822"/>
      <c r="K14" s="313"/>
      <c r="L14" s="372"/>
      <c r="M14" s="313"/>
      <c r="N14" s="126"/>
      <c r="O14" s="2"/>
    </row>
    <row r="15" spans="1:15" ht="18.75" x14ac:dyDescent="0.3">
      <c r="A15" s="860" t="s">
        <v>332</v>
      </c>
      <c r="B15" s="521">
        <v>2009</v>
      </c>
      <c r="C15" s="522">
        <v>2010</v>
      </c>
      <c r="D15" s="522">
        <v>2011</v>
      </c>
      <c r="E15" s="522">
        <v>2012</v>
      </c>
      <c r="F15" s="522">
        <v>2013</v>
      </c>
      <c r="G15" s="522">
        <v>2014</v>
      </c>
      <c r="H15" s="522">
        <v>2015</v>
      </c>
      <c r="I15" s="522">
        <v>2016</v>
      </c>
      <c r="J15" s="523">
        <v>2017</v>
      </c>
      <c r="K15" s="522">
        <v>2018</v>
      </c>
      <c r="L15" s="524">
        <v>2019</v>
      </c>
      <c r="M15" s="379">
        <v>2018</v>
      </c>
      <c r="N15" s="126"/>
      <c r="O15" s="2"/>
    </row>
    <row r="16" spans="1:15" x14ac:dyDescent="0.25">
      <c r="A16" s="851" t="s">
        <v>92</v>
      </c>
      <c r="B16" s="380">
        <v>0</v>
      </c>
      <c r="C16" s="315">
        <v>0</v>
      </c>
      <c r="D16" s="315">
        <v>0</v>
      </c>
      <c r="E16" s="315">
        <v>0</v>
      </c>
      <c r="F16" s="315">
        <v>0</v>
      </c>
      <c r="G16" s="315">
        <v>0</v>
      </c>
      <c r="H16" s="315">
        <v>0</v>
      </c>
      <c r="I16" s="315">
        <v>0</v>
      </c>
      <c r="J16" s="381">
        <v>0</v>
      </c>
      <c r="K16" s="315">
        <v>0</v>
      </c>
      <c r="L16" s="372">
        <v>0</v>
      </c>
      <c r="M16" s="381">
        <v>0</v>
      </c>
      <c r="N16" s="121"/>
      <c r="O16" s="10"/>
    </row>
    <row r="17" spans="1:15" x14ac:dyDescent="0.25">
      <c r="A17" s="852" t="s">
        <v>88</v>
      </c>
      <c r="B17" s="380">
        <v>0</v>
      </c>
      <c r="C17" s="315">
        <v>0</v>
      </c>
      <c r="D17" s="315">
        <v>0</v>
      </c>
      <c r="E17" s="315">
        <v>0</v>
      </c>
      <c r="F17" s="315">
        <v>0</v>
      </c>
      <c r="G17" s="315">
        <v>0</v>
      </c>
      <c r="H17" s="315">
        <v>0</v>
      </c>
      <c r="I17" s="315">
        <v>0</v>
      </c>
      <c r="J17" s="381">
        <v>0</v>
      </c>
      <c r="K17" s="315">
        <v>0</v>
      </c>
      <c r="L17" s="372">
        <v>0</v>
      </c>
      <c r="M17" s="381">
        <v>0</v>
      </c>
      <c r="N17" s="121"/>
      <c r="O17" s="2"/>
    </row>
    <row r="18" spans="1:15" x14ac:dyDescent="0.25">
      <c r="A18" s="853" t="s">
        <v>93</v>
      </c>
      <c r="B18" s="380">
        <v>60470566</v>
      </c>
      <c r="C18" s="315">
        <v>60363532</v>
      </c>
      <c r="D18" s="315">
        <f>44901335+1090988+14608461+7670986+1259343+9639446+336140</f>
        <v>79506699</v>
      </c>
      <c r="E18" s="315">
        <f>52469552+879687+3219023+7776388+327942+9512984+710320</f>
        <v>74895896</v>
      </c>
      <c r="F18" s="315">
        <f>57822581+7183338+915187+8021625+635649+12159515+1571413</f>
        <v>88309308</v>
      </c>
      <c r="G18" s="315">
        <f>23339473+5140118+1024120+10247813+591756+62444536+3514182</f>
        <v>106301998</v>
      </c>
      <c r="H18" s="315">
        <f>25956048+9154513+6027501+6995825+3236084+11627296+390745+61751894+4166498</f>
        <v>129306404</v>
      </c>
      <c r="I18" s="315">
        <f>21040725+4030988+2339030+12296497+1345307+69794208+9343698</f>
        <v>120190453</v>
      </c>
      <c r="J18" s="381">
        <f>24137965+1287332+313019+93498+24535109+624913+80094353</f>
        <v>131086189</v>
      </c>
      <c r="K18" s="315">
        <f>29340010+5572000+54218522+87354542</f>
        <v>176485074</v>
      </c>
      <c r="L18" s="372">
        <f>24845657+55824100+18441634+76932012</f>
        <v>176043403</v>
      </c>
      <c r="M18" s="381">
        <f>26893182+5407100+24848581+75580527</f>
        <v>132729390</v>
      </c>
      <c r="N18" s="121"/>
    </row>
    <row r="19" spans="1:15" x14ac:dyDescent="0.25">
      <c r="A19" s="854" t="s">
        <v>78</v>
      </c>
      <c r="B19" s="380">
        <v>0</v>
      </c>
      <c r="C19" s="315">
        <v>0</v>
      </c>
      <c r="D19" s="315">
        <v>0</v>
      </c>
      <c r="E19" s="315">
        <v>0</v>
      </c>
      <c r="F19" s="315">
        <v>0</v>
      </c>
      <c r="G19" s="315">
        <v>0</v>
      </c>
      <c r="H19" s="315">
        <v>0</v>
      </c>
      <c r="I19" s="315">
        <v>0</v>
      </c>
      <c r="J19" s="381">
        <v>0</v>
      </c>
      <c r="K19" s="315">
        <v>0</v>
      </c>
      <c r="L19" s="372">
        <v>0</v>
      </c>
      <c r="M19" s="381">
        <v>0</v>
      </c>
      <c r="N19" s="121"/>
      <c r="O19" s="1"/>
    </row>
    <row r="20" spans="1:15" ht="16.5" thickBot="1" x14ac:dyDescent="0.3">
      <c r="A20" s="856"/>
      <c r="B20" s="382"/>
      <c r="C20" s="369"/>
      <c r="D20" s="369"/>
      <c r="E20" s="369"/>
      <c r="F20" s="369"/>
      <c r="G20" s="369"/>
      <c r="H20" s="369"/>
      <c r="I20" s="369"/>
      <c r="J20" s="383"/>
      <c r="K20" s="369"/>
      <c r="L20" s="373"/>
      <c r="M20" s="383"/>
      <c r="N20" s="121"/>
      <c r="O20" s="1"/>
    </row>
    <row r="21" spans="1:15" ht="17.25" thickTop="1" thickBot="1" x14ac:dyDescent="0.3">
      <c r="A21" s="896" t="s">
        <v>102</v>
      </c>
      <c r="B21" s="431">
        <f t="shared" ref="B21:L21" si="1">SUM(B16:B19)</f>
        <v>60470566</v>
      </c>
      <c r="C21" s="432">
        <f t="shared" si="1"/>
        <v>60363532</v>
      </c>
      <c r="D21" s="432">
        <f t="shared" si="1"/>
        <v>79506699</v>
      </c>
      <c r="E21" s="432">
        <f t="shared" si="1"/>
        <v>74895896</v>
      </c>
      <c r="F21" s="432">
        <f t="shared" si="1"/>
        <v>88309308</v>
      </c>
      <c r="G21" s="432">
        <f t="shared" si="1"/>
        <v>106301998</v>
      </c>
      <c r="H21" s="432">
        <f t="shared" si="1"/>
        <v>129306404</v>
      </c>
      <c r="I21" s="432">
        <f t="shared" si="1"/>
        <v>120190453</v>
      </c>
      <c r="J21" s="433">
        <f t="shared" si="1"/>
        <v>131086189</v>
      </c>
      <c r="K21" s="432">
        <f>SUM(K16:K19)</f>
        <v>176485074</v>
      </c>
      <c r="L21" s="434">
        <f t="shared" si="1"/>
        <v>176043403</v>
      </c>
      <c r="M21" s="433">
        <f>SUM(M16:M19)</f>
        <v>132729390</v>
      </c>
      <c r="N21" s="126"/>
      <c r="O21" s="1"/>
    </row>
    <row r="22" spans="1:15" ht="18.75" x14ac:dyDescent="0.3">
      <c r="A22" s="861"/>
      <c r="B22" s="401"/>
      <c r="C22" s="120"/>
      <c r="D22" s="120"/>
      <c r="E22" s="120"/>
      <c r="F22" s="120"/>
      <c r="G22" s="120"/>
      <c r="H22" s="120"/>
      <c r="I22" s="120"/>
      <c r="J22" s="824"/>
      <c r="K22" s="120"/>
      <c r="L22" s="445"/>
      <c r="M22" s="120"/>
      <c r="N22" s="120"/>
      <c r="O22" s="1"/>
    </row>
    <row r="23" spans="1:15" x14ac:dyDescent="0.25">
      <c r="A23" s="875"/>
      <c r="B23" s="392"/>
      <c r="J23" s="825"/>
      <c r="L23" s="163"/>
      <c r="N23" s="120"/>
      <c r="O23" s="1"/>
    </row>
    <row r="24" spans="1:15" ht="18.75" x14ac:dyDescent="0.3">
      <c r="A24" s="876"/>
      <c r="B24" s="386">
        <v>2009</v>
      </c>
      <c r="C24" s="210">
        <v>2010</v>
      </c>
      <c r="D24" s="210">
        <v>2011</v>
      </c>
      <c r="E24" s="210">
        <v>2012</v>
      </c>
      <c r="F24" s="210">
        <v>2013</v>
      </c>
      <c r="G24" s="210">
        <v>2014</v>
      </c>
      <c r="H24" s="210">
        <v>2015</v>
      </c>
      <c r="I24" s="210">
        <v>2016</v>
      </c>
      <c r="J24" s="387">
        <v>2017</v>
      </c>
      <c r="K24" s="210">
        <v>2018</v>
      </c>
      <c r="L24" s="447">
        <v>2019</v>
      </c>
      <c r="M24" s="387">
        <v>2018</v>
      </c>
      <c r="N24" s="120"/>
      <c r="O24" s="1"/>
    </row>
    <row r="25" spans="1:15" x14ac:dyDescent="0.25">
      <c r="A25" s="851" t="s">
        <v>152</v>
      </c>
      <c r="B25" s="708">
        <f t="shared" ref="B25:M25" si="2">+B12/B26</f>
        <v>990.06676482695286</v>
      </c>
      <c r="C25" s="709">
        <f t="shared" si="2"/>
        <v>947.92871482979535</v>
      </c>
      <c r="D25" s="709">
        <f t="shared" si="2"/>
        <v>1111.9285932432629</v>
      </c>
      <c r="E25" s="709">
        <f t="shared" si="2"/>
        <v>1091.4880229589996</v>
      </c>
      <c r="F25" s="709">
        <f t="shared" si="2"/>
        <v>1235.4516271138268</v>
      </c>
      <c r="G25" s="709">
        <f t="shared" si="2"/>
        <v>1340.4980359581568</v>
      </c>
      <c r="H25" s="709">
        <f t="shared" si="2"/>
        <v>1545.971628983928</v>
      </c>
      <c r="I25" s="709">
        <f t="shared" si="2"/>
        <v>1512.705222827183</v>
      </c>
      <c r="J25" s="710">
        <f t="shared" si="2"/>
        <v>1648.6536128691982</v>
      </c>
      <c r="K25" s="709">
        <f t="shared" si="2"/>
        <v>1817.4688333203903</v>
      </c>
      <c r="L25" s="711">
        <f t="shared" si="2"/>
        <v>1983.0943023550267</v>
      </c>
      <c r="M25" s="389">
        <f t="shared" si="2"/>
        <v>1494.4238953172323</v>
      </c>
      <c r="N25" s="120"/>
      <c r="O25" s="1"/>
    </row>
    <row r="26" spans="1:15" x14ac:dyDescent="0.25">
      <c r="A26" s="875" t="s">
        <v>340</v>
      </c>
      <c r="B26" s="515">
        <f>Stats!D4</f>
        <v>63162</v>
      </c>
      <c r="C26" s="125">
        <f>Stats!E4</f>
        <v>67742</v>
      </c>
      <c r="D26" s="125">
        <f>Stats!F4</f>
        <v>68761</v>
      </c>
      <c r="E26" s="125">
        <f>Stats!G4</f>
        <v>69341</v>
      </c>
      <c r="F26" s="125">
        <f>Stats!H4</f>
        <v>70370</v>
      </c>
      <c r="G26" s="125">
        <f>Stats!I4</f>
        <v>71027</v>
      </c>
      <c r="H26" s="125">
        <f>Stats!J4</f>
        <v>73420</v>
      </c>
      <c r="I26" s="125">
        <f>Stats!K4</f>
        <v>74385</v>
      </c>
      <c r="J26" s="483">
        <f>Stats!L4</f>
        <v>75840</v>
      </c>
      <c r="K26" s="125">
        <f>Stats!M4</f>
        <v>77262</v>
      </c>
      <c r="L26" s="486">
        <f>Stats!N4</f>
        <v>78980</v>
      </c>
      <c r="M26" s="404">
        <f>Stats!M4</f>
        <v>77262</v>
      </c>
      <c r="N26" s="120"/>
      <c r="O26" s="1"/>
    </row>
    <row r="27" spans="1:15" x14ac:dyDescent="0.25">
      <c r="A27" s="875"/>
      <c r="B27" s="392"/>
      <c r="C27" s="50"/>
      <c r="D27" s="50"/>
      <c r="E27" s="50"/>
      <c r="F27" s="50"/>
      <c r="G27" s="50"/>
      <c r="H27" s="50"/>
      <c r="I27" s="50"/>
      <c r="J27" s="393"/>
      <c r="K27" s="50"/>
      <c r="L27" s="163"/>
      <c r="M27" s="393"/>
      <c r="N27" s="120"/>
      <c r="O27" s="1"/>
    </row>
    <row r="28" spans="1:15" x14ac:dyDescent="0.25">
      <c r="A28" s="851" t="s">
        <v>130</v>
      </c>
      <c r="B28" s="708">
        <f t="shared" ref="B28:M28" si="3">+B21/B29</f>
        <v>489640.21052631584</v>
      </c>
      <c r="C28" s="709">
        <f t="shared" si="3"/>
        <v>530668.41318681324</v>
      </c>
      <c r="D28" s="709">
        <f t="shared" si="3"/>
        <v>700499.55066079297</v>
      </c>
      <c r="E28" s="709">
        <f t="shared" si="3"/>
        <v>638335.42998380633</v>
      </c>
      <c r="F28" s="709">
        <f t="shared" si="3"/>
        <v>788616.78871227009</v>
      </c>
      <c r="G28" s="709">
        <f t="shared" si="3"/>
        <v>874337.86807040626</v>
      </c>
      <c r="H28" s="709">
        <f t="shared" si="3"/>
        <v>1000436.3945841392</v>
      </c>
      <c r="I28" s="709">
        <f t="shared" si="3"/>
        <v>908812.49905482039</v>
      </c>
      <c r="J28" s="710">
        <f t="shared" si="3"/>
        <v>959284.22246615437</v>
      </c>
      <c r="K28" s="709">
        <f t="shared" si="3"/>
        <v>1228576.9161155587</v>
      </c>
      <c r="L28" s="711">
        <f t="shared" si="3"/>
        <v>1203509.8478892497</v>
      </c>
      <c r="M28" s="385">
        <f t="shared" si="3"/>
        <v>923977.65402018791</v>
      </c>
      <c r="N28" s="120"/>
      <c r="O28" s="1"/>
    </row>
    <row r="29" spans="1:15" x14ac:dyDescent="0.25">
      <c r="A29" s="875" t="s">
        <v>341</v>
      </c>
      <c r="B29" s="515">
        <f>+B39</f>
        <v>123.49999999999999</v>
      </c>
      <c r="C29" s="125">
        <f>+C39</f>
        <v>113.75</v>
      </c>
      <c r="D29" s="125">
        <f>+D39</f>
        <v>113.5</v>
      </c>
      <c r="E29" s="125">
        <f t="shared" ref="E29:L29" si="4">+E39</f>
        <v>117.33000000000001</v>
      </c>
      <c r="F29" s="125">
        <f t="shared" si="4"/>
        <v>111.97999999999999</v>
      </c>
      <c r="G29" s="125">
        <f t="shared" si="4"/>
        <v>121.58000000000001</v>
      </c>
      <c r="H29" s="125">
        <f t="shared" si="4"/>
        <v>129.25</v>
      </c>
      <c r="I29" s="125">
        <f t="shared" si="4"/>
        <v>132.25</v>
      </c>
      <c r="J29" s="483">
        <f t="shared" si="4"/>
        <v>136.65</v>
      </c>
      <c r="K29" s="125">
        <f t="shared" ref="K29" si="5">+K39</f>
        <v>143.65</v>
      </c>
      <c r="L29" s="486">
        <f t="shared" si="4"/>
        <v>146.27500000000001</v>
      </c>
      <c r="M29" s="406">
        <f>+M39</f>
        <v>143.65</v>
      </c>
      <c r="N29" s="120"/>
      <c r="O29" s="1"/>
    </row>
    <row r="30" spans="1:15" x14ac:dyDescent="0.25">
      <c r="A30" s="875"/>
      <c r="B30" s="392"/>
      <c r="J30" s="825"/>
      <c r="L30" s="163"/>
      <c r="N30" s="120"/>
      <c r="O30" s="1"/>
    </row>
    <row r="31" spans="1:15" x14ac:dyDescent="0.25">
      <c r="A31" s="877"/>
      <c r="B31" s="408"/>
      <c r="C31" s="124"/>
      <c r="D31" s="124"/>
      <c r="E31" s="124"/>
      <c r="F31" s="124"/>
      <c r="G31" s="124"/>
      <c r="H31" s="124"/>
      <c r="I31" s="124"/>
      <c r="J31" s="826"/>
      <c r="K31" s="124"/>
      <c r="L31" s="449"/>
      <c r="M31" s="124"/>
      <c r="N31" s="120"/>
      <c r="O31" s="1"/>
    </row>
    <row r="32" spans="1:15" x14ac:dyDescent="0.25">
      <c r="A32" s="877"/>
      <c r="B32" s="408"/>
      <c r="C32" s="124"/>
      <c r="D32" s="124"/>
      <c r="E32" s="124"/>
      <c r="F32" s="124"/>
      <c r="G32" s="124"/>
      <c r="H32" s="124"/>
      <c r="I32" s="124"/>
      <c r="J32" s="826"/>
      <c r="K32" s="124"/>
      <c r="L32" s="449"/>
      <c r="M32" s="124"/>
      <c r="N32" s="120"/>
      <c r="O32" s="1"/>
    </row>
    <row r="33" spans="1:15" x14ac:dyDescent="0.25">
      <c r="A33" s="862"/>
      <c r="B33" s="416"/>
      <c r="C33" s="93"/>
      <c r="D33" s="93"/>
      <c r="E33" s="93"/>
      <c r="F33" s="93"/>
      <c r="G33" s="93"/>
      <c r="H33" s="93"/>
      <c r="I33" s="93"/>
      <c r="J33" s="827"/>
      <c r="K33" s="93"/>
      <c r="L33" s="109"/>
      <c r="M33" s="93"/>
      <c r="N33" s="120"/>
      <c r="O33" s="1"/>
    </row>
    <row r="34" spans="1:15" x14ac:dyDescent="0.25">
      <c r="A34" s="878" t="s">
        <v>60</v>
      </c>
      <c r="B34" s="413"/>
      <c r="C34" s="15"/>
      <c r="D34" s="15"/>
      <c r="E34" s="15"/>
      <c r="F34" s="15"/>
      <c r="G34" s="15"/>
      <c r="H34" s="15"/>
      <c r="I34" s="15"/>
      <c r="J34" s="828"/>
      <c r="K34" s="15"/>
      <c r="L34" s="451"/>
      <c r="M34" s="15"/>
      <c r="N34" s="120"/>
      <c r="O34" s="1"/>
    </row>
    <row r="35" spans="1:15" x14ac:dyDescent="0.25">
      <c r="A35" s="879" t="s">
        <v>190</v>
      </c>
      <c r="B35" s="803">
        <v>45.9</v>
      </c>
      <c r="C35" s="805">
        <v>41.22</v>
      </c>
      <c r="D35" s="805">
        <v>40.21</v>
      </c>
      <c r="E35" s="805">
        <v>41.57</v>
      </c>
      <c r="F35" s="805">
        <v>40.21</v>
      </c>
      <c r="G35" s="805">
        <v>44.59</v>
      </c>
      <c r="H35" s="805">
        <v>45.64</v>
      </c>
      <c r="I35" s="805">
        <v>47.43</v>
      </c>
      <c r="J35" s="838">
        <v>49.97</v>
      </c>
      <c r="K35" s="745">
        <v>51.3</v>
      </c>
      <c r="L35" s="794">
        <v>52.344999999999999</v>
      </c>
      <c r="M35" s="22">
        <v>51.3</v>
      </c>
      <c r="N35" s="120"/>
      <c r="O35" s="1"/>
    </row>
    <row r="36" spans="1:15" x14ac:dyDescent="0.25">
      <c r="A36" s="879" t="s">
        <v>83</v>
      </c>
      <c r="B36" s="803">
        <v>47.8</v>
      </c>
      <c r="C36" s="805">
        <v>42.05</v>
      </c>
      <c r="D36" s="805">
        <v>42.72</v>
      </c>
      <c r="E36" s="805">
        <v>45.17</v>
      </c>
      <c r="F36" s="805">
        <v>42.95</v>
      </c>
      <c r="G36" s="805">
        <v>44.09</v>
      </c>
      <c r="H36" s="805">
        <v>47.75</v>
      </c>
      <c r="I36" s="805">
        <v>49.46</v>
      </c>
      <c r="J36" s="838">
        <v>51.2</v>
      </c>
      <c r="K36" s="745">
        <v>54.47</v>
      </c>
      <c r="L36" s="794">
        <v>54.97</v>
      </c>
      <c r="M36" s="22">
        <v>54.47</v>
      </c>
      <c r="N36" s="120"/>
      <c r="O36" s="1"/>
    </row>
    <row r="37" spans="1:15" x14ac:dyDescent="0.25">
      <c r="A37" s="879" t="s">
        <v>84</v>
      </c>
      <c r="B37" s="803">
        <v>29.8</v>
      </c>
      <c r="C37" s="805">
        <f>2.1+13.9+14.48</f>
        <v>30.48</v>
      </c>
      <c r="D37" s="805">
        <v>30.57</v>
      </c>
      <c r="E37" s="805">
        <v>30.59</v>
      </c>
      <c r="F37" s="805">
        <v>28.82</v>
      </c>
      <c r="G37" s="805">
        <v>32.9</v>
      </c>
      <c r="H37" s="805">
        <v>35.86</v>
      </c>
      <c r="I37" s="805">
        <v>35.36</v>
      </c>
      <c r="J37" s="838">
        <v>35.479999999999997</v>
      </c>
      <c r="K37" s="745">
        <v>37.880000000000003</v>
      </c>
      <c r="L37" s="794">
        <v>38.96</v>
      </c>
      <c r="M37" s="22">
        <v>37.880000000000003</v>
      </c>
      <c r="N37" s="120"/>
      <c r="O37" s="1"/>
    </row>
    <row r="38" spans="1:15" ht="16.5" thickBot="1" x14ac:dyDescent="0.3">
      <c r="A38" s="879" t="s">
        <v>191</v>
      </c>
      <c r="B38" s="564">
        <v>0</v>
      </c>
      <c r="C38" s="34">
        <v>0</v>
      </c>
      <c r="D38" s="34">
        <v>0</v>
      </c>
      <c r="E38" s="34">
        <v>0</v>
      </c>
      <c r="F38" s="34">
        <v>0</v>
      </c>
      <c r="G38" s="34">
        <v>0</v>
      </c>
      <c r="H38" s="34">
        <v>0</v>
      </c>
      <c r="I38" s="34">
        <v>0</v>
      </c>
      <c r="J38" s="829">
        <v>0</v>
      </c>
      <c r="K38" s="34">
        <v>0</v>
      </c>
      <c r="L38" s="492">
        <v>0</v>
      </c>
      <c r="M38" s="34">
        <v>0</v>
      </c>
      <c r="N38" s="120"/>
      <c r="O38" s="1"/>
    </row>
    <row r="39" spans="1:15" x14ac:dyDescent="0.25">
      <c r="A39" s="880" t="s">
        <v>335</v>
      </c>
      <c r="B39" s="793">
        <f t="shared" ref="B39:L39" si="6">SUM(B35:B38)</f>
        <v>123.49999999999999</v>
      </c>
      <c r="C39" s="305">
        <f t="shared" si="6"/>
        <v>113.75</v>
      </c>
      <c r="D39" s="305">
        <f t="shared" si="6"/>
        <v>113.5</v>
      </c>
      <c r="E39" s="305">
        <f t="shared" si="6"/>
        <v>117.33000000000001</v>
      </c>
      <c r="F39" s="305">
        <f t="shared" si="6"/>
        <v>111.97999999999999</v>
      </c>
      <c r="G39" s="305">
        <f t="shared" si="6"/>
        <v>121.58000000000001</v>
      </c>
      <c r="H39" s="305">
        <f t="shared" si="6"/>
        <v>129.25</v>
      </c>
      <c r="I39" s="305">
        <f t="shared" si="6"/>
        <v>132.25</v>
      </c>
      <c r="J39" s="839">
        <f t="shared" si="6"/>
        <v>136.65</v>
      </c>
      <c r="K39" s="305">
        <f t="shared" ref="K39" si="7">SUM(K35:K38)</f>
        <v>143.65</v>
      </c>
      <c r="L39" s="840">
        <f t="shared" si="6"/>
        <v>146.27500000000001</v>
      </c>
      <c r="M39" s="303">
        <f>SUM(M35:M38)</f>
        <v>143.65</v>
      </c>
      <c r="N39" s="120"/>
      <c r="O39" s="1"/>
    </row>
    <row r="40" spans="1:15" x14ac:dyDescent="0.25">
      <c r="A40" s="863"/>
      <c r="B40" s="416"/>
      <c r="C40" s="93"/>
      <c r="D40" s="93"/>
      <c r="E40" s="93"/>
      <c r="F40" s="93"/>
      <c r="G40" s="93"/>
      <c r="H40" s="93"/>
      <c r="I40" s="93"/>
      <c r="J40" s="827"/>
      <c r="K40" s="93"/>
      <c r="L40" s="109"/>
      <c r="M40" s="93"/>
      <c r="N40" s="120"/>
      <c r="O40" s="1"/>
    </row>
    <row r="41" spans="1:15" x14ac:dyDescent="0.25">
      <c r="A41" s="881"/>
      <c r="B41" s="416"/>
      <c r="C41" s="93"/>
      <c r="D41" s="93"/>
      <c r="E41" s="93"/>
      <c r="F41" s="93"/>
      <c r="G41" s="93"/>
      <c r="H41" s="93"/>
      <c r="I41" s="93"/>
      <c r="J41" s="827"/>
      <c r="K41" s="93"/>
      <c r="L41" s="109"/>
      <c r="M41" s="93"/>
      <c r="N41" s="120"/>
      <c r="O41" s="1"/>
    </row>
    <row r="42" spans="1:15" x14ac:dyDescent="0.25">
      <c r="A42" s="881"/>
      <c r="B42" s="416"/>
      <c r="C42" s="93"/>
      <c r="D42" s="93"/>
      <c r="E42" s="93"/>
      <c r="F42" s="93"/>
      <c r="G42" s="93"/>
      <c r="H42" s="93"/>
      <c r="I42" s="93"/>
      <c r="J42" s="827"/>
      <c r="K42" s="93"/>
      <c r="L42" s="109"/>
      <c r="M42" s="93"/>
      <c r="N42" s="120"/>
      <c r="O42" s="1"/>
    </row>
    <row r="43" spans="1:15" x14ac:dyDescent="0.25">
      <c r="A43" s="881"/>
      <c r="B43" s="416"/>
      <c r="C43" s="93"/>
      <c r="D43" s="93"/>
      <c r="E43" s="93"/>
      <c r="F43" s="93"/>
      <c r="G43" s="93"/>
      <c r="H43" s="93"/>
      <c r="I43" s="93"/>
      <c r="J43" s="827"/>
      <c r="K43" s="93"/>
      <c r="L43" s="109"/>
      <c r="M43" s="93"/>
      <c r="N43" s="120"/>
      <c r="O43" s="1"/>
    </row>
    <row r="44" spans="1:15" x14ac:dyDescent="0.25">
      <c r="A44" s="863"/>
      <c r="B44" s="416"/>
      <c r="C44" s="93"/>
      <c r="D44" s="93"/>
      <c r="E44" s="93"/>
      <c r="F44" s="93"/>
      <c r="G44" s="93"/>
      <c r="H44" s="93"/>
      <c r="I44" s="93"/>
      <c r="J44" s="827"/>
      <c r="K44" s="93"/>
      <c r="L44" s="109"/>
      <c r="M44" s="93"/>
      <c r="N44" s="120"/>
      <c r="O44" s="1"/>
    </row>
    <row r="45" spans="1:15" x14ac:dyDescent="0.25">
      <c r="A45" s="882"/>
      <c r="B45" s="416"/>
      <c r="C45" s="93"/>
      <c r="D45" s="93"/>
      <c r="E45" s="93"/>
      <c r="F45" s="93"/>
      <c r="G45" s="93"/>
      <c r="H45" s="93"/>
      <c r="I45" s="93"/>
      <c r="J45" s="827"/>
      <c r="K45" s="93"/>
      <c r="L45" s="109"/>
      <c r="M45" s="93"/>
      <c r="N45" s="120"/>
      <c r="O45" s="1"/>
    </row>
    <row r="46" spans="1:15" x14ac:dyDescent="0.25">
      <c r="A46" s="883"/>
      <c r="B46" s="416"/>
      <c r="C46" s="93"/>
      <c r="D46" s="93"/>
      <c r="E46" s="93"/>
      <c r="F46" s="93"/>
      <c r="G46" s="93"/>
      <c r="H46" s="93"/>
      <c r="I46" s="93"/>
      <c r="J46" s="827"/>
      <c r="K46" s="93"/>
      <c r="L46" s="109"/>
      <c r="M46" s="93"/>
      <c r="N46" s="120"/>
      <c r="O46" s="1"/>
    </row>
    <row r="47" spans="1:15" x14ac:dyDescent="0.25">
      <c r="A47" s="884"/>
      <c r="B47" s="416"/>
      <c r="C47" s="193"/>
      <c r="D47" s="193"/>
      <c r="E47" s="193"/>
      <c r="F47" s="193"/>
      <c r="G47" s="193"/>
      <c r="H47" s="193"/>
      <c r="I47" s="193"/>
      <c r="J47" s="830"/>
      <c r="K47" s="193"/>
      <c r="L47" s="465"/>
      <c r="M47" s="193"/>
      <c r="N47" s="120"/>
      <c r="O47" s="1"/>
    </row>
    <row r="48" spans="1:15" x14ac:dyDescent="0.25">
      <c r="A48" s="885"/>
      <c r="B48" s="416"/>
      <c r="C48" s="93"/>
      <c r="D48" s="93"/>
      <c r="E48" s="93"/>
      <c r="F48" s="93"/>
      <c r="G48" s="93"/>
      <c r="H48" s="93"/>
      <c r="I48" s="93"/>
      <c r="J48" s="827"/>
      <c r="K48" s="193"/>
      <c r="L48" s="465"/>
      <c r="M48" s="93"/>
      <c r="N48" s="120"/>
      <c r="O48" s="1"/>
    </row>
    <row r="49" spans="1:15" x14ac:dyDescent="0.25">
      <c r="A49" s="885"/>
      <c r="B49" s="416"/>
      <c r="C49" s="93"/>
      <c r="D49" s="93"/>
      <c r="E49" s="93"/>
      <c r="F49" s="93"/>
      <c r="G49" s="118"/>
      <c r="H49" s="93"/>
      <c r="I49" s="93"/>
      <c r="J49" s="827"/>
      <c r="K49" s="93"/>
      <c r="L49" s="109"/>
      <c r="M49" s="93"/>
      <c r="N49" s="120"/>
      <c r="O49" s="1"/>
    </row>
    <row r="50" spans="1:15" x14ac:dyDescent="0.25">
      <c r="A50" s="886"/>
      <c r="B50" s="416"/>
      <c r="C50" s="93"/>
      <c r="D50" s="93"/>
      <c r="E50" s="93"/>
      <c r="F50" s="93"/>
      <c r="G50" s="93"/>
      <c r="H50" s="93"/>
      <c r="I50" s="93"/>
      <c r="J50" s="827"/>
      <c r="K50" s="93"/>
      <c r="L50" s="109"/>
      <c r="M50" s="93"/>
      <c r="N50" s="120"/>
      <c r="O50" s="1"/>
    </row>
    <row r="51" spans="1:15" x14ac:dyDescent="0.25">
      <c r="A51" s="885"/>
      <c r="B51" s="416"/>
      <c r="C51" s="93"/>
      <c r="D51" s="93"/>
      <c r="E51" s="93"/>
      <c r="F51" s="93"/>
      <c r="G51" s="93"/>
      <c r="H51" s="93"/>
      <c r="I51" s="93"/>
      <c r="J51" s="827"/>
      <c r="K51" s="93"/>
      <c r="L51" s="109"/>
      <c r="M51" s="93"/>
      <c r="N51" s="120"/>
      <c r="O51" s="1"/>
    </row>
    <row r="52" spans="1:15" x14ac:dyDescent="0.25">
      <c r="A52" s="887"/>
      <c r="B52" s="380"/>
      <c r="C52" s="105"/>
      <c r="D52" s="105"/>
      <c r="E52" s="105"/>
      <c r="F52" s="105"/>
      <c r="G52" s="105"/>
      <c r="H52" s="105"/>
      <c r="I52" s="105"/>
      <c r="J52" s="822"/>
      <c r="K52" s="105"/>
      <c r="L52" s="372"/>
      <c r="M52" s="105"/>
      <c r="N52" s="120"/>
      <c r="O52" s="1"/>
    </row>
    <row r="53" spans="1:15" x14ac:dyDescent="0.25">
      <c r="A53" s="887"/>
      <c r="B53" s="407"/>
      <c r="C53" s="116"/>
      <c r="D53" s="116"/>
      <c r="E53" s="116"/>
      <c r="F53" s="116"/>
      <c r="G53" s="116"/>
      <c r="H53" s="116"/>
      <c r="I53" s="116"/>
      <c r="J53" s="823"/>
      <c r="K53" s="116"/>
      <c r="L53" s="444"/>
      <c r="M53" s="116"/>
      <c r="N53" s="120"/>
      <c r="O53" s="1"/>
    </row>
    <row r="54" spans="1:15" x14ac:dyDescent="0.25">
      <c r="A54" s="888"/>
      <c r="B54" s="647"/>
      <c r="C54" s="240"/>
      <c r="D54" s="240"/>
      <c r="E54" s="240"/>
      <c r="F54" s="240"/>
      <c r="G54" s="240"/>
      <c r="H54" s="240"/>
      <c r="I54" s="240"/>
      <c r="J54" s="831"/>
      <c r="K54" s="240"/>
      <c r="L54" s="648"/>
      <c r="M54" s="240"/>
      <c r="N54" s="120"/>
      <c r="O54" s="1"/>
    </row>
    <row r="55" spans="1:15" x14ac:dyDescent="0.25">
      <c r="A55" s="885"/>
      <c r="B55" s="411"/>
      <c r="C55" s="215"/>
      <c r="D55" s="215"/>
      <c r="E55" s="215"/>
      <c r="F55" s="215"/>
      <c r="G55" s="215"/>
      <c r="H55" s="215"/>
      <c r="I55" s="215"/>
      <c r="J55" s="412"/>
      <c r="K55" s="215"/>
      <c r="L55" s="450"/>
      <c r="M55" s="215"/>
      <c r="N55" s="120"/>
      <c r="O55" s="1"/>
    </row>
    <row r="56" spans="1:15" x14ac:dyDescent="0.25">
      <c r="A56" s="887"/>
      <c r="B56" s="416"/>
      <c r="C56" s="93"/>
      <c r="D56" s="93"/>
      <c r="E56" s="93"/>
      <c r="F56" s="93"/>
      <c r="G56" s="93"/>
      <c r="H56" s="93"/>
      <c r="I56" s="93"/>
      <c r="J56" s="827"/>
      <c r="K56" s="93"/>
      <c r="L56" s="109"/>
      <c r="M56" s="93"/>
      <c r="N56" s="120"/>
      <c r="O56" s="1"/>
    </row>
    <row r="57" spans="1:15" x14ac:dyDescent="0.25">
      <c r="A57" s="887"/>
      <c r="B57" s="416"/>
      <c r="C57" s="93"/>
      <c r="D57" s="93"/>
      <c r="E57" s="93"/>
      <c r="F57" s="93"/>
      <c r="G57" s="93"/>
      <c r="H57" s="93"/>
      <c r="I57" s="93"/>
      <c r="J57" s="827"/>
      <c r="K57" s="93"/>
      <c r="L57" s="109"/>
      <c r="M57" s="93"/>
      <c r="N57" s="120"/>
      <c r="O57" s="1"/>
    </row>
    <row r="58" spans="1:15" x14ac:dyDescent="0.25">
      <c r="A58" s="882"/>
      <c r="B58" s="416"/>
      <c r="C58" s="93"/>
      <c r="D58" s="93"/>
      <c r="E58" s="93"/>
      <c r="F58" s="93"/>
      <c r="G58" s="93"/>
      <c r="H58" s="93"/>
      <c r="I58" s="93"/>
      <c r="J58" s="827"/>
      <c r="K58" s="93"/>
      <c r="L58" s="109"/>
      <c r="M58" s="93"/>
      <c r="N58" s="120"/>
      <c r="O58" s="1"/>
    </row>
    <row r="59" spans="1:15" x14ac:dyDescent="0.25">
      <c r="A59" s="882"/>
      <c r="B59" s="418"/>
      <c r="C59" s="114"/>
      <c r="D59" s="114"/>
      <c r="E59" s="114"/>
      <c r="F59" s="114"/>
      <c r="G59" s="114"/>
      <c r="H59" s="114"/>
      <c r="I59" s="114"/>
      <c r="J59" s="832"/>
      <c r="K59" s="114"/>
      <c r="L59" s="455"/>
      <c r="M59" s="114"/>
      <c r="N59" s="120"/>
      <c r="O59" s="1"/>
    </row>
    <row r="60" spans="1:15" x14ac:dyDescent="0.25">
      <c r="A60" s="883"/>
      <c r="B60" s="418"/>
      <c r="C60" s="114"/>
      <c r="D60" s="114"/>
      <c r="E60" s="114"/>
      <c r="F60" s="114"/>
      <c r="G60" s="114"/>
      <c r="H60" s="114"/>
      <c r="I60" s="114"/>
      <c r="J60" s="832"/>
      <c r="K60" s="114"/>
      <c r="L60" s="455"/>
      <c r="M60" s="114"/>
      <c r="N60" s="120"/>
      <c r="O60" s="1"/>
    </row>
    <row r="61" spans="1:15" x14ac:dyDescent="0.25">
      <c r="A61" s="883"/>
      <c r="B61" s="416"/>
      <c r="C61" s="93"/>
      <c r="D61" s="93"/>
      <c r="E61" s="93"/>
      <c r="F61" s="93"/>
      <c r="G61" s="93"/>
      <c r="H61" s="93"/>
      <c r="I61" s="93"/>
      <c r="J61" s="827"/>
      <c r="K61" s="93"/>
      <c r="L61" s="109"/>
      <c r="M61" s="93"/>
      <c r="N61" s="120"/>
      <c r="O61" s="1"/>
    </row>
    <row r="62" spans="1:15" x14ac:dyDescent="0.25">
      <c r="A62" s="883"/>
      <c r="B62" s="576"/>
      <c r="C62" s="200"/>
      <c r="D62" s="200"/>
      <c r="E62" s="200"/>
      <c r="F62" s="200"/>
      <c r="G62" s="200"/>
      <c r="H62" s="200"/>
      <c r="I62" s="200"/>
      <c r="J62" s="833"/>
      <c r="K62" s="200"/>
      <c r="L62" s="468"/>
      <c r="M62" s="200"/>
    </row>
    <row r="63" spans="1:15" x14ac:dyDescent="0.25">
      <c r="A63" s="863"/>
      <c r="B63" s="577"/>
      <c r="C63" s="202"/>
      <c r="D63" s="202"/>
      <c r="E63" s="202"/>
      <c r="F63" s="202"/>
      <c r="G63" s="202"/>
      <c r="H63" s="202"/>
      <c r="I63" s="202"/>
      <c r="J63" s="834"/>
      <c r="K63" s="202"/>
      <c r="L63" s="469"/>
      <c r="M63" s="202"/>
      <c r="N63" s="120"/>
      <c r="O63" s="1"/>
    </row>
    <row r="64" spans="1:15" x14ac:dyDescent="0.25">
      <c r="A64" s="863"/>
      <c r="B64" s="577"/>
      <c r="C64" s="202"/>
      <c r="D64" s="202"/>
      <c r="E64" s="202"/>
      <c r="F64" s="202"/>
      <c r="G64" s="202"/>
      <c r="H64" s="202"/>
      <c r="I64" s="202"/>
      <c r="J64" s="834"/>
      <c r="K64" s="202"/>
      <c r="L64" s="469"/>
      <c r="M64" s="202"/>
      <c r="N64" s="120"/>
      <c r="O64" s="1"/>
    </row>
    <row r="65" spans="1:15" x14ac:dyDescent="0.25">
      <c r="A65" s="863"/>
      <c r="B65" s="577"/>
      <c r="C65" s="202"/>
      <c r="D65" s="202"/>
      <c r="E65" s="202"/>
      <c r="F65" s="202"/>
      <c r="G65" s="202"/>
      <c r="H65" s="202"/>
      <c r="I65" s="202"/>
      <c r="J65" s="834"/>
      <c r="K65" s="202"/>
      <c r="L65" s="469"/>
      <c r="M65" s="202"/>
      <c r="N65" s="120"/>
      <c r="O65" s="1"/>
    </row>
    <row r="66" spans="1:15" x14ac:dyDescent="0.25">
      <c r="A66" s="863"/>
      <c r="B66" s="577"/>
      <c r="C66" s="202"/>
      <c r="D66" s="202"/>
      <c r="E66" s="202"/>
      <c r="F66" s="202"/>
      <c r="G66" s="202"/>
      <c r="H66" s="202"/>
      <c r="I66" s="202"/>
      <c r="J66" s="834"/>
      <c r="K66" s="202"/>
      <c r="L66" s="469"/>
      <c r="M66" s="202"/>
      <c r="N66" s="120"/>
      <c r="O66" s="1"/>
    </row>
    <row r="67" spans="1:15" x14ac:dyDescent="0.25">
      <c r="A67" s="882"/>
      <c r="B67" s="418"/>
      <c r="C67" s="114"/>
      <c r="D67" s="114"/>
      <c r="E67" s="114"/>
      <c r="F67" s="114"/>
      <c r="G67" s="114"/>
      <c r="H67" s="114"/>
      <c r="I67" s="114"/>
      <c r="J67" s="832"/>
      <c r="K67" s="114"/>
      <c r="L67" s="455"/>
      <c r="M67" s="114"/>
      <c r="N67" s="120"/>
      <c r="O67" s="1"/>
    </row>
    <row r="68" spans="1:15" x14ac:dyDescent="0.25">
      <c r="A68" s="884"/>
      <c r="B68" s="576"/>
      <c r="C68" s="140"/>
      <c r="D68" s="140"/>
      <c r="E68" s="140"/>
      <c r="F68" s="140"/>
      <c r="G68" s="140"/>
      <c r="H68" s="140"/>
      <c r="I68" s="140"/>
      <c r="J68" s="835"/>
      <c r="K68" s="140"/>
      <c r="L68" s="470"/>
      <c r="M68" s="140"/>
      <c r="N68" s="120"/>
      <c r="O68" s="1"/>
    </row>
    <row r="69" spans="1:15" s="17" customFormat="1" x14ac:dyDescent="0.25">
      <c r="A69" s="889"/>
      <c r="B69" s="576"/>
      <c r="C69" s="140"/>
      <c r="D69" s="140"/>
      <c r="E69" s="140"/>
      <c r="F69" s="140"/>
      <c r="G69" s="140"/>
      <c r="H69" s="140"/>
      <c r="I69" s="140"/>
      <c r="J69" s="835"/>
      <c r="K69" s="140"/>
      <c r="L69" s="470"/>
      <c r="M69" s="140"/>
      <c r="N69" s="128"/>
      <c r="O69" s="32"/>
    </row>
    <row r="70" spans="1:15" x14ac:dyDescent="0.25">
      <c r="A70" s="882"/>
      <c r="B70" s="416"/>
      <c r="C70" s="93"/>
      <c r="D70" s="93"/>
      <c r="E70" s="93"/>
      <c r="F70" s="93"/>
      <c r="G70" s="93"/>
      <c r="H70" s="93"/>
      <c r="I70" s="93"/>
      <c r="J70" s="827"/>
      <c r="K70" s="93"/>
      <c r="L70" s="109"/>
      <c r="M70" s="93"/>
      <c r="N70" s="120"/>
      <c r="O70" s="1"/>
    </row>
    <row r="71" spans="1:15" ht="18.75" x14ac:dyDescent="0.3">
      <c r="A71" s="890"/>
      <c r="B71" s="411"/>
      <c r="C71" s="215"/>
      <c r="D71" s="215"/>
      <c r="E71" s="215"/>
      <c r="F71" s="215"/>
      <c r="G71" s="215"/>
      <c r="H71" s="215"/>
      <c r="I71" s="215"/>
      <c r="J71" s="412"/>
      <c r="K71" s="215"/>
      <c r="L71" s="450"/>
      <c r="M71" s="215"/>
      <c r="N71" s="120"/>
      <c r="O71" s="1"/>
    </row>
    <row r="72" spans="1:15" x14ac:dyDescent="0.25">
      <c r="A72" s="891"/>
      <c r="B72" s="639"/>
      <c r="C72" s="207"/>
      <c r="D72" s="207"/>
      <c r="E72" s="207"/>
      <c r="F72" s="207"/>
      <c r="G72" s="207"/>
      <c r="H72" s="207"/>
      <c r="I72" s="207"/>
      <c r="J72" s="836"/>
      <c r="K72" s="207"/>
      <c r="L72" s="471"/>
      <c r="M72" s="207"/>
      <c r="N72" s="120"/>
      <c r="O72" s="1"/>
    </row>
    <row r="73" spans="1:15" x14ac:dyDescent="0.25">
      <c r="A73" s="882"/>
      <c r="B73" s="416"/>
      <c r="C73" s="93"/>
      <c r="D73" s="93"/>
      <c r="E73" s="93"/>
      <c r="F73" s="93"/>
      <c r="G73" s="93"/>
      <c r="H73" s="93"/>
      <c r="I73" s="93"/>
      <c r="J73" s="827"/>
      <c r="K73" s="93"/>
      <c r="L73" s="109"/>
      <c r="M73" s="93"/>
      <c r="N73" s="120"/>
      <c r="O73" s="1"/>
    </row>
    <row r="74" spans="1:15" x14ac:dyDescent="0.25">
      <c r="A74" s="882"/>
      <c r="B74" s="416"/>
      <c r="C74" s="93"/>
      <c r="D74" s="93"/>
      <c r="E74" s="93"/>
      <c r="F74" s="93"/>
      <c r="G74" s="93"/>
      <c r="H74" s="93"/>
      <c r="I74" s="93"/>
      <c r="J74" s="827"/>
      <c r="K74" s="93"/>
      <c r="L74" s="109"/>
      <c r="M74" s="93"/>
      <c r="N74" s="120"/>
      <c r="O74" s="1"/>
    </row>
    <row r="75" spans="1:15" x14ac:dyDescent="0.25">
      <c r="A75" s="863"/>
      <c r="B75" s="416"/>
      <c r="C75" s="93"/>
      <c r="D75" s="93"/>
      <c r="E75" s="93"/>
      <c r="F75" s="93"/>
      <c r="G75" s="93"/>
      <c r="H75" s="93"/>
      <c r="I75" s="93"/>
      <c r="J75" s="827"/>
      <c r="K75" s="93"/>
      <c r="L75" s="109"/>
      <c r="M75" s="93"/>
      <c r="N75" s="120"/>
      <c r="O75" s="1"/>
    </row>
    <row r="76" spans="1:15" x14ac:dyDescent="0.25">
      <c r="A76" s="863"/>
      <c r="B76" s="416"/>
      <c r="C76" s="93"/>
      <c r="D76" s="93"/>
      <c r="E76" s="93"/>
      <c r="F76" s="93"/>
      <c r="G76" s="93"/>
      <c r="H76" s="93"/>
      <c r="I76" s="93"/>
      <c r="J76" s="827"/>
      <c r="K76" s="93"/>
      <c r="L76" s="109"/>
      <c r="M76" s="93"/>
      <c r="N76" s="120"/>
      <c r="O76" s="1"/>
    </row>
    <row r="77" spans="1:15" x14ac:dyDescent="0.25">
      <c r="A77" s="865"/>
      <c r="B77" s="416"/>
      <c r="C77" s="93"/>
      <c r="D77" s="93"/>
      <c r="E77" s="93"/>
      <c r="F77" s="93"/>
      <c r="G77" s="93"/>
      <c r="H77" s="93"/>
      <c r="I77" s="93"/>
      <c r="J77" s="827"/>
      <c r="K77" s="93"/>
      <c r="L77" s="109"/>
      <c r="M77" s="93"/>
      <c r="N77" s="120"/>
      <c r="O77" s="1"/>
    </row>
    <row r="78" spans="1:15" x14ac:dyDescent="0.25">
      <c r="A78" s="863"/>
      <c r="B78" s="416"/>
      <c r="C78" s="93"/>
      <c r="D78" s="93"/>
      <c r="E78" s="93"/>
      <c r="F78" s="93"/>
      <c r="G78" s="93"/>
      <c r="H78" s="93"/>
      <c r="I78" s="93"/>
      <c r="J78" s="827"/>
      <c r="K78" s="93"/>
      <c r="L78" s="109"/>
      <c r="M78" s="93"/>
      <c r="N78" s="120"/>
      <c r="O78" s="1"/>
    </row>
    <row r="79" spans="1:15" x14ac:dyDescent="0.25">
      <c r="A79" s="863"/>
      <c r="B79" s="416"/>
      <c r="C79" s="93"/>
      <c r="D79" s="93"/>
      <c r="E79" s="93"/>
      <c r="F79" s="93"/>
      <c r="G79" s="93"/>
      <c r="H79" s="93"/>
      <c r="I79" s="93"/>
      <c r="J79" s="827"/>
      <c r="K79" s="93"/>
      <c r="L79" s="109"/>
      <c r="M79" s="93"/>
      <c r="N79" s="120"/>
      <c r="O79" s="1"/>
    </row>
    <row r="80" spans="1:15" x14ac:dyDescent="0.25">
      <c r="A80" s="883"/>
      <c r="B80" s="416"/>
      <c r="C80" s="93"/>
      <c r="D80" s="93"/>
      <c r="E80" s="93"/>
      <c r="F80" s="93"/>
      <c r="G80" s="93"/>
      <c r="H80" s="93"/>
      <c r="I80" s="93"/>
      <c r="J80" s="827"/>
      <c r="K80" s="93"/>
      <c r="L80" s="109"/>
      <c r="M80" s="93"/>
      <c r="N80" s="120"/>
      <c r="O80" s="1"/>
    </row>
    <row r="81" spans="1:15" x14ac:dyDescent="0.25">
      <c r="A81" s="882"/>
      <c r="B81" s="416"/>
      <c r="C81" s="93"/>
      <c r="D81" s="93"/>
      <c r="E81" s="93"/>
      <c r="F81" s="93"/>
      <c r="G81" s="93"/>
      <c r="H81" s="93"/>
      <c r="I81" s="93"/>
      <c r="J81" s="827"/>
      <c r="K81" s="93"/>
      <c r="L81" s="109"/>
      <c r="M81" s="93"/>
      <c r="N81" s="120"/>
      <c r="O81" s="1"/>
    </row>
    <row r="82" spans="1:15" x14ac:dyDescent="0.25">
      <c r="A82" s="882"/>
      <c r="B82" s="411"/>
      <c r="C82" s="215"/>
      <c r="D82" s="215"/>
      <c r="E82" s="215"/>
      <c r="F82" s="215"/>
      <c r="G82" s="215"/>
      <c r="H82" s="215"/>
      <c r="I82" s="215"/>
      <c r="J82" s="412"/>
      <c r="K82" s="215"/>
      <c r="L82" s="450"/>
      <c r="M82" s="215"/>
      <c r="N82" s="120"/>
      <c r="O82" s="1"/>
    </row>
    <row r="83" spans="1:15" x14ac:dyDescent="0.25">
      <c r="A83" s="882"/>
      <c r="B83" s="423"/>
      <c r="C83" s="112"/>
      <c r="D83" s="112"/>
      <c r="E83" s="112"/>
      <c r="F83" s="112"/>
      <c r="G83" s="112"/>
      <c r="H83" s="112"/>
      <c r="I83" s="112"/>
      <c r="J83" s="837"/>
      <c r="K83" s="112"/>
      <c r="L83" s="113"/>
      <c r="M83" s="112"/>
      <c r="N83" s="120"/>
      <c r="O83" s="1"/>
    </row>
    <row r="84" spans="1:15" x14ac:dyDescent="0.25">
      <c r="A84" s="882"/>
      <c r="B84" s="423"/>
      <c r="C84" s="112"/>
      <c r="D84" s="112"/>
      <c r="E84" s="112"/>
      <c r="F84" s="112"/>
      <c r="G84" s="112"/>
      <c r="H84" s="112"/>
      <c r="I84" s="112"/>
      <c r="J84" s="837"/>
      <c r="K84" s="112"/>
      <c r="L84" s="113"/>
      <c r="M84" s="112"/>
      <c r="N84" s="120"/>
      <c r="O84" s="1"/>
    </row>
    <row r="85" spans="1:15" x14ac:dyDescent="0.25">
      <c r="A85" s="114"/>
      <c r="B85" s="93"/>
      <c r="C85" s="93"/>
      <c r="D85" s="93"/>
      <c r="E85" s="93"/>
      <c r="F85" s="93"/>
      <c r="G85" s="93"/>
      <c r="H85" s="93"/>
      <c r="I85" s="93"/>
      <c r="J85" s="827"/>
      <c r="K85" s="93"/>
      <c r="L85" s="109"/>
      <c r="M85" s="93"/>
      <c r="N85" s="120"/>
      <c r="O85" s="1"/>
    </row>
    <row r="86" spans="1:15" x14ac:dyDescent="0.25">
      <c r="A86" s="114"/>
      <c r="B86" s="93"/>
      <c r="C86" s="93"/>
      <c r="D86" s="93"/>
      <c r="E86" s="93"/>
      <c r="F86" s="93"/>
      <c r="G86" s="93"/>
      <c r="H86" s="93"/>
      <c r="I86" s="93"/>
      <c r="J86" s="93"/>
      <c r="K86" s="93"/>
      <c r="L86" s="93"/>
      <c r="M86" s="93"/>
      <c r="N86" s="26"/>
      <c r="O86" s="1"/>
    </row>
    <row r="87" spans="1:15" x14ac:dyDescent="0.25">
      <c r="A87" s="114"/>
      <c r="B87" s="93"/>
      <c r="C87" s="93"/>
      <c r="D87" s="93"/>
      <c r="E87" s="93"/>
      <c r="F87" s="93"/>
      <c r="G87" s="93"/>
      <c r="H87" s="93"/>
      <c r="I87" s="93"/>
      <c r="J87" s="93"/>
      <c r="K87" s="93"/>
      <c r="L87" s="93"/>
      <c r="M87" s="93"/>
      <c r="N87" s="26"/>
      <c r="O87" s="1"/>
    </row>
    <row r="88" spans="1:15" x14ac:dyDescent="0.25">
      <c r="A88" s="114"/>
      <c r="B88" s="93"/>
      <c r="C88" s="93"/>
      <c r="D88" s="93"/>
      <c r="E88" s="93"/>
      <c r="F88" s="93"/>
      <c r="G88" s="93"/>
      <c r="H88" s="93"/>
      <c r="I88" s="93"/>
      <c r="J88" s="93"/>
      <c r="K88" s="93"/>
      <c r="L88" s="93"/>
      <c r="M88" s="93"/>
      <c r="N88" s="26"/>
      <c r="O88" s="1"/>
    </row>
    <row r="89" spans="1:15" x14ac:dyDescent="0.25">
      <c r="A89" s="114"/>
      <c r="B89" s="93"/>
      <c r="C89" s="93"/>
      <c r="D89" s="93"/>
      <c r="E89" s="93"/>
      <c r="F89" s="93"/>
      <c r="G89" s="93"/>
      <c r="H89" s="93"/>
      <c r="I89" s="93"/>
      <c r="J89" s="93"/>
      <c r="K89" s="93"/>
      <c r="L89" s="93"/>
      <c r="M89" s="93"/>
      <c r="N89" s="26"/>
      <c r="O89" s="1"/>
    </row>
    <row r="90" spans="1:15" x14ac:dyDescent="0.25">
      <c r="A90" s="114"/>
      <c r="B90" s="93"/>
      <c r="C90" s="93"/>
      <c r="D90" s="93"/>
      <c r="E90" s="93"/>
      <c r="F90" s="93"/>
      <c r="G90" s="93"/>
      <c r="H90" s="93"/>
      <c r="I90" s="93"/>
      <c r="J90" s="93"/>
      <c r="K90" s="93"/>
      <c r="L90" s="93"/>
      <c r="M90" s="93"/>
      <c r="N90" s="26"/>
      <c r="O90" s="1"/>
    </row>
    <row r="91" spans="1:15" x14ac:dyDescent="0.25">
      <c r="A91" s="114"/>
      <c r="B91" s="93"/>
      <c r="C91" s="93"/>
      <c r="D91" s="93"/>
      <c r="E91" s="93"/>
      <c r="F91" s="93"/>
      <c r="G91" s="93"/>
      <c r="H91" s="93"/>
      <c r="I91" s="93"/>
      <c r="J91" s="93"/>
      <c r="K91" s="93"/>
      <c r="L91" s="93"/>
      <c r="M91" s="93"/>
      <c r="N91" s="26"/>
      <c r="O91" s="1"/>
    </row>
    <row r="92" spans="1:15" x14ac:dyDescent="0.25">
      <c r="A92" s="114"/>
      <c r="B92" s="93"/>
      <c r="C92" s="93"/>
      <c r="D92" s="93"/>
      <c r="E92" s="93"/>
      <c r="F92" s="93"/>
      <c r="G92" s="93"/>
      <c r="H92" s="93"/>
      <c r="I92" s="93"/>
      <c r="J92" s="93"/>
      <c r="K92" s="93"/>
      <c r="L92" s="93"/>
      <c r="M92" s="93"/>
      <c r="N92" s="26"/>
      <c r="O92" s="1"/>
    </row>
    <row r="93" spans="1:15" x14ac:dyDescent="0.25">
      <c r="A93" s="114"/>
      <c r="B93" s="93"/>
      <c r="C93" s="93"/>
      <c r="D93" s="93"/>
      <c r="E93" s="93"/>
      <c r="F93" s="93"/>
      <c r="G93" s="93"/>
      <c r="H93" s="93"/>
      <c r="I93" s="93"/>
      <c r="J93" s="93"/>
      <c r="K93" s="93"/>
      <c r="L93" s="93"/>
      <c r="M93" s="93"/>
      <c r="N93" s="26"/>
      <c r="O93" s="1"/>
    </row>
    <row r="94" spans="1:15" x14ac:dyDescent="0.25">
      <c r="A94" s="114"/>
      <c r="B94" s="93"/>
      <c r="C94" s="93"/>
      <c r="D94" s="93"/>
      <c r="E94" s="93"/>
      <c r="F94" s="93"/>
      <c r="G94" s="93"/>
      <c r="H94" s="93"/>
      <c r="I94" s="93"/>
      <c r="J94" s="93"/>
      <c r="K94" s="93"/>
      <c r="L94" s="93"/>
      <c r="M94" s="93"/>
      <c r="N94" s="26"/>
      <c r="O94" s="1"/>
    </row>
    <row r="95" spans="1:15" x14ac:dyDescent="0.25">
      <c r="A95" s="114"/>
      <c r="B95" s="93"/>
      <c r="C95" s="93"/>
      <c r="D95" s="93"/>
      <c r="E95" s="93"/>
      <c r="F95" s="93"/>
      <c r="G95" s="93"/>
      <c r="H95" s="93"/>
      <c r="I95" s="93"/>
      <c r="J95" s="93"/>
      <c r="K95" s="93"/>
      <c r="L95" s="93"/>
      <c r="M95" s="93"/>
      <c r="N95" s="26"/>
      <c r="O95" s="1"/>
    </row>
    <row r="96" spans="1:15" x14ac:dyDescent="0.25">
      <c r="A96" s="114"/>
      <c r="B96" s="93"/>
      <c r="C96" s="93"/>
      <c r="D96" s="93"/>
      <c r="E96" s="93"/>
      <c r="F96" s="93"/>
      <c r="G96" s="93"/>
      <c r="H96" s="93"/>
      <c r="I96" s="93"/>
      <c r="J96" s="93"/>
      <c r="K96" s="93"/>
      <c r="L96" s="93"/>
      <c r="M96" s="93"/>
      <c r="N96" s="26"/>
      <c r="O96" s="1"/>
    </row>
    <row r="97" spans="1:15" x14ac:dyDescent="0.25">
      <c r="A97" s="114"/>
      <c r="B97" s="93"/>
      <c r="C97" s="93"/>
      <c r="D97" s="93"/>
      <c r="E97" s="93"/>
      <c r="F97" s="93"/>
      <c r="G97" s="93"/>
      <c r="H97" s="93"/>
      <c r="I97" s="93"/>
      <c r="J97" s="93"/>
      <c r="K97" s="93"/>
      <c r="L97" s="93"/>
      <c r="M97" s="93"/>
      <c r="N97" s="26"/>
      <c r="O97" s="1"/>
    </row>
    <row r="98" spans="1:15" x14ac:dyDescent="0.25">
      <c r="A98" s="114"/>
      <c r="B98" s="93"/>
      <c r="C98" s="93"/>
      <c r="D98" s="93"/>
      <c r="E98" s="93"/>
      <c r="F98" s="93"/>
      <c r="G98" s="93"/>
      <c r="H98" s="93"/>
      <c r="I98" s="93"/>
      <c r="J98" s="93"/>
      <c r="K98" s="93"/>
      <c r="L98" s="93"/>
      <c r="M98" s="93"/>
      <c r="N98" s="26"/>
      <c r="O98" s="1"/>
    </row>
    <row r="99" spans="1:15" x14ac:dyDescent="0.25">
      <c r="A99" s="114"/>
      <c r="B99" s="93"/>
      <c r="C99" s="93"/>
      <c r="D99" s="93"/>
      <c r="E99" s="93"/>
      <c r="F99" s="93"/>
      <c r="G99" s="93"/>
      <c r="H99" s="93"/>
      <c r="I99" s="93"/>
      <c r="J99" s="93"/>
      <c r="K99" s="93"/>
      <c r="L99" s="93"/>
      <c r="M99" s="93"/>
      <c r="N99" s="26"/>
      <c r="O99" s="1"/>
    </row>
    <row r="100" spans="1:15" x14ac:dyDescent="0.25">
      <c r="A100" s="114"/>
      <c r="B100" s="93"/>
      <c r="C100" s="93"/>
      <c r="D100" s="93"/>
      <c r="E100" s="93"/>
      <c r="F100" s="93"/>
      <c r="G100" s="93"/>
      <c r="H100" s="93"/>
      <c r="I100" s="93"/>
      <c r="J100" s="93"/>
      <c r="K100" s="93"/>
      <c r="L100" s="93"/>
      <c r="M100" s="93"/>
      <c r="N100" s="26"/>
      <c r="O100" s="1"/>
    </row>
    <row r="101" spans="1:15" x14ac:dyDescent="0.25">
      <c r="A101" s="114"/>
      <c r="B101" s="114"/>
      <c r="C101" s="114"/>
      <c r="D101" s="114"/>
      <c r="E101" s="114"/>
      <c r="F101" s="114"/>
      <c r="G101" s="114"/>
      <c r="H101" s="114"/>
      <c r="I101" s="114"/>
      <c r="J101" s="114"/>
      <c r="K101" s="114"/>
      <c r="L101" s="114"/>
      <c r="M101" s="114"/>
      <c r="N101" s="26"/>
      <c r="O101" s="1"/>
    </row>
    <row r="102" spans="1:15" x14ac:dyDescent="0.25">
      <c r="A102" s="114"/>
      <c r="B102" s="114"/>
      <c r="C102" s="114"/>
      <c r="D102" s="114"/>
      <c r="E102" s="114"/>
      <c r="F102" s="114"/>
      <c r="G102" s="114"/>
      <c r="H102" s="114"/>
      <c r="I102" s="114"/>
      <c r="J102" s="114"/>
      <c r="K102" s="114"/>
      <c r="L102" s="114"/>
      <c r="M102" s="114"/>
      <c r="N102" s="26"/>
      <c r="O102" s="1"/>
    </row>
    <row r="103" spans="1:15" x14ac:dyDescent="0.25">
      <c r="A103" s="114"/>
      <c r="B103" s="114"/>
      <c r="C103" s="114"/>
      <c r="D103" s="114"/>
      <c r="E103" s="114"/>
      <c r="F103" s="114"/>
      <c r="G103" s="114"/>
      <c r="H103" s="114"/>
      <c r="I103" s="114"/>
      <c r="J103" s="114"/>
      <c r="K103" s="114"/>
      <c r="L103" s="114"/>
      <c r="M103" s="114"/>
      <c r="N103" s="26"/>
      <c r="O103" s="1"/>
    </row>
    <row r="104" spans="1:15" x14ac:dyDescent="0.25">
      <c r="A104" s="114"/>
      <c r="B104" s="114"/>
      <c r="C104" s="114"/>
      <c r="D104" s="114"/>
      <c r="E104" s="114"/>
      <c r="F104" s="114"/>
      <c r="G104" s="114"/>
      <c r="H104" s="114"/>
      <c r="I104" s="114"/>
      <c r="J104" s="114"/>
      <c r="K104" s="114"/>
      <c r="L104" s="114"/>
      <c r="M104" s="114"/>
      <c r="N104" s="26"/>
      <c r="O104" s="1"/>
    </row>
    <row r="105" spans="1:15" x14ac:dyDescent="0.25">
      <c r="A105" s="114"/>
      <c r="B105" s="114"/>
      <c r="C105" s="114"/>
      <c r="D105" s="114"/>
      <c r="E105" s="114"/>
      <c r="F105" s="114"/>
      <c r="G105" s="114"/>
      <c r="H105" s="114"/>
      <c r="I105" s="114"/>
      <c r="J105" s="114"/>
      <c r="K105" s="114"/>
      <c r="L105" s="114"/>
      <c r="M105" s="114"/>
      <c r="N105" s="26"/>
      <c r="O105" s="1"/>
    </row>
    <row r="106" spans="1:15" x14ac:dyDescent="0.25">
      <c r="A106" s="114"/>
      <c r="B106" s="114"/>
      <c r="C106" s="114"/>
      <c r="D106" s="114"/>
      <c r="E106" s="114"/>
      <c r="F106" s="114"/>
      <c r="G106" s="114"/>
      <c r="H106" s="114"/>
      <c r="I106" s="114"/>
      <c r="J106" s="114"/>
      <c r="K106" s="114"/>
      <c r="L106" s="114"/>
      <c r="M106" s="114"/>
      <c r="N106" s="26"/>
      <c r="O106" s="1"/>
    </row>
    <row r="107" spans="1:15" x14ac:dyDescent="0.25">
      <c r="A107" s="114"/>
      <c r="B107" s="114"/>
      <c r="C107" s="114"/>
      <c r="D107" s="114"/>
      <c r="E107" s="114"/>
      <c r="F107" s="114"/>
      <c r="G107" s="114"/>
      <c r="H107" s="114"/>
      <c r="I107" s="114"/>
      <c r="J107" s="114"/>
      <c r="K107" s="114"/>
      <c r="L107" s="114"/>
      <c r="M107" s="114"/>
      <c r="N107" s="26"/>
      <c r="O107" s="1"/>
    </row>
    <row r="108" spans="1:15" x14ac:dyDescent="0.25">
      <c r="A108" s="114"/>
      <c r="B108" s="114"/>
      <c r="C108" s="114"/>
      <c r="D108" s="114"/>
      <c r="E108" s="114"/>
      <c r="F108" s="114"/>
      <c r="G108" s="114"/>
      <c r="H108" s="114"/>
      <c r="I108" s="114"/>
      <c r="J108" s="114"/>
      <c r="K108" s="114"/>
      <c r="L108" s="114"/>
      <c r="M108" s="114"/>
      <c r="N108" s="26"/>
      <c r="O108" s="1"/>
    </row>
    <row r="109" spans="1:15" x14ac:dyDescent="0.25">
      <c r="A109" s="114"/>
      <c r="B109" s="114"/>
      <c r="C109" s="114"/>
      <c r="D109" s="114"/>
      <c r="E109" s="114"/>
      <c r="F109" s="114"/>
      <c r="G109" s="114"/>
      <c r="H109" s="114"/>
      <c r="I109" s="114"/>
      <c r="J109" s="114"/>
      <c r="K109" s="114"/>
      <c r="L109" s="114"/>
      <c r="M109" s="114"/>
      <c r="N109" s="26"/>
      <c r="O109" s="1"/>
    </row>
    <row r="110" spans="1:15" x14ac:dyDescent="0.25">
      <c r="A110" s="114"/>
      <c r="B110" s="114"/>
      <c r="C110" s="114"/>
      <c r="D110" s="114"/>
      <c r="E110" s="114"/>
      <c r="F110" s="114"/>
      <c r="G110" s="114"/>
      <c r="H110" s="114"/>
      <c r="I110" s="114"/>
      <c r="J110" s="114"/>
      <c r="K110" s="114"/>
      <c r="L110" s="114"/>
      <c r="M110" s="114"/>
      <c r="N110" s="26"/>
      <c r="O110" s="1"/>
    </row>
    <row r="111" spans="1:15" x14ac:dyDescent="0.25">
      <c r="A111" s="114"/>
      <c r="B111" s="114"/>
      <c r="C111" s="114"/>
      <c r="D111" s="114"/>
      <c r="E111" s="114"/>
      <c r="F111" s="114"/>
      <c r="G111" s="114"/>
      <c r="H111" s="114"/>
      <c r="I111" s="114"/>
      <c r="J111" s="114"/>
      <c r="K111" s="114"/>
      <c r="L111" s="114"/>
      <c r="M111" s="114"/>
      <c r="N111" s="26"/>
      <c r="O111" s="1"/>
    </row>
    <row r="112" spans="1:15" x14ac:dyDescent="0.25">
      <c r="A112" s="114"/>
      <c r="B112" s="114"/>
      <c r="C112" s="114"/>
      <c r="D112" s="114"/>
      <c r="E112" s="114"/>
      <c r="F112" s="114"/>
      <c r="G112" s="114"/>
      <c r="H112" s="114"/>
      <c r="I112" s="114"/>
      <c r="J112" s="114"/>
      <c r="K112" s="114"/>
      <c r="L112" s="114"/>
      <c r="M112" s="114"/>
      <c r="N112" s="26"/>
      <c r="O112" s="1"/>
    </row>
    <row r="113" spans="1:15" x14ac:dyDescent="0.25">
      <c r="A113" s="114"/>
      <c r="B113" s="114"/>
      <c r="C113" s="114"/>
      <c r="D113" s="114"/>
      <c r="E113" s="114"/>
      <c r="F113" s="114"/>
      <c r="G113" s="114"/>
      <c r="H113" s="114"/>
      <c r="I113" s="114"/>
      <c r="J113" s="114"/>
      <c r="K113" s="114"/>
      <c r="L113" s="114"/>
      <c r="M113" s="114"/>
      <c r="N113" s="26"/>
      <c r="O113" s="1"/>
    </row>
    <row r="114" spans="1:15" x14ac:dyDescent="0.25">
      <c r="A114" s="114"/>
      <c r="B114" s="114"/>
      <c r="C114" s="114"/>
      <c r="D114" s="114"/>
      <c r="E114" s="114"/>
      <c r="F114" s="114"/>
      <c r="G114" s="114"/>
      <c r="H114" s="114"/>
      <c r="I114" s="114"/>
      <c r="J114" s="114"/>
      <c r="K114" s="114"/>
      <c r="L114" s="114"/>
      <c r="M114" s="114"/>
      <c r="N114" s="26"/>
      <c r="O114" s="1"/>
    </row>
    <row r="115" spans="1:15" x14ac:dyDescent="0.25">
      <c r="A115" s="114"/>
      <c r="B115" s="114"/>
      <c r="C115" s="114"/>
      <c r="D115" s="114"/>
      <c r="E115" s="114"/>
      <c r="F115" s="114"/>
      <c r="G115" s="114"/>
      <c r="H115" s="114"/>
      <c r="I115" s="114"/>
      <c r="J115" s="114"/>
      <c r="K115" s="114"/>
      <c r="L115" s="114"/>
      <c r="M115" s="114"/>
      <c r="N115" s="26"/>
      <c r="O115" s="1"/>
    </row>
    <row r="116" spans="1:15" x14ac:dyDescent="0.25">
      <c r="A116" s="114"/>
      <c r="B116" s="114"/>
      <c r="C116" s="114"/>
      <c r="D116" s="114"/>
      <c r="E116" s="114"/>
      <c r="F116" s="114"/>
      <c r="G116" s="114"/>
      <c r="H116" s="114"/>
      <c r="I116" s="114"/>
      <c r="J116" s="114"/>
      <c r="K116" s="114"/>
      <c r="L116" s="114"/>
      <c r="M116" s="114"/>
      <c r="N116" s="26"/>
      <c r="O116" s="1"/>
    </row>
    <row r="117" spans="1:15" x14ac:dyDescent="0.25">
      <c r="A117" s="114"/>
      <c r="B117" s="114"/>
      <c r="C117" s="114"/>
      <c r="D117" s="114"/>
      <c r="E117" s="114"/>
      <c r="F117" s="114"/>
      <c r="G117" s="114"/>
      <c r="H117" s="114"/>
      <c r="I117" s="114"/>
      <c r="J117" s="114"/>
      <c r="K117" s="114"/>
      <c r="L117" s="114"/>
      <c r="M117" s="114"/>
      <c r="N117" s="26"/>
      <c r="O117" s="1"/>
    </row>
    <row r="118" spans="1:15" x14ac:dyDescent="0.25">
      <c r="A118" s="114"/>
      <c r="B118" s="114"/>
      <c r="C118" s="114"/>
      <c r="D118" s="114"/>
      <c r="E118" s="114"/>
      <c r="F118" s="114"/>
      <c r="G118" s="114"/>
      <c r="H118" s="114"/>
      <c r="I118" s="114"/>
      <c r="J118" s="114"/>
      <c r="K118" s="114"/>
      <c r="L118" s="114"/>
      <c r="M118" s="114"/>
      <c r="N118" s="26"/>
      <c r="O118" s="1"/>
    </row>
    <row r="119" spans="1:15" x14ac:dyDescent="0.25">
      <c r="A119" s="114"/>
      <c r="B119" s="114"/>
      <c r="C119" s="114"/>
      <c r="D119" s="114"/>
      <c r="E119" s="114"/>
      <c r="F119" s="114"/>
      <c r="G119" s="114"/>
      <c r="H119" s="114"/>
      <c r="I119" s="114"/>
      <c r="J119" s="114"/>
      <c r="K119" s="114"/>
      <c r="L119" s="114"/>
      <c r="M119" s="114"/>
      <c r="N119" s="26"/>
      <c r="O119" s="1"/>
    </row>
    <row r="120" spans="1:15" x14ac:dyDescent="0.25">
      <c r="A120" s="114"/>
      <c r="B120" s="114"/>
      <c r="C120" s="114"/>
      <c r="D120" s="114"/>
      <c r="E120" s="114"/>
      <c r="F120" s="114"/>
      <c r="G120" s="114"/>
      <c r="H120" s="114"/>
      <c r="I120" s="114"/>
      <c r="J120" s="114"/>
      <c r="K120" s="114"/>
      <c r="L120" s="114"/>
      <c r="M120" s="114"/>
      <c r="N120" s="26"/>
      <c r="O120" s="1"/>
    </row>
    <row r="121" spans="1:15" x14ac:dyDescent="0.25">
      <c r="A121" s="114"/>
      <c r="B121" s="114"/>
      <c r="C121" s="114"/>
      <c r="D121" s="114"/>
      <c r="E121" s="114"/>
      <c r="F121" s="114"/>
      <c r="G121" s="114"/>
      <c r="H121" s="114"/>
      <c r="I121" s="114"/>
      <c r="J121" s="114"/>
      <c r="K121" s="114"/>
      <c r="L121" s="114"/>
      <c r="M121" s="114"/>
      <c r="N121" s="26"/>
      <c r="O121" s="1"/>
    </row>
    <row r="122" spans="1:15" x14ac:dyDescent="0.25">
      <c r="A122" s="114"/>
      <c r="B122" s="114"/>
      <c r="C122" s="114"/>
      <c r="D122" s="114"/>
      <c r="E122" s="114"/>
      <c r="F122" s="114"/>
      <c r="G122" s="114"/>
      <c r="H122" s="114"/>
      <c r="I122" s="114"/>
      <c r="J122" s="114"/>
      <c r="K122" s="114"/>
      <c r="L122" s="114"/>
      <c r="M122" s="114"/>
      <c r="N122" s="26"/>
      <c r="O122" s="1"/>
    </row>
    <row r="123" spans="1:15" x14ac:dyDescent="0.25">
      <c r="A123" s="114"/>
      <c r="B123" s="114"/>
      <c r="C123" s="114"/>
      <c r="D123" s="114"/>
      <c r="E123" s="114"/>
      <c r="F123" s="114"/>
      <c r="G123" s="114"/>
      <c r="H123" s="114"/>
      <c r="I123" s="114"/>
      <c r="J123" s="114"/>
      <c r="K123" s="114"/>
      <c r="L123" s="114"/>
      <c r="M123" s="114"/>
      <c r="N123" s="26"/>
      <c r="O123" s="1"/>
    </row>
    <row r="124" spans="1:15" x14ac:dyDescent="0.25">
      <c r="A124" s="114"/>
      <c r="B124" s="114"/>
      <c r="C124" s="114"/>
      <c r="D124" s="114"/>
      <c r="E124" s="114"/>
      <c r="F124" s="114"/>
      <c r="G124" s="114"/>
      <c r="H124" s="114"/>
      <c r="I124" s="114"/>
      <c r="J124" s="114"/>
      <c r="K124" s="114"/>
      <c r="L124" s="114"/>
      <c r="M124" s="114"/>
      <c r="N124" s="26"/>
      <c r="O124" s="1"/>
    </row>
    <row r="125" spans="1:15" x14ac:dyDescent="0.25">
      <c r="A125" s="114"/>
      <c r="B125" s="114"/>
      <c r="C125" s="114"/>
      <c r="D125" s="114"/>
      <c r="E125" s="114"/>
      <c r="F125" s="114"/>
      <c r="G125" s="114"/>
      <c r="H125" s="114"/>
      <c r="I125" s="114"/>
      <c r="J125" s="114"/>
      <c r="K125" s="114"/>
      <c r="L125" s="114"/>
      <c r="M125" s="114"/>
      <c r="N125" s="26"/>
      <c r="O125" s="1"/>
    </row>
    <row r="126" spans="1:15" x14ac:dyDescent="0.25">
      <c r="A126" s="114"/>
      <c r="B126" s="114"/>
      <c r="C126" s="114"/>
      <c r="D126" s="114"/>
      <c r="E126" s="114"/>
      <c r="F126" s="114"/>
      <c r="G126" s="114"/>
      <c r="H126" s="114"/>
      <c r="I126" s="114"/>
      <c r="J126" s="114"/>
      <c r="K126" s="114"/>
      <c r="L126" s="114"/>
      <c r="M126" s="114"/>
      <c r="N126" s="26"/>
      <c r="O126" s="1"/>
    </row>
    <row r="127" spans="1:15" x14ac:dyDescent="0.25">
      <c r="A127" s="114"/>
      <c r="B127" s="114"/>
      <c r="C127" s="114"/>
      <c r="D127" s="114"/>
      <c r="E127" s="114"/>
      <c r="F127" s="114"/>
      <c r="G127" s="114"/>
      <c r="H127" s="114"/>
      <c r="I127" s="114"/>
      <c r="J127" s="114"/>
      <c r="K127" s="114"/>
      <c r="L127" s="114"/>
      <c r="M127" s="114"/>
      <c r="N127" s="26"/>
      <c r="O127" s="1"/>
    </row>
    <row r="128" spans="1:15" x14ac:dyDescent="0.25">
      <c r="A128" s="114"/>
      <c r="B128" s="114"/>
      <c r="C128" s="114"/>
      <c r="D128" s="114"/>
      <c r="E128" s="114"/>
      <c r="F128" s="114"/>
      <c r="G128" s="114"/>
      <c r="H128" s="114"/>
      <c r="I128" s="114"/>
      <c r="J128" s="114"/>
      <c r="K128" s="114"/>
      <c r="L128" s="114"/>
      <c r="M128" s="114"/>
      <c r="N128" s="26"/>
      <c r="O128" s="1"/>
    </row>
    <row r="129" spans="1:15" x14ac:dyDescent="0.25">
      <c r="A129" s="114"/>
      <c r="B129" s="114"/>
      <c r="C129" s="114"/>
      <c r="D129" s="114"/>
      <c r="E129" s="114"/>
      <c r="F129" s="114"/>
      <c r="G129" s="114"/>
      <c r="H129" s="114"/>
      <c r="I129" s="114"/>
      <c r="J129" s="114"/>
      <c r="K129" s="114"/>
      <c r="L129" s="114"/>
      <c r="M129" s="114"/>
      <c r="N129" s="26"/>
      <c r="O129" s="1"/>
    </row>
    <row r="130" spans="1:15" x14ac:dyDescent="0.25">
      <c r="A130" s="114"/>
      <c r="B130" s="114"/>
      <c r="C130" s="114"/>
      <c r="D130" s="114"/>
      <c r="E130" s="114"/>
      <c r="F130" s="114"/>
      <c r="G130" s="114"/>
      <c r="H130" s="114"/>
      <c r="I130" s="114"/>
      <c r="J130" s="114"/>
      <c r="K130" s="114"/>
      <c r="L130" s="114"/>
      <c r="M130" s="114"/>
      <c r="N130" s="26"/>
      <c r="O130" s="1"/>
    </row>
    <row r="131" spans="1:15" x14ac:dyDescent="0.25">
      <c r="A131" s="114"/>
      <c r="B131" s="114"/>
      <c r="C131" s="114"/>
      <c r="D131" s="114"/>
      <c r="E131" s="114"/>
      <c r="F131" s="114"/>
      <c r="G131" s="114"/>
      <c r="H131" s="114"/>
      <c r="I131" s="114"/>
      <c r="J131" s="114"/>
      <c r="K131" s="114"/>
      <c r="L131" s="114"/>
      <c r="M131" s="114"/>
      <c r="N131" s="26"/>
      <c r="O131" s="1"/>
    </row>
    <row r="132" spans="1:15" x14ac:dyDescent="0.25">
      <c r="A132" s="114"/>
      <c r="B132" s="114"/>
      <c r="C132" s="114"/>
      <c r="D132" s="114"/>
      <c r="E132" s="114"/>
      <c r="F132" s="114"/>
      <c r="G132" s="114"/>
      <c r="H132" s="114"/>
      <c r="I132" s="114"/>
      <c r="J132" s="114"/>
      <c r="K132" s="114"/>
      <c r="L132" s="114"/>
      <c r="M132" s="114"/>
      <c r="N132" s="26"/>
      <c r="O132" s="1"/>
    </row>
    <row r="133" spans="1:15" x14ac:dyDescent="0.25">
      <c r="A133" s="114"/>
      <c r="B133" s="114"/>
      <c r="C133" s="114"/>
      <c r="D133" s="114"/>
      <c r="E133" s="114"/>
      <c r="F133" s="114"/>
      <c r="G133" s="114"/>
      <c r="H133" s="114"/>
      <c r="I133" s="114"/>
      <c r="J133" s="114"/>
      <c r="K133" s="114"/>
      <c r="L133" s="114"/>
      <c r="M133" s="114"/>
      <c r="N133" s="26"/>
      <c r="O133" s="1"/>
    </row>
    <row r="134" spans="1:15" x14ac:dyDescent="0.25">
      <c r="A134" s="114"/>
      <c r="B134" s="114"/>
      <c r="C134" s="114"/>
      <c r="D134" s="114"/>
      <c r="E134" s="114"/>
      <c r="F134" s="114"/>
      <c r="G134" s="114"/>
      <c r="H134" s="114"/>
      <c r="I134" s="114"/>
      <c r="J134" s="114"/>
      <c r="K134" s="114"/>
      <c r="L134" s="114"/>
      <c r="M134" s="114"/>
      <c r="N134" s="26"/>
      <c r="O134" s="1"/>
    </row>
    <row r="135" spans="1:15" x14ac:dyDescent="0.25">
      <c r="A135" s="114"/>
      <c r="B135" s="114"/>
      <c r="C135" s="114"/>
      <c r="D135" s="114"/>
      <c r="E135" s="114"/>
      <c r="F135" s="114"/>
      <c r="G135" s="114"/>
      <c r="H135" s="114"/>
      <c r="I135" s="114"/>
      <c r="J135" s="114"/>
      <c r="K135" s="114"/>
      <c r="L135" s="114"/>
      <c r="M135" s="114"/>
      <c r="N135" s="26"/>
      <c r="O135" s="1"/>
    </row>
    <row r="136" spans="1:15" x14ac:dyDescent="0.25">
      <c r="A136" s="114"/>
      <c r="B136" s="114"/>
      <c r="C136" s="114"/>
      <c r="D136" s="114"/>
      <c r="E136" s="114"/>
      <c r="F136" s="114"/>
      <c r="G136" s="114"/>
      <c r="H136" s="114"/>
      <c r="I136" s="114"/>
      <c r="J136" s="114"/>
      <c r="K136" s="114"/>
      <c r="L136" s="114"/>
      <c r="M136" s="114"/>
      <c r="N136" s="26"/>
      <c r="O136" s="1"/>
    </row>
    <row r="137" spans="1:15" x14ac:dyDescent="0.25">
      <c r="A137" s="114"/>
      <c r="B137" s="114"/>
      <c r="C137" s="114"/>
      <c r="D137" s="114"/>
      <c r="E137" s="114"/>
      <c r="F137" s="114"/>
      <c r="G137" s="114"/>
      <c r="H137" s="114"/>
      <c r="I137" s="114"/>
      <c r="J137" s="114"/>
      <c r="K137" s="114"/>
      <c r="L137" s="114"/>
      <c r="M137" s="114"/>
      <c r="N137" s="26"/>
      <c r="O137" s="1"/>
    </row>
    <row r="138" spans="1:15" x14ac:dyDescent="0.25">
      <c r="A138" s="114"/>
      <c r="B138" s="93"/>
      <c r="C138" s="93"/>
      <c r="D138" s="93"/>
      <c r="E138" s="93"/>
      <c r="F138" s="93"/>
      <c r="G138" s="93"/>
      <c r="H138" s="93"/>
      <c r="I138" s="93"/>
      <c r="J138" s="93"/>
      <c r="K138" s="93"/>
      <c r="L138" s="93"/>
      <c r="M138" s="93"/>
      <c r="N138" s="26"/>
      <c r="O138" s="1"/>
    </row>
    <row r="139" spans="1:15" x14ac:dyDescent="0.25">
      <c r="A139" s="114"/>
      <c r="B139" s="93"/>
      <c r="C139" s="93"/>
      <c r="D139" s="93"/>
      <c r="E139" s="93"/>
      <c r="F139" s="93"/>
      <c r="G139" s="93"/>
      <c r="H139" s="93"/>
      <c r="I139" s="93"/>
      <c r="J139" s="93"/>
      <c r="K139" s="93"/>
      <c r="L139" s="93"/>
      <c r="M139" s="93"/>
      <c r="N139" s="26"/>
      <c r="O139" s="1"/>
    </row>
    <row r="140" spans="1:15" x14ac:dyDescent="0.25">
      <c r="A140" s="114"/>
      <c r="B140" s="93"/>
      <c r="C140" s="93"/>
      <c r="D140" s="93"/>
      <c r="E140" s="93"/>
      <c r="F140" s="93"/>
      <c r="G140" s="93"/>
      <c r="H140" s="93"/>
      <c r="I140" s="93"/>
      <c r="J140" s="93"/>
      <c r="K140" s="93"/>
      <c r="L140" s="93"/>
      <c r="M140" s="93"/>
      <c r="N140" s="26"/>
      <c r="O140" s="1"/>
    </row>
    <row r="141" spans="1:15" x14ac:dyDescent="0.25">
      <c r="A141" s="114"/>
      <c r="B141" s="93"/>
      <c r="C141" s="93"/>
      <c r="D141" s="93"/>
      <c r="E141" s="93"/>
      <c r="F141" s="93"/>
      <c r="G141" s="93"/>
      <c r="H141" s="93"/>
      <c r="I141" s="93"/>
      <c r="J141" s="93"/>
      <c r="K141" s="93"/>
      <c r="L141" s="93"/>
      <c r="M141" s="93"/>
      <c r="N141" s="26"/>
      <c r="O141" s="1"/>
    </row>
    <row r="142" spans="1:15" x14ac:dyDescent="0.25">
      <c r="A142" s="114"/>
      <c r="B142" s="93"/>
      <c r="C142" s="93"/>
      <c r="D142" s="93"/>
      <c r="E142" s="93"/>
      <c r="F142" s="93"/>
      <c r="G142" s="93"/>
      <c r="H142" s="93"/>
      <c r="I142" s="93"/>
      <c r="J142" s="93"/>
      <c r="K142" s="93"/>
      <c r="L142" s="93"/>
      <c r="M142" s="93"/>
      <c r="N142" s="26"/>
      <c r="O142" s="1"/>
    </row>
    <row r="143" spans="1:15" x14ac:dyDescent="0.25">
      <c r="A143" s="114"/>
      <c r="B143" s="93"/>
      <c r="C143" s="93"/>
      <c r="D143" s="93"/>
      <c r="E143" s="93"/>
      <c r="F143" s="93"/>
      <c r="G143" s="93"/>
      <c r="H143" s="93"/>
      <c r="I143" s="93"/>
      <c r="J143" s="93"/>
      <c r="K143" s="93"/>
      <c r="L143" s="93"/>
      <c r="M143" s="93"/>
      <c r="N143" s="26"/>
      <c r="O143" s="1"/>
    </row>
    <row r="144" spans="1:15" x14ac:dyDescent="0.25">
      <c r="A144" s="114"/>
      <c r="B144" s="93"/>
      <c r="C144" s="93"/>
      <c r="D144" s="93"/>
      <c r="E144" s="93"/>
      <c r="F144" s="93"/>
      <c r="G144" s="93"/>
      <c r="H144" s="93"/>
      <c r="I144" s="93"/>
      <c r="J144" s="93"/>
      <c r="K144" s="93"/>
      <c r="L144" s="93"/>
      <c r="M144" s="93"/>
      <c r="N144" s="26"/>
      <c r="O144" s="1"/>
    </row>
    <row r="145" spans="1:15" x14ac:dyDescent="0.25">
      <c r="A145" s="114"/>
      <c r="B145" s="93"/>
      <c r="C145" s="93"/>
      <c r="D145" s="93"/>
      <c r="E145" s="93"/>
      <c r="F145" s="93"/>
      <c r="G145" s="93"/>
      <c r="H145" s="93"/>
      <c r="I145" s="93"/>
      <c r="J145" s="93"/>
      <c r="K145" s="93"/>
      <c r="L145" s="93"/>
      <c r="M145" s="93"/>
      <c r="N145" s="26"/>
      <c r="O145" s="1"/>
    </row>
    <row r="146" spans="1:15" x14ac:dyDescent="0.25">
      <c r="A146" s="114"/>
      <c r="B146" s="93"/>
      <c r="C146" s="93"/>
      <c r="D146" s="93"/>
      <c r="E146" s="93"/>
      <c r="F146" s="93"/>
      <c r="G146" s="93"/>
      <c r="H146" s="93"/>
      <c r="I146" s="93"/>
      <c r="J146" s="93"/>
      <c r="K146" s="93"/>
      <c r="L146" s="93"/>
      <c r="M146" s="93"/>
      <c r="N146" s="26"/>
      <c r="O146" s="1"/>
    </row>
    <row r="147" spans="1:15" x14ac:dyDescent="0.25">
      <c r="A147" s="114"/>
      <c r="B147" s="93"/>
      <c r="C147" s="93"/>
      <c r="D147" s="93"/>
      <c r="E147" s="93"/>
      <c r="F147" s="93"/>
      <c r="G147" s="93"/>
      <c r="H147" s="93"/>
      <c r="I147" s="93"/>
      <c r="J147" s="93"/>
      <c r="K147" s="93"/>
      <c r="L147" s="93"/>
      <c r="M147" s="93"/>
      <c r="N147" s="26"/>
      <c r="O147" s="1"/>
    </row>
    <row r="148" spans="1:15" x14ac:dyDescent="0.25">
      <c r="A148" s="114"/>
      <c r="B148" s="93"/>
      <c r="C148" s="93"/>
      <c r="D148" s="93"/>
      <c r="E148" s="93"/>
      <c r="F148" s="93"/>
      <c r="G148" s="93"/>
      <c r="H148" s="93"/>
      <c r="I148" s="93"/>
      <c r="J148" s="93"/>
      <c r="K148" s="93"/>
      <c r="L148" s="93"/>
      <c r="M148" s="93"/>
      <c r="N148" s="26"/>
      <c r="O148" s="1"/>
    </row>
    <row r="149" spans="1:15" x14ac:dyDescent="0.25">
      <c r="A149" s="114"/>
      <c r="B149" s="93"/>
      <c r="C149" s="93"/>
      <c r="D149" s="93"/>
      <c r="E149" s="93"/>
      <c r="F149" s="93"/>
      <c r="G149" s="93"/>
      <c r="H149" s="93"/>
      <c r="I149" s="93"/>
      <c r="J149" s="93"/>
      <c r="K149" s="93"/>
      <c r="L149" s="93"/>
      <c r="M149" s="93"/>
      <c r="N149" s="26"/>
      <c r="O149" s="1"/>
    </row>
    <row r="150" spans="1:15" x14ac:dyDescent="0.25">
      <c r="A150" s="114"/>
      <c r="B150" s="93"/>
      <c r="C150" s="93"/>
      <c r="D150" s="93"/>
      <c r="E150" s="93"/>
      <c r="F150" s="93"/>
      <c r="G150" s="93"/>
      <c r="H150" s="93"/>
      <c r="I150" s="93"/>
      <c r="J150" s="93"/>
      <c r="K150" s="93"/>
      <c r="L150" s="93"/>
      <c r="M150" s="93"/>
      <c r="N150" s="26"/>
      <c r="O150" s="1"/>
    </row>
    <row r="151" spans="1:15" x14ac:dyDescent="0.25">
      <c r="A151" s="114"/>
      <c r="B151" s="93"/>
      <c r="C151" s="93"/>
      <c r="D151" s="93"/>
      <c r="E151" s="93"/>
      <c r="F151" s="93"/>
      <c r="G151" s="93"/>
      <c r="H151" s="93"/>
      <c r="I151" s="93"/>
      <c r="J151" s="93"/>
      <c r="K151" s="93"/>
      <c r="L151" s="93"/>
      <c r="M151" s="93"/>
      <c r="N151" s="26"/>
      <c r="O151" s="1"/>
    </row>
    <row r="152" spans="1:15" x14ac:dyDescent="0.25">
      <c r="A152" s="114"/>
      <c r="B152" s="93"/>
      <c r="C152" s="93"/>
      <c r="D152" s="93"/>
      <c r="E152" s="93"/>
      <c r="F152" s="93"/>
      <c r="G152" s="93"/>
      <c r="H152" s="93"/>
      <c r="I152" s="93"/>
      <c r="J152" s="93"/>
      <c r="K152" s="93"/>
      <c r="L152" s="93"/>
      <c r="M152" s="93"/>
      <c r="N152" s="26"/>
      <c r="O152" s="1"/>
    </row>
    <row r="153" spans="1:15" x14ac:dyDescent="0.25">
      <c r="A153" s="114"/>
      <c r="B153" s="93"/>
      <c r="C153" s="93"/>
      <c r="D153" s="93"/>
      <c r="E153" s="93"/>
      <c r="F153" s="93"/>
      <c r="G153" s="93"/>
      <c r="H153" s="93"/>
      <c r="I153" s="93"/>
      <c r="J153" s="93"/>
      <c r="K153" s="93"/>
      <c r="L153" s="93"/>
      <c r="M153" s="93"/>
      <c r="N153" s="26"/>
      <c r="O153" s="1"/>
    </row>
    <row r="154" spans="1:15" x14ac:dyDescent="0.25">
      <c r="A154" s="114"/>
      <c r="B154" s="93"/>
      <c r="C154" s="93"/>
      <c r="D154" s="93"/>
      <c r="E154" s="93"/>
      <c r="F154" s="93"/>
      <c r="G154" s="93"/>
      <c r="H154" s="93"/>
      <c r="I154" s="93"/>
      <c r="J154" s="93"/>
      <c r="K154" s="93"/>
      <c r="L154" s="93"/>
      <c r="M154" s="93"/>
      <c r="N154" s="26"/>
      <c r="O154" s="1"/>
    </row>
    <row r="155" spans="1:15" x14ac:dyDescent="0.25">
      <c r="A155" s="114"/>
      <c r="B155" s="93"/>
      <c r="C155" s="93"/>
      <c r="D155" s="93"/>
      <c r="E155" s="93"/>
      <c r="F155" s="93"/>
      <c r="G155" s="93"/>
      <c r="H155" s="93"/>
      <c r="I155" s="93"/>
      <c r="J155" s="93"/>
      <c r="K155" s="93"/>
      <c r="L155" s="93"/>
      <c r="M155" s="93"/>
      <c r="N155" s="26"/>
      <c r="O155" s="1"/>
    </row>
    <row r="156" spans="1:15" x14ac:dyDescent="0.25">
      <c r="A156" s="114"/>
      <c r="B156" s="93"/>
      <c r="C156" s="93"/>
      <c r="D156" s="93"/>
      <c r="E156" s="93"/>
      <c r="F156" s="93"/>
      <c r="G156" s="93"/>
      <c r="H156" s="93"/>
      <c r="I156" s="93"/>
      <c r="J156" s="93"/>
      <c r="K156" s="93"/>
      <c r="L156" s="93"/>
      <c r="M156" s="93"/>
      <c r="N156" s="26"/>
      <c r="O156" s="1"/>
    </row>
    <row r="157" spans="1:15" x14ac:dyDescent="0.25">
      <c r="A157" s="114"/>
      <c r="B157" s="93"/>
      <c r="C157" s="93"/>
      <c r="D157" s="93"/>
      <c r="E157" s="93"/>
      <c r="F157" s="93"/>
      <c r="G157" s="93"/>
      <c r="H157" s="93"/>
      <c r="I157" s="93"/>
      <c r="J157" s="93"/>
      <c r="K157" s="93"/>
      <c r="L157" s="93"/>
      <c r="M157" s="93"/>
      <c r="N157" s="26"/>
      <c r="O157" s="1"/>
    </row>
    <row r="158" spans="1:15" x14ac:dyDescent="0.25">
      <c r="A158" s="114"/>
      <c r="B158" s="93"/>
      <c r="C158" s="93"/>
      <c r="D158" s="93"/>
      <c r="E158" s="93"/>
      <c r="F158" s="93"/>
      <c r="G158" s="93"/>
      <c r="H158" s="93"/>
      <c r="I158" s="93"/>
      <c r="J158" s="93"/>
      <c r="K158" s="93"/>
      <c r="L158" s="93"/>
      <c r="M158" s="93"/>
      <c r="N158" s="26"/>
      <c r="O158" s="1"/>
    </row>
    <row r="159" spans="1:15" x14ac:dyDescent="0.25">
      <c r="A159" s="114"/>
      <c r="B159" s="93"/>
      <c r="C159" s="93"/>
      <c r="D159" s="93"/>
      <c r="E159" s="93"/>
      <c r="F159" s="93"/>
      <c r="G159" s="93"/>
      <c r="H159" s="93"/>
      <c r="I159" s="93"/>
      <c r="J159" s="93"/>
      <c r="K159" s="93"/>
      <c r="L159" s="93"/>
      <c r="M159" s="93"/>
      <c r="N159" s="26"/>
      <c r="O159" s="1"/>
    </row>
    <row r="160" spans="1:15" x14ac:dyDescent="0.25">
      <c r="A160" s="114"/>
      <c r="B160" s="93"/>
      <c r="C160" s="93"/>
      <c r="D160" s="93"/>
      <c r="E160" s="93"/>
      <c r="F160" s="93"/>
      <c r="G160" s="93"/>
      <c r="H160" s="93"/>
      <c r="I160" s="93"/>
      <c r="J160" s="93"/>
      <c r="K160" s="93"/>
      <c r="L160" s="93"/>
      <c r="M160" s="93"/>
      <c r="N160" s="26"/>
      <c r="O160" s="1"/>
    </row>
    <row r="161" spans="1:15" x14ac:dyDescent="0.25">
      <c r="A161" s="114"/>
      <c r="B161" s="93"/>
      <c r="C161" s="93"/>
      <c r="D161" s="93"/>
      <c r="E161" s="93"/>
      <c r="F161" s="93"/>
      <c r="G161" s="93"/>
      <c r="H161" s="93"/>
      <c r="I161" s="93"/>
      <c r="J161" s="93"/>
      <c r="K161" s="93"/>
      <c r="L161" s="93"/>
      <c r="M161" s="93"/>
      <c r="N161" s="26"/>
      <c r="O161" s="1"/>
    </row>
    <row r="162" spans="1:15" x14ac:dyDescent="0.25">
      <c r="A162" s="114"/>
      <c r="B162" s="93"/>
      <c r="C162" s="93"/>
      <c r="D162" s="93"/>
      <c r="E162" s="93"/>
      <c r="F162" s="93"/>
      <c r="G162" s="93"/>
      <c r="H162" s="93"/>
      <c r="I162" s="93"/>
      <c r="J162" s="93"/>
      <c r="K162" s="93"/>
      <c r="L162" s="93"/>
      <c r="M162" s="93"/>
      <c r="N162" s="26"/>
      <c r="O162" s="1"/>
    </row>
    <row r="163" spans="1:15" x14ac:dyDescent="0.25">
      <c r="A163" s="114"/>
      <c r="B163" s="93"/>
      <c r="C163" s="93"/>
      <c r="D163" s="93"/>
      <c r="E163" s="93"/>
      <c r="F163" s="93"/>
      <c r="G163" s="93"/>
      <c r="H163" s="93"/>
      <c r="I163" s="93"/>
      <c r="J163" s="93"/>
      <c r="K163" s="93"/>
      <c r="L163" s="93"/>
      <c r="M163" s="93"/>
      <c r="N163" s="26"/>
      <c r="O163" s="1"/>
    </row>
    <row r="164" spans="1:15" x14ac:dyDescent="0.25">
      <c r="A164" s="114"/>
      <c r="B164" s="93"/>
      <c r="C164" s="93"/>
      <c r="D164" s="93"/>
      <c r="E164" s="93"/>
      <c r="F164" s="93"/>
      <c r="G164" s="93"/>
      <c r="H164" s="93"/>
      <c r="I164" s="93"/>
      <c r="J164" s="93"/>
      <c r="K164" s="93"/>
      <c r="L164" s="93"/>
      <c r="M164" s="93"/>
      <c r="N164" s="26"/>
      <c r="O164" s="1"/>
    </row>
    <row r="165" spans="1:15" x14ac:dyDescent="0.25">
      <c r="A165" s="114"/>
      <c r="B165" s="93"/>
      <c r="C165" s="93"/>
      <c r="D165" s="93"/>
      <c r="E165" s="93"/>
      <c r="F165" s="93"/>
      <c r="G165" s="93"/>
      <c r="H165" s="93"/>
      <c r="I165" s="93"/>
      <c r="J165" s="93"/>
      <c r="K165" s="93"/>
      <c r="L165" s="93"/>
      <c r="M165" s="93"/>
      <c r="N165" s="26"/>
      <c r="O165" s="1"/>
    </row>
    <row r="166" spans="1:15" x14ac:dyDescent="0.25">
      <c r="A166" s="114"/>
      <c r="B166" s="93"/>
      <c r="C166" s="93"/>
      <c r="D166" s="93"/>
      <c r="E166" s="93"/>
      <c r="F166" s="93"/>
      <c r="G166" s="93"/>
      <c r="H166" s="93"/>
      <c r="I166" s="93"/>
      <c r="J166" s="93"/>
      <c r="K166" s="93"/>
      <c r="L166" s="93"/>
      <c r="M166" s="93"/>
      <c r="N166" s="26"/>
      <c r="O166" s="1"/>
    </row>
    <row r="167" spans="1:15" x14ac:dyDescent="0.25">
      <c r="A167" s="114"/>
      <c r="B167" s="93"/>
      <c r="C167" s="93"/>
      <c r="D167" s="93"/>
      <c r="E167" s="93"/>
      <c r="F167" s="93"/>
      <c r="G167" s="93"/>
      <c r="H167" s="93"/>
      <c r="I167" s="93"/>
      <c r="J167" s="93"/>
      <c r="K167" s="93"/>
      <c r="L167" s="93"/>
      <c r="M167" s="93"/>
      <c r="N167" s="26"/>
      <c r="O167" s="1"/>
    </row>
    <row r="168" spans="1:15" x14ac:dyDescent="0.25">
      <c r="A168" s="114"/>
      <c r="B168" s="93"/>
      <c r="C168" s="93"/>
      <c r="D168" s="93"/>
      <c r="E168" s="93"/>
      <c r="F168" s="93"/>
      <c r="G168" s="93"/>
      <c r="H168" s="93"/>
      <c r="I168" s="93"/>
      <c r="J168" s="93"/>
      <c r="K168" s="93"/>
      <c r="L168" s="93"/>
      <c r="M168" s="93"/>
      <c r="N168" s="26"/>
      <c r="O168" s="1"/>
    </row>
    <row r="169" spans="1:15" x14ac:dyDescent="0.25">
      <c r="B169" s="1"/>
      <c r="C169" s="1"/>
      <c r="D169" s="1"/>
      <c r="E169" s="1"/>
      <c r="F169" s="1"/>
      <c r="G169" s="1"/>
      <c r="H169" s="1"/>
      <c r="I169" s="1"/>
      <c r="J169" s="1"/>
      <c r="K169" s="26"/>
      <c r="L169" s="26"/>
      <c r="M169" s="1"/>
      <c r="N169" s="26"/>
      <c r="O169" s="1"/>
    </row>
    <row r="170" spans="1:15" x14ac:dyDescent="0.25">
      <c r="B170" s="1"/>
      <c r="C170" s="1"/>
      <c r="D170" s="1"/>
      <c r="E170" s="1"/>
      <c r="F170" s="1"/>
      <c r="G170" s="1"/>
      <c r="H170" s="1"/>
      <c r="I170" s="1"/>
      <c r="J170" s="1"/>
      <c r="K170" s="26"/>
      <c r="L170" s="26"/>
      <c r="M170" s="1"/>
      <c r="N170" s="26"/>
      <c r="O170" s="1"/>
    </row>
    <row r="171" spans="1:15" x14ac:dyDescent="0.25">
      <c r="B171" s="1"/>
      <c r="C171" s="1"/>
      <c r="D171" s="1"/>
      <c r="E171" s="1"/>
      <c r="F171" s="1"/>
      <c r="G171" s="1"/>
      <c r="H171" s="1"/>
      <c r="I171" s="1"/>
      <c r="J171" s="1"/>
      <c r="K171" s="26"/>
      <c r="L171" s="26"/>
      <c r="M171" s="1"/>
      <c r="N171" s="26"/>
      <c r="O171" s="1"/>
    </row>
    <row r="172" spans="1:15" x14ac:dyDescent="0.25">
      <c r="B172" s="1"/>
      <c r="C172" s="1"/>
      <c r="D172" s="1"/>
      <c r="E172" s="1"/>
      <c r="F172" s="1"/>
      <c r="G172" s="1"/>
      <c r="H172" s="1"/>
      <c r="I172" s="1"/>
      <c r="J172" s="1"/>
      <c r="K172" s="26"/>
      <c r="L172" s="26"/>
      <c r="M172" s="1"/>
      <c r="N172" s="26"/>
      <c r="O172" s="1"/>
    </row>
    <row r="173" spans="1:15" x14ac:dyDescent="0.25">
      <c r="B173" s="1"/>
      <c r="C173" s="1"/>
      <c r="D173" s="1"/>
      <c r="E173" s="1"/>
      <c r="F173" s="1"/>
      <c r="G173" s="1"/>
      <c r="H173" s="1"/>
      <c r="I173" s="1"/>
      <c r="J173" s="1"/>
      <c r="K173" s="26"/>
      <c r="L173" s="26"/>
      <c r="M173" s="1"/>
      <c r="N173" s="26"/>
      <c r="O173" s="1"/>
    </row>
    <row r="174" spans="1:15" x14ac:dyDescent="0.25">
      <c r="B174" s="1"/>
      <c r="C174" s="1"/>
      <c r="D174" s="1"/>
      <c r="E174" s="1"/>
      <c r="F174" s="1"/>
      <c r="G174" s="1"/>
      <c r="H174" s="1"/>
      <c r="I174" s="1"/>
      <c r="J174" s="1"/>
      <c r="K174" s="26"/>
      <c r="L174" s="26"/>
      <c r="M174" s="1"/>
      <c r="N174" s="26"/>
      <c r="O174" s="1"/>
    </row>
    <row r="175" spans="1:15" x14ac:dyDescent="0.25">
      <c r="B175" s="1"/>
      <c r="C175" s="1"/>
      <c r="D175" s="1"/>
      <c r="E175" s="1"/>
      <c r="F175" s="1"/>
      <c r="G175" s="1"/>
      <c r="H175" s="1"/>
      <c r="I175" s="1"/>
      <c r="J175" s="1"/>
      <c r="K175" s="26"/>
      <c r="L175" s="26"/>
      <c r="M175" s="1"/>
      <c r="N175" s="26"/>
      <c r="O175" s="1"/>
    </row>
    <row r="176" spans="1:15" x14ac:dyDescent="0.25">
      <c r="B176" s="1"/>
      <c r="C176" s="1"/>
      <c r="D176" s="1"/>
      <c r="E176" s="1"/>
      <c r="F176" s="1"/>
      <c r="G176" s="1"/>
      <c r="H176" s="1"/>
      <c r="I176" s="1"/>
      <c r="J176" s="1"/>
      <c r="K176" s="26"/>
      <c r="L176" s="26"/>
      <c r="M176" s="1"/>
      <c r="N176" s="26"/>
      <c r="O176" s="1"/>
    </row>
    <row r="177" spans="2:15" x14ac:dyDescent="0.25">
      <c r="B177" s="1"/>
      <c r="C177" s="1"/>
      <c r="D177" s="1"/>
      <c r="E177" s="1"/>
      <c r="F177" s="1"/>
      <c r="G177" s="1"/>
      <c r="H177" s="1"/>
      <c r="I177" s="1"/>
      <c r="J177" s="1"/>
      <c r="K177" s="26"/>
      <c r="L177" s="26"/>
      <c r="M177" s="1"/>
      <c r="N177" s="26"/>
      <c r="O177" s="1"/>
    </row>
    <row r="178" spans="2:15" x14ac:dyDescent="0.25">
      <c r="K178" s="19"/>
      <c r="L178" s="19"/>
      <c r="N178" s="19"/>
    </row>
    <row r="179" spans="2:15" x14ac:dyDescent="0.25">
      <c r="K179" s="19"/>
      <c r="L179" s="19"/>
      <c r="N179" s="19"/>
    </row>
    <row r="180" spans="2:15" x14ac:dyDescent="0.25">
      <c r="K180" s="19"/>
      <c r="L180" s="19"/>
      <c r="N180" s="19"/>
    </row>
    <row r="181" spans="2:15" x14ac:dyDescent="0.25">
      <c r="K181" s="19"/>
      <c r="L181" s="19"/>
      <c r="N181" s="19"/>
    </row>
    <row r="182" spans="2:15" x14ac:dyDescent="0.25">
      <c r="K182" s="19"/>
      <c r="L182" s="19"/>
      <c r="N182" s="19"/>
    </row>
    <row r="183" spans="2:15" x14ac:dyDescent="0.25">
      <c r="K183" s="19"/>
      <c r="L183" s="19"/>
      <c r="N183" s="19"/>
    </row>
    <row r="184" spans="2:15" x14ac:dyDescent="0.25">
      <c r="K184" s="19"/>
      <c r="L184" s="19"/>
      <c r="N184" s="19"/>
    </row>
    <row r="185" spans="2:15" x14ac:dyDescent="0.25">
      <c r="K185" s="19"/>
      <c r="L185" s="19"/>
      <c r="N185" s="19"/>
    </row>
    <row r="186" spans="2:15" x14ac:dyDescent="0.25">
      <c r="K186" s="19"/>
      <c r="L186" s="19"/>
      <c r="N186" s="19"/>
    </row>
    <row r="187" spans="2:15" x14ac:dyDescent="0.25">
      <c r="K187" s="19"/>
      <c r="L187" s="19"/>
      <c r="N187" s="19"/>
    </row>
    <row r="188" spans="2:15" x14ac:dyDescent="0.25">
      <c r="K188" s="19"/>
      <c r="L188" s="19"/>
      <c r="N188" s="19"/>
    </row>
    <row r="189" spans="2:15" x14ac:dyDescent="0.25">
      <c r="K189" s="19"/>
      <c r="L189" s="19"/>
      <c r="N189" s="19"/>
    </row>
    <row r="190" spans="2:15" x14ac:dyDescent="0.25">
      <c r="K190" s="19"/>
      <c r="L190" s="19"/>
      <c r="N190" s="19"/>
    </row>
    <row r="191" spans="2:15" x14ac:dyDescent="0.25">
      <c r="K191" s="19"/>
      <c r="L191" s="19"/>
      <c r="N191" s="19"/>
    </row>
    <row r="192" spans="2:15" x14ac:dyDescent="0.25">
      <c r="K192" s="19"/>
      <c r="L192" s="19"/>
      <c r="N192" s="19"/>
    </row>
    <row r="193" spans="11:14" x14ac:dyDescent="0.25">
      <c r="K193" s="19"/>
      <c r="L193" s="19"/>
      <c r="N193" s="19"/>
    </row>
    <row r="194" spans="11:14" x14ac:dyDescent="0.25">
      <c r="K194" s="19"/>
      <c r="L194" s="19"/>
      <c r="N194" s="19"/>
    </row>
    <row r="195" spans="11:14" x14ac:dyDescent="0.25">
      <c r="K195" s="19"/>
      <c r="L195" s="19"/>
      <c r="N195" s="19"/>
    </row>
    <row r="196" spans="11:14" x14ac:dyDescent="0.25">
      <c r="K196" s="19"/>
      <c r="L196" s="19"/>
      <c r="N196" s="19"/>
    </row>
    <row r="197" spans="11:14" x14ac:dyDescent="0.25">
      <c r="K197" s="19"/>
      <c r="L197" s="19"/>
      <c r="N197" s="19"/>
    </row>
    <row r="198" spans="11:14" x14ac:dyDescent="0.25">
      <c r="K198" s="19"/>
      <c r="L198" s="19"/>
      <c r="N198" s="19"/>
    </row>
    <row r="199" spans="11:14" x14ac:dyDescent="0.25">
      <c r="K199" s="19"/>
      <c r="L199" s="19"/>
      <c r="N199" s="19"/>
    </row>
    <row r="200" spans="11:14" x14ac:dyDescent="0.25">
      <c r="K200" s="19"/>
      <c r="L200" s="19"/>
      <c r="N200" s="19"/>
    </row>
    <row r="201" spans="11:14" x14ac:dyDescent="0.25">
      <c r="K201" s="19"/>
      <c r="L201" s="19"/>
      <c r="N201" s="19"/>
    </row>
    <row r="202" spans="11:14" x14ac:dyDescent="0.25">
      <c r="K202" s="19"/>
      <c r="L202" s="19"/>
      <c r="N202" s="19"/>
    </row>
    <row r="203" spans="11:14" x14ac:dyDescent="0.25">
      <c r="K203" s="19"/>
      <c r="L203" s="19"/>
      <c r="N203" s="19"/>
    </row>
    <row r="204" spans="11:14" x14ac:dyDescent="0.25">
      <c r="K204" s="19"/>
      <c r="L204" s="19"/>
      <c r="N204" s="19"/>
    </row>
    <row r="205" spans="11:14" x14ac:dyDescent="0.25">
      <c r="K205" s="19"/>
      <c r="L205" s="19"/>
      <c r="N205" s="19"/>
    </row>
    <row r="206" spans="11:14" x14ac:dyDescent="0.25">
      <c r="K206" s="19"/>
      <c r="L206" s="19"/>
      <c r="N206" s="19"/>
    </row>
    <row r="207" spans="11:14" x14ac:dyDescent="0.25">
      <c r="K207" s="19"/>
      <c r="L207" s="19"/>
      <c r="N207" s="19"/>
    </row>
    <row r="208" spans="11:14" x14ac:dyDescent="0.25">
      <c r="K208" s="19"/>
      <c r="L208" s="19"/>
      <c r="N208" s="19"/>
    </row>
    <row r="209" spans="11:14" x14ac:dyDescent="0.25">
      <c r="K209" s="19"/>
      <c r="L209" s="19"/>
      <c r="N209" s="19"/>
    </row>
    <row r="210" spans="11:14" x14ac:dyDescent="0.25">
      <c r="K210" s="19"/>
      <c r="L210" s="19"/>
      <c r="N210" s="19"/>
    </row>
    <row r="211" spans="11:14" x14ac:dyDescent="0.25">
      <c r="K211" s="19"/>
      <c r="L211" s="19"/>
      <c r="N211" s="19"/>
    </row>
    <row r="212" spans="11:14" x14ac:dyDescent="0.25">
      <c r="K212" s="19"/>
      <c r="L212" s="19"/>
      <c r="N212" s="19"/>
    </row>
    <row r="213" spans="11:14" x14ac:dyDescent="0.25">
      <c r="K213" s="19"/>
      <c r="L213" s="19"/>
      <c r="N213" s="19"/>
    </row>
    <row r="214" spans="11:14" x14ac:dyDescent="0.25">
      <c r="K214" s="19"/>
      <c r="L214" s="19"/>
      <c r="N214" s="19"/>
    </row>
    <row r="215" spans="11:14" x14ac:dyDescent="0.25">
      <c r="K215" s="19"/>
      <c r="L215" s="19"/>
      <c r="N215" s="19"/>
    </row>
    <row r="216" spans="11:14" x14ac:dyDescent="0.25">
      <c r="K216" s="19"/>
      <c r="L216" s="19"/>
      <c r="N216" s="19"/>
    </row>
    <row r="217" spans="11:14" x14ac:dyDescent="0.25">
      <c r="K217" s="19"/>
      <c r="L217" s="19"/>
      <c r="N217" s="19"/>
    </row>
    <row r="218" spans="11:14" x14ac:dyDescent="0.25">
      <c r="K218" s="19"/>
      <c r="L218" s="19"/>
      <c r="N218" s="19"/>
    </row>
    <row r="219" spans="11:14" x14ac:dyDescent="0.25">
      <c r="K219" s="19"/>
      <c r="L219" s="19"/>
      <c r="N219" s="19"/>
    </row>
    <row r="220" spans="11:14" x14ac:dyDescent="0.25">
      <c r="K220" s="19"/>
      <c r="L220" s="19"/>
      <c r="N220" s="19"/>
    </row>
    <row r="221" spans="11:14" x14ac:dyDescent="0.25">
      <c r="K221" s="19"/>
      <c r="L221" s="19"/>
      <c r="N221" s="19"/>
    </row>
    <row r="222" spans="11:14" x14ac:dyDescent="0.25">
      <c r="K222" s="19"/>
      <c r="L222" s="19"/>
      <c r="N222" s="19"/>
    </row>
    <row r="223" spans="11:14" x14ac:dyDescent="0.25">
      <c r="K223" s="19"/>
      <c r="L223" s="19"/>
      <c r="N223" s="19"/>
    </row>
    <row r="224" spans="11:14" x14ac:dyDescent="0.25">
      <c r="K224" s="19"/>
      <c r="L224" s="19"/>
      <c r="N224" s="19"/>
    </row>
    <row r="225" spans="11:14" x14ac:dyDescent="0.25">
      <c r="K225" s="19"/>
      <c r="L225" s="19"/>
      <c r="N225" s="19"/>
    </row>
    <row r="226" spans="11:14" x14ac:dyDescent="0.25">
      <c r="K226" s="19"/>
      <c r="L226" s="19"/>
      <c r="N226" s="19"/>
    </row>
    <row r="227" spans="11:14" x14ac:dyDescent="0.25">
      <c r="K227" s="19"/>
      <c r="L227" s="19"/>
      <c r="N227" s="19"/>
    </row>
    <row r="228" spans="11:14" x14ac:dyDescent="0.25">
      <c r="K228" s="19"/>
      <c r="L228" s="19"/>
      <c r="N228" s="19"/>
    </row>
    <row r="229" spans="11:14" x14ac:dyDescent="0.25">
      <c r="K229" s="19"/>
      <c r="L229" s="19"/>
      <c r="N229" s="19"/>
    </row>
    <row r="230" spans="11:14" x14ac:dyDescent="0.25">
      <c r="K230" s="19"/>
      <c r="L230" s="19"/>
      <c r="N230" s="19"/>
    </row>
    <row r="231" spans="11:14" x14ac:dyDescent="0.25">
      <c r="K231" s="19"/>
      <c r="L231" s="19"/>
      <c r="N231" s="19"/>
    </row>
    <row r="232" spans="11:14" x14ac:dyDescent="0.25">
      <c r="K232" s="19"/>
      <c r="L232" s="19"/>
      <c r="N232" s="19"/>
    </row>
    <row r="233" spans="11:14" x14ac:dyDescent="0.25">
      <c r="K233" s="19"/>
      <c r="L233" s="19"/>
      <c r="N233" s="19"/>
    </row>
    <row r="234" spans="11:14" x14ac:dyDescent="0.25">
      <c r="K234" s="19"/>
      <c r="L234" s="19"/>
      <c r="N234" s="19"/>
    </row>
    <row r="235" spans="11:14" x14ac:dyDescent="0.25">
      <c r="K235" s="19"/>
      <c r="L235" s="19"/>
      <c r="N235" s="19"/>
    </row>
    <row r="236" spans="11:14" x14ac:dyDescent="0.25">
      <c r="K236" s="19"/>
      <c r="L236" s="19"/>
      <c r="N236" s="19"/>
    </row>
    <row r="237" spans="11:14" x14ac:dyDescent="0.25">
      <c r="K237" s="19"/>
      <c r="L237" s="19"/>
      <c r="N237" s="19"/>
    </row>
    <row r="238" spans="11:14" x14ac:dyDescent="0.25">
      <c r="K238" s="19"/>
      <c r="L238" s="19"/>
      <c r="N238" s="19"/>
    </row>
    <row r="239" spans="11:14" x14ac:dyDescent="0.25">
      <c r="K239" s="19"/>
      <c r="L239" s="19"/>
      <c r="N239" s="19"/>
    </row>
    <row r="240" spans="11:14" x14ac:dyDescent="0.25">
      <c r="K240" s="19"/>
      <c r="L240" s="19"/>
      <c r="N240" s="19"/>
    </row>
    <row r="241" spans="11:14" x14ac:dyDescent="0.25">
      <c r="K241" s="19"/>
      <c r="L241" s="19"/>
      <c r="N241" s="19"/>
    </row>
    <row r="242" spans="11:14" x14ac:dyDescent="0.25">
      <c r="K242" s="19"/>
      <c r="L242" s="19"/>
      <c r="N242" s="19"/>
    </row>
    <row r="243" spans="11:14" x14ac:dyDescent="0.25">
      <c r="K243" s="19"/>
      <c r="L243" s="19"/>
      <c r="N243" s="19"/>
    </row>
    <row r="244" spans="11:14" x14ac:dyDescent="0.25">
      <c r="K244" s="19"/>
      <c r="L244" s="19"/>
      <c r="N244" s="19"/>
    </row>
    <row r="245" spans="11:14" x14ac:dyDescent="0.25">
      <c r="K245" s="19"/>
      <c r="L245" s="19"/>
      <c r="N245" s="19"/>
    </row>
    <row r="246" spans="11:14" x14ac:dyDescent="0.25">
      <c r="K246" s="19"/>
      <c r="L246" s="19"/>
      <c r="N246" s="19"/>
    </row>
    <row r="247" spans="11:14" x14ac:dyDescent="0.25">
      <c r="K247" s="19"/>
      <c r="L247" s="19"/>
      <c r="N247" s="19"/>
    </row>
    <row r="248" spans="11:14" x14ac:dyDescent="0.25">
      <c r="K248" s="19"/>
      <c r="L248" s="19"/>
      <c r="N248" s="19"/>
    </row>
    <row r="249" spans="11:14" x14ac:dyDescent="0.25">
      <c r="K249" s="19"/>
      <c r="L249" s="19"/>
      <c r="N249" s="19"/>
    </row>
    <row r="250" spans="11:14" x14ac:dyDescent="0.25">
      <c r="K250" s="19"/>
      <c r="L250" s="19"/>
      <c r="N250" s="19"/>
    </row>
    <row r="251" spans="11:14" x14ac:dyDescent="0.25">
      <c r="K251" s="19"/>
      <c r="L251" s="19"/>
      <c r="N251" s="19"/>
    </row>
    <row r="252" spans="11:14" x14ac:dyDescent="0.25">
      <c r="K252" s="19"/>
      <c r="L252" s="19"/>
      <c r="N252" s="19"/>
    </row>
    <row r="253" spans="11:14" x14ac:dyDescent="0.25">
      <c r="K253" s="19"/>
      <c r="L253" s="19"/>
      <c r="N253" s="19"/>
    </row>
    <row r="254" spans="11:14" x14ac:dyDescent="0.25">
      <c r="K254" s="19"/>
      <c r="L254" s="19"/>
      <c r="N254" s="19"/>
    </row>
    <row r="255" spans="11:14" x14ac:dyDescent="0.25">
      <c r="K255" s="19"/>
      <c r="L255" s="19"/>
      <c r="N255" s="19"/>
    </row>
    <row r="256" spans="11:14" x14ac:dyDescent="0.25">
      <c r="K256" s="19"/>
      <c r="L256" s="19"/>
      <c r="N256" s="19"/>
    </row>
    <row r="257" spans="11:14" x14ac:dyDescent="0.25">
      <c r="K257" s="19"/>
      <c r="L257" s="19"/>
      <c r="N257" s="19"/>
    </row>
    <row r="258" spans="11:14" x14ac:dyDescent="0.25">
      <c r="K258" s="19"/>
      <c r="L258" s="19"/>
      <c r="N258" s="19"/>
    </row>
    <row r="259" spans="11:14" x14ac:dyDescent="0.25">
      <c r="K259" s="19"/>
      <c r="L259" s="19"/>
      <c r="N259" s="19"/>
    </row>
    <row r="260" spans="11:14" x14ac:dyDescent="0.25">
      <c r="K260" s="19"/>
      <c r="L260" s="19"/>
      <c r="N260" s="19"/>
    </row>
    <row r="261" spans="11:14" x14ac:dyDescent="0.25">
      <c r="K261" s="19"/>
      <c r="L261" s="19"/>
      <c r="N261" s="19"/>
    </row>
    <row r="262" spans="11:14" x14ac:dyDescent="0.25">
      <c r="K262" s="19"/>
      <c r="L262" s="19"/>
      <c r="N262" s="19"/>
    </row>
    <row r="263" spans="11:14" x14ac:dyDescent="0.25">
      <c r="K263" s="19"/>
      <c r="L263" s="19"/>
      <c r="N263" s="19"/>
    </row>
    <row r="264" spans="11:14" x14ac:dyDescent="0.25">
      <c r="K264" s="19"/>
      <c r="L264" s="19"/>
      <c r="N264" s="19"/>
    </row>
    <row r="265" spans="11:14" x14ac:dyDescent="0.25">
      <c r="K265" s="19"/>
      <c r="L265" s="19"/>
      <c r="N265" s="19"/>
    </row>
    <row r="266" spans="11:14" x14ac:dyDescent="0.25">
      <c r="K266" s="19"/>
      <c r="L266" s="19"/>
      <c r="N266" s="19"/>
    </row>
    <row r="267" spans="11:14" x14ac:dyDescent="0.25">
      <c r="K267" s="19"/>
      <c r="L267" s="19"/>
      <c r="N267" s="19"/>
    </row>
    <row r="268" spans="11:14" x14ac:dyDescent="0.25">
      <c r="K268" s="19"/>
      <c r="L268" s="19"/>
      <c r="N268" s="19"/>
    </row>
    <row r="269" spans="11:14" x14ac:dyDescent="0.25">
      <c r="K269" s="19"/>
      <c r="L269" s="19"/>
      <c r="N269" s="19"/>
    </row>
    <row r="270" spans="11:14" x14ac:dyDescent="0.25">
      <c r="K270" s="19"/>
      <c r="L270" s="19"/>
      <c r="N270" s="19"/>
    </row>
    <row r="271" spans="11:14" x14ac:dyDescent="0.25">
      <c r="K271" s="19"/>
      <c r="L271" s="19"/>
      <c r="N271" s="19"/>
    </row>
    <row r="272" spans="11:14" x14ac:dyDescent="0.25">
      <c r="K272" s="19"/>
      <c r="L272" s="19"/>
      <c r="N272" s="19"/>
    </row>
    <row r="273" spans="11:14" x14ac:dyDescent="0.25">
      <c r="K273" s="19"/>
      <c r="L273" s="19"/>
      <c r="N273" s="19"/>
    </row>
    <row r="274" spans="11:14" x14ac:dyDescent="0.25">
      <c r="K274" s="19"/>
      <c r="L274" s="19"/>
      <c r="N274" s="19"/>
    </row>
    <row r="275" spans="11:14" x14ac:dyDescent="0.25">
      <c r="K275" s="19"/>
      <c r="L275" s="19"/>
      <c r="N275" s="19"/>
    </row>
    <row r="276" spans="11:14" x14ac:dyDescent="0.25">
      <c r="K276" s="19"/>
      <c r="L276" s="19"/>
      <c r="N276" s="19"/>
    </row>
    <row r="277" spans="11:14" x14ac:dyDescent="0.25">
      <c r="K277" s="19"/>
      <c r="L277" s="19"/>
      <c r="N277" s="19"/>
    </row>
    <row r="278" spans="11:14" x14ac:dyDescent="0.25">
      <c r="K278" s="19"/>
      <c r="L278" s="19"/>
      <c r="N278" s="19"/>
    </row>
    <row r="279" spans="11:14" x14ac:dyDescent="0.25">
      <c r="K279" s="19"/>
      <c r="L279" s="19"/>
      <c r="N279" s="19"/>
    </row>
    <row r="280" spans="11:14" x14ac:dyDescent="0.25">
      <c r="K280" s="19"/>
      <c r="L280" s="19"/>
      <c r="N280" s="19"/>
    </row>
    <row r="281" spans="11:14" x14ac:dyDescent="0.25">
      <c r="K281" s="19"/>
      <c r="L281" s="19"/>
      <c r="N281" s="19"/>
    </row>
    <row r="282" spans="11:14" x14ac:dyDescent="0.25">
      <c r="K282" s="19"/>
      <c r="L282" s="19"/>
      <c r="N282" s="19"/>
    </row>
    <row r="283" spans="11:14" x14ac:dyDescent="0.25">
      <c r="K283" s="19"/>
      <c r="L283" s="19"/>
      <c r="N283" s="19"/>
    </row>
    <row r="284" spans="11:14" x14ac:dyDescent="0.25">
      <c r="K284" s="19"/>
      <c r="L284" s="19"/>
      <c r="N284" s="19"/>
    </row>
    <row r="285" spans="11:14" x14ac:dyDescent="0.25">
      <c r="K285" s="19"/>
      <c r="L285" s="19"/>
      <c r="N285" s="19"/>
    </row>
    <row r="286" spans="11:14" x14ac:dyDescent="0.25">
      <c r="K286" s="19"/>
      <c r="L286" s="19"/>
      <c r="N286" s="19"/>
    </row>
    <row r="287" spans="11:14" x14ac:dyDescent="0.25">
      <c r="K287" s="19"/>
      <c r="L287" s="19"/>
      <c r="N287" s="19"/>
    </row>
    <row r="288" spans="11:14" x14ac:dyDescent="0.25">
      <c r="K288" s="19"/>
      <c r="L288" s="19"/>
      <c r="N288" s="19"/>
    </row>
    <row r="289" spans="11:14" x14ac:dyDescent="0.25">
      <c r="K289" s="19"/>
      <c r="L289" s="19"/>
      <c r="N289" s="19"/>
    </row>
    <row r="290" spans="11:14" x14ac:dyDescent="0.25">
      <c r="K290" s="19"/>
      <c r="L290" s="19"/>
      <c r="N290" s="19"/>
    </row>
    <row r="291" spans="11:14" x14ac:dyDescent="0.25">
      <c r="K291" s="19"/>
      <c r="L291" s="19"/>
      <c r="N291" s="19"/>
    </row>
    <row r="292" spans="11:14" x14ac:dyDescent="0.25">
      <c r="K292" s="19"/>
      <c r="L292" s="19"/>
      <c r="N292" s="19"/>
    </row>
    <row r="293" spans="11:14" x14ac:dyDescent="0.25">
      <c r="K293" s="19"/>
      <c r="L293" s="19"/>
      <c r="N293" s="19"/>
    </row>
    <row r="294" spans="11:14" x14ac:dyDescent="0.25">
      <c r="K294" s="19"/>
      <c r="L294" s="19"/>
      <c r="N294" s="19"/>
    </row>
    <row r="295" spans="11:14" x14ac:dyDescent="0.25">
      <c r="K295" s="19"/>
      <c r="L295" s="19"/>
      <c r="N295" s="19"/>
    </row>
    <row r="296" spans="11:14" x14ac:dyDescent="0.25">
      <c r="K296" s="19"/>
      <c r="L296" s="19"/>
      <c r="N296" s="19"/>
    </row>
    <row r="297" spans="11:14" x14ac:dyDescent="0.25">
      <c r="K297" s="19"/>
      <c r="L297" s="19"/>
      <c r="N297" s="19"/>
    </row>
    <row r="298" spans="11:14" x14ac:dyDescent="0.25">
      <c r="K298" s="19"/>
      <c r="L298" s="19"/>
      <c r="N298" s="19"/>
    </row>
    <row r="299" spans="11:14" x14ac:dyDescent="0.25">
      <c r="K299" s="19"/>
      <c r="L299" s="19"/>
      <c r="N299" s="19"/>
    </row>
    <row r="300" spans="11:14" x14ac:dyDescent="0.25">
      <c r="K300" s="19"/>
      <c r="L300" s="19"/>
      <c r="N300" s="19"/>
    </row>
    <row r="301" spans="11:14" x14ac:dyDescent="0.25">
      <c r="K301" s="19"/>
      <c r="L301" s="19"/>
      <c r="N301" s="19"/>
    </row>
    <row r="302" spans="11:14" x14ac:dyDescent="0.25">
      <c r="K302" s="19"/>
      <c r="L302" s="19"/>
      <c r="N302" s="19"/>
    </row>
    <row r="303" spans="11:14" x14ac:dyDescent="0.25">
      <c r="K303" s="19"/>
      <c r="L303" s="19"/>
      <c r="N303" s="19"/>
    </row>
    <row r="304" spans="11:14" x14ac:dyDescent="0.25">
      <c r="K304" s="19"/>
      <c r="L304" s="19"/>
      <c r="N304" s="19"/>
    </row>
    <row r="305" spans="2:14" x14ac:dyDescent="0.25">
      <c r="K305" s="19"/>
      <c r="L305" s="19"/>
      <c r="N305" s="19"/>
    </row>
    <row r="306" spans="2:14" x14ac:dyDescent="0.25">
      <c r="K306" s="19"/>
      <c r="L306" s="19"/>
      <c r="N306" s="19"/>
    </row>
    <row r="307" spans="2:14" x14ac:dyDescent="0.25">
      <c r="K307" s="19"/>
      <c r="L307" s="19"/>
      <c r="N307" s="19"/>
    </row>
    <row r="308" spans="2:14" x14ac:dyDescent="0.25">
      <c r="K308" s="19"/>
      <c r="L308" s="19"/>
      <c r="N308" s="19"/>
    </row>
    <row r="309" spans="2:14" x14ac:dyDescent="0.25">
      <c r="K309" s="19"/>
      <c r="L309" s="19"/>
      <c r="N309" s="19"/>
    </row>
    <row r="310" spans="2:14" x14ac:dyDescent="0.25">
      <c r="K310" s="19"/>
      <c r="L310" s="19"/>
      <c r="N310" s="19"/>
    </row>
    <row r="311" spans="2:14" x14ac:dyDescent="0.25">
      <c r="K311" s="19"/>
      <c r="L311" s="19"/>
      <c r="N311" s="19"/>
    </row>
    <row r="312" spans="2:14" x14ac:dyDescent="0.25">
      <c r="K312" s="19"/>
      <c r="L312" s="19"/>
      <c r="N312" s="19"/>
    </row>
    <row r="313" spans="2:14" x14ac:dyDescent="0.25">
      <c r="K313" s="19"/>
      <c r="L313" s="19"/>
      <c r="N313" s="19"/>
    </row>
    <row r="314" spans="2:14" x14ac:dyDescent="0.25">
      <c r="K314" s="19"/>
      <c r="L314" s="19"/>
      <c r="N314" s="19"/>
    </row>
    <row r="315" spans="2:14" x14ac:dyDescent="0.25">
      <c r="K315" s="19"/>
      <c r="L315" s="19"/>
      <c r="N315" s="19"/>
    </row>
    <row r="316" spans="2:14" x14ac:dyDescent="0.25">
      <c r="K316" s="19"/>
      <c r="L316" s="19"/>
      <c r="N316" s="19"/>
    </row>
    <row r="317" spans="2:14" x14ac:dyDescent="0.25">
      <c r="K317" s="19"/>
      <c r="L317" s="19"/>
      <c r="N317" s="19"/>
    </row>
    <row r="318" spans="2:14" x14ac:dyDescent="0.25">
      <c r="B318" s="1"/>
      <c r="C318" s="1"/>
      <c r="D318" s="1"/>
      <c r="E318" s="1"/>
      <c r="F318" s="1"/>
      <c r="G318" s="1"/>
      <c r="H318" s="1"/>
      <c r="I318" s="1"/>
      <c r="J318" s="1"/>
      <c r="K318" s="26"/>
      <c r="L318" s="26"/>
      <c r="M318" s="1"/>
      <c r="N318" s="19"/>
    </row>
    <row r="319" spans="2:14" x14ac:dyDescent="0.25">
      <c r="B319" s="1"/>
      <c r="C319" s="1"/>
      <c r="D319" s="1"/>
      <c r="E319" s="1"/>
      <c r="F319" s="1"/>
      <c r="G319" s="1"/>
      <c r="H319" s="1"/>
      <c r="I319" s="1"/>
      <c r="J319" s="1"/>
      <c r="K319" s="26"/>
      <c r="L319" s="26"/>
      <c r="M319" s="1"/>
      <c r="N319" s="19"/>
    </row>
    <row r="320" spans="2:14" x14ac:dyDescent="0.25">
      <c r="B320" s="1"/>
      <c r="C320" s="1"/>
      <c r="D320" s="1"/>
      <c r="E320" s="1"/>
      <c r="F320" s="1"/>
      <c r="G320" s="1"/>
      <c r="H320" s="1"/>
      <c r="I320" s="1"/>
      <c r="J320" s="1"/>
      <c r="K320" s="26"/>
      <c r="L320" s="26"/>
      <c r="M320" s="1"/>
      <c r="N320" s="19"/>
    </row>
    <row r="321" spans="2:14" x14ac:dyDescent="0.25">
      <c r="B321" s="1"/>
      <c r="C321" s="1"/>
      <c r="D321" s="1"/>
      <c r="E321" s="1"/>
      <c r="F321" s="1"/>
      <c r="G321" s="1"/>
      <c r="H321" s="1"/>
      <c r="I321" s="1"/>
      <c r="J321" s="1"/>
      <c r="K321" s="26"/>
      <c r="L321" s="26"/>
      <c r="M321" s="1"/>
      <c r="N321" s="19"/>
    </row>
    <row r="322" spans="2:14" x14ac:dyDescent="0.25">
      <c r="B322" s="1"/>
      <c r="C322" s="1"/>
      <c r="D322" s="1"/>
      <c r="E322" s="1"/>
      <c r="F322" s="1"/>
      <c r="G322" s="1"/>
      <c r="H322" s="1"/>
      <c r="I322" s="1"/>
      <c r="J322" s="1"/>
      <c r="K322" s="26"/>
      <c r="L322" s="26"/>
      <c r="M322" s="1"/>
      <c r="N322" s="19"/>
    </row>
    <row r="323" spans="2:14" x14ac:dyDescent="0.25">
      <c r="B323" s="1"/>
      <c r="C323" s="1"/>
      <c r="D323" s="1"/>
      <c r="E323" s="1"/>
      <c r="F323" s="1"/>
      <c r="G323" s="1"/>
      <c r="H323" s="1"/>
      <c r="I323" s="1"/>
      <c r="J323" s="1"/>
      <c r="K323" s="26"/>
      <c r="L323" s="26"/>
      <c r="M323" s="1"/>
      <c r="N323" s="19"/>
    </row>
    <row r="324" spans="2:14" x14ac:dyDescent="0.25">
      <c r="B324" s="1"/>
      <c r="C324" s="1"/>
      <c r="D324" s="1"/>
      <c r="E324" s="1"/>
      <c r="F324" s="1"/>
      <c r="G324" s="1"/>
      <c r="H324" s="1"/>
      <c r="I324" s="1"/>
      <c r="J324" s="1"/>
      <c r="K324" s="26"/>
      <c r="L324" s="26"/>
      <c r="M324" s="1"/>
      <c r="N324" s="19"/>
    </row>
    <row r="325" spans="2:14" x14ac:dyDescent="0.25">
      <c r="B325" s="1"/>
      <c r="C325" s="1"/>
      <c r="D325" s="1"/>
      <c r="E325" s="1"/>
      <c r="F325" s="1"/>
      <c r="G325" s="1"/>
      <c r="H325" s="1"/>
      <c r="I325" s="1"/>
      <c r="J325" s="1"/>
      <c r="K325" s="26"/>
      <c r="L325" s="26"/>
      <c r="M325" s="1"/>
      <c r="N325" s="19"/>
    </row>
    <row r="326" spans="2:14" x14ac:dyDescent="0.25">
      <c r="B326" s="1"/>
      <c r="C326" s="1"/>
      <c r="D326" s="1"/>
      <c r="E326" s="1"/>
      <c r="F326" s="1"/>
      <c r="G326" s="1"/>
      <c r="H326" s="1"/>
      <c r="I326" s="1"/>
      <c r="J326" s="1"/>
      <c r="K326" s="26"/>
      <c r="L326" s="26"/>
      <c r="M326" s="1"/>
      <c r="N326" s="19"/>
    </row>
    <row r="327" spans="2:14" x14ac:dyDescent="0.25">
      <c r="B327" s="1"/>
      <c r="C327" s="1"/>
      <c r="D327" s="1"/>
      <c r="E327" s="1"/>
      <c r="F327" s="1"/>
      <c r="G327" s="1"/>
      <c r="H327" s="1"/>
      <c r="I327" s="1"/>
      <c r="J327" s="1"/>
      <c r="K327" s="26"/>
      <c r="L327" s="26"/>
      <c r="M327" s="1"/>
      <c r="N327" s="19"/>
    </row>
    <row r="328" spans="2:14" x14ac:dyDescent="0.25">
      <c r="B328" s="1"/>
      <c r="C328" s="1"/>
      <c r="D328" s="1"/>
      <c r="E328" s="1"/>
      <c r="F328" s="1"/>
      <c r="G328" s="1"/>
      <c r="H328" s="1"/>
      <c r="I328" s="1"/>
      <c r="J328" s="1"/>
      <c r="K328" s="26"/>
      <c r="L328" s="26"/>
      <c r="M328" s="1"/>
      <c r="N328" s="19"/>
    </row>
    <row r="329" spans="2:14" x14ac:dyDescent="0.25">
      <c r="B329" s="1"/>
      <c r="C329" s="1"/>
      <c r="D329" s="1"/>
      <c r="E329" s="1"/>
      <c r="F329" s="1"/>
      <c r="G329" s="1"/>
      <c r="H329" s="1"/>
      <c r="I329" s="1"/>
      <c r="J329" s="1"/>
      <c r="K329" s="26"/>
      <c r="L329" s="26"/>
      <c r="M329" s="1"/>
      <c r="N329" s="19"/>
    </row>
    <row r="330" spans="2:14" x14ac:dyDescent="0.25">
      <c r="B330" s="1"/>
      <c r="C330" s="1"/>
      <c r="D330" s="1"/>
      <c r="E330" s="1"/>
      <c r="F330" s="1"/>
      <c r="G330" s="1"/>
      <c r="H330" s="1"/>
      <c r="I330" s="1"/>
      <c r="J330" s="1"/>
      <c r="K330" s="26"/>
      <c r="L330" s="26"/>
      <c r="M330" s="1"/>
      <c r="N330" s="19"/>
    </row>
    <row r="331" spans="2:14" x14ac:dyDescent="0.25">
      <c r="B331" s="1"/>
      <c r="C331" s="1"/>
      <c r="D331" s="1"/>
      <c r="E331" s="1"/>
      <c r="F331" s="1"/>
      <c r="G331" s="1"/>
      <c r="H331" s="1"/>
      <c r="I331" s="1"/>
      <c r="J331" s="1"/>
      <c r="K331" s="26"/>
      <c r="L331" s="26"/>
      <c r="M331" s="1"/>
      <c r="N331" s="19"/>
    </row>
    <row r="332" spans="2:14" x14ac:dyDescent="0.25">
      <c r="B332" s="1"/>
      <c r="C332" s="1"/>
      <c r="D332" s="1"/>
      <c r="E332" s="1"/>
      <c r="F332" s="1"/>
      <c r="G332" s="1"/>
      <c r="H332" s="1"/>
      <c r="I332" s="1"/>
      <c r="J332" s="1"/>
      <c r="K332" s="26"/>
      <c r="L332" s="26"/>
      <c r="M332" s="1"/>
      <c r="N332" s="19"/>
    </row>
    <row r="333" spans="2:14" x14ac:dyDescent="0.25">
      <c r="B333" s="1"/>
      <c r="C333" s="1"/>
      <c r="D333" s="1"/>
      <c r="E333" s="1"/>
      <c r="F333" s="1"/>
      <c r="G333" s="1"/>
      <c r="H333" s="1"/>
      <c r="I333" s="1"/>
      <c r="J333" s="1"/>
      <c r="K333" s="26"/>
      <c r="L333" s="26"/>
      <c r="M333" s="1"/>
      <c r="N333" s="19"/>
    </row>
    <row r="334" spans="2:14" x14ac:dyDescent="0.25">
      <c r="B334" s="1"/>
      <c r="C334" s="1"/>
      <c r="D334" s="1"/>
      <c r="E334" s="1"/>
      <c r="F334" s="1"/>
      <c r="G334" s="1"/>
      <c r="H334" s="1"/>
      <c r="I334" s="1"/>
      <c r="J334" s="1"/>
      <c r="K334" s="26"/>
      <c r="L334" s="26"/>
      <c r="M334" s="1"/>
      <c r="N334" s="19"/>
    </row>
    <row r="335" spans="2:14" x14ac:dyDescent="0.25">
      <c r="B335" s="1"/>
      <c r="C335" s="1"/>
      <c r="D335" s="1"/>
      <c r="E335" s="1"/>
      <c r="F335" s="1"/>
      <c r="G335" s="1"/>
      <c r="H335" s="1"/>
      <c r="I335" s="1"/>
      <c r="J335" s="1"/>
      <c r="K335" s="26"/>
      <c r="L335" s="26"/>
      <c r="M335" s="1"/>
      <c r="N335" s="19"/>
    </row>
    <row r="336" spans="2:14" x14ac:dyDescent="0.25">
      <c r="B336" s="1"/>
      <c r="C336" s="1"/>
      <c r="D336" s="1"/>
      <c r="E336" s="1"/>
      <c r="F336" s="1"/>
      <c r="G336" s="1"/>
      <c r="H336" s="1"/>
      <c r="I336" s="1"/>
      <c r="J336" s="1"/>
      <c r="K336" s="26"/>
      <c r="L336" s="26"/>
      <c r="M336" s="1"/>
      <c r="N336" s="19"/>
    </row>
    <row r="337" spans="2:14" x14ac:dyDescent="0.25">
      <c r="B337" s="1"/>
      <c r="C337" s="1"/>
      <c r="D337" s="1"/>
      <c r="E337" s="1"/>
      <c r="F337" s="1"/>
      <c r="G337" s="1"/>
      <c r="H337" s="1"/>
      <c r="I337" s="1"/>
      <c r="J337" s="1"/>
      <c r="K337" s="26"/>
      <c r="L337" s="26"/>
      <c r="M337" s="1"/>
      <c r="N337" s="19"/>
    </row>
    <row r="338" spans="2:14" x14ac:dyDescent="0.25">
      <c r="B338" s="1"/>
      <c r="C338" s="1"/>
      <c r="D338" s="1"/>
      <c r="E338" s="1"/>
      <c r="F338" s="1"/>
      <c r="G338" s="1"/>
      <c r="H338" s="1"/>
      <c r="I338" s="1"/>
      <c r="J338" s="1"/>
      <c r="K338" s="26"/>
      <c r="L338" s="26"/>
      <c r="M338" s="1"/>
      <c r="N338" s="19"/>
    </row>
    <row r="339" spans="2:14" x14ac:dyDescent="0.25">
      <c r="B339" s="1"/>
      <c r="C339" s="1"/>
      <c r="D339" s="1"/>
      <c r="E339" s="1"/>
      <c r="F339" s="1"/>
      <c r="G339" s="1"/>
      <c r="H339" s="1"/>
      <c r="I339" s="1"/>
      <c r="J339" s="1"/>
      <c r="K339" s="26"/>
      <c r="L339" s="26"/>
      <c r="M339" s="1"/>
      <c r="N339" s="19"/>
    </row>
    <row r="340" spans="2:14" x14ac:dyDescent="0.25">
      <c r="B340" s="1"/>
      <c r="C340" s="1"/>
      <c r="D340" s="1"/>
      <c r="E340" s="1"/>
      <c r="F340" s="1"/>
      <c r="G340" s="1"/>
      <c r="H340" s="1"/>
      <c r="I340" s="1"/>
      <c r="J340" s="1"/>
      <c r="K340" s="26"/>
      <c r="L340" s="26"/>
      <c r="M340" s="1"/>
      <c r="N340" s="19"/>
    </row>
    <row r="341" spans="2:14" x14ac:dyDescent="0.25">
      <c r="B341" s="1"/>
      <c r="C341" s="1"/>
      <c r="D341" s="1"/>
      <c r="E341" s="1"/>
      <c r="F341" s="1"/>
      <c r="G341" s="1"/>
      <c r="H341" s="1"/>
      <c r="I341" s="1"/>
      <c r="J341" s="1"/>
      <c r="K341" s="26"/>
      <c r="L341" s="26"/>
      <c r="M341" s="1"/>
      <c r="N341" s="19"/>
    </row>
    <row r="342" spans="2:14" x14ac:dyDescent="0.25">
      <c r="B342" s="1"/>
      <c r="C342" s="1"/>
      <c r="D342" s="1"/>
      <c r="E342" s="1"/>
      <c r="F342" s="1"/>
      <c r="G342" s="1"/>
      <c r="H342" s="1"/>
      <c r="I342" s="1"/>
      <c r="J342" s="1"/>
      <c r="K342" s="26"/>
      <c r="L342" s="26"/>
      <c r="M342" s="1"/>
      <c r="N342" s="19"/>
    </row>
    <row r="343" spans="2:14" x14ac:dyDescent="0.25">
      <c r="B343" s="1"/>
      <c r="C343" s="1"/>
      <c r="D343" s="1"/>
      <c r="E343" s="1"/>
      <c r="F343" s="1"/>
      <c r="G343" s="1"/>
      <c r="H343" s="1"/>
      <c r="I343" s="1"/>
      <c r="J343" s="1"/>
      <c r="K343" s="26"/>
      <c r="L343" s="26"/>
      <c r="M343" s="1"/>
      <c r="N343" s="19"/>
    </row>
    <row r="344" spans="2:14" x14ac:dyDescent="0.25">
      <c r="B344" s="1"/>
      <c r="C344" s="1"/>
      <c r="D344" s="1"/>
      <c r="E344" s="1"/>
      <c r="F344" s="1"/>
      <c r="G344" s="1"/>
      <c r="H344" s="1"/>
      <c r="I344" s="1"/>
      <c r="J344" s="1"/>
      <c r="K344" s="26"/>
      <c r="L344" s="26"/>
      <c r="M344" s="1"/>
      <c r="N344" s="19"/>
    </row>
    <row r="345" spans="2:14" x14ac:dyDescent="0.25">
      <c r="B345" s="1"/>
      <c r="C345" s="1"/>
      <c r="D345" s="1"/>
      <c r="E345" s="1"/>
      <c r="F345" s="1"/>
      <c r="G345" s="1"/>
      <c r="H345" s="1"/>
      <c r="I345" s="1"/>
      <c r="J345" s="1"/>
      <c r="K345" s="26"/>
      <c r="L345" s="26"/>
      <c r="M345" s="1"/>
      <c r="N345" s="19"/>
    </row>
    <row r="346" spans="2:14" x14ac:dyDescent="0.25">
      <c r="B346" s="1"/>
      <c r="C346" s="1"/>
      <c r="D346" s="1"/>
      <c r="E346" s="1"/>
      <c r="F346" s="1"/>
      <c r="G346" s="1"/>
      <c r="H346" s="1"/>
      <c r="I346" s="1"/>
      <c r="J346" s="1"/>
      <c r="K346" s="26"/>
      <c r="L346" s="26"/>
      <c r="M346" s="1"/>
      <c r="N346" s="19"/>
    </row>
    <row r="347" spans="2:14" x14ac:dyDescent="0.25">
      <c r="B347" s="1"/>
      <c r="C347" s="1"/>
      <c r="D347" s="1"/>
      <c r="E347" s="1"/>
      <c r="F347" s="1"/>
      <c r="G347" s="1"/>
      <c r="H347" s="1"/>
      <c r="I347" s="1"/>
      <c r="J347" s="1"/>
      <c r="K347" s="26"/>
      <c r="L347" s="26"/>
      <c r="M347" s="1"/>
      <c r="N347" s="19"/>
    </row>
    <row r="348" spans="2:14" x14ac:dyDescent="0.25">
      <c r="B348" s="1"/>
      <c r="C348" s="1"/>
      <c r="D348" s="1"/>
      <c r="E348" s="1"/>
      <c r="F348" s="1"/>
      <c r="G348" s="1"/>
      <c r="H348" s="1"/>
      <c r="I348" s="1"/>
      <c r="J348" s="1"/>
      <c r="K348" s="26"/>
      <c r="L348" s="26"/>
      <c r="M348" s="1"/>
      <c r="N348" s="19"/>
    </row>
    <row r="349" spans="2:14" x14ac:dyDescent="0.25">
      <c r="B349" s="1"/>
      <c r="C349" s="1"/>
      <c r="D349" s="1"/>
      <c r="E349" s="1"/>
      <c r="F349" s="1"/>
      <c r="G349" s="1"/>
      <c r="H349" s="1"/>
      <c r="I349" s="1"/>
      <c r="J349" s="1"/>
      <c r="K349" s="26"/>
      <c r="L349" s="26"/>
      <c r="M349" s="1"/>
      <c r="N349" s="19"/>
    </row>
    <row r="350" spans="2:14" x14ac:dyDescent="0.25">
      <c r="B350" s="1"/>
      <c r="C350" s="1"/>
      <c r="D350" s="1"/>
      <c r="E350" s="1"/>
      <c r="F350" s="1"/>
      <c r="G350" s="1"/>
      <c r="H350" s="1"/>
      <c r="I350" s="1"/>
      <c r="J350" s="1"/>
      <c r="K350" s="26"/>
      <c r="L350" s="26"/>
      <c r="M350" s="1"/>
      <c r="N350" s="19"/>
    </row>
    <row r="351" spans="2:14" x14ac:dyDescent="0.25">
      <c r="B351" s="1"/>
      <c r="C351" s="1"/>
      <c r="D351" s="1"/>
      <c r="E351" s="1"/>
      <c r="F351" s="1"/>
      <c r="G351" s="1"/>
      <c r="H351" s="1"/>
      <c r="I351" s="1"/>
      <c r="J351" s="1"/>
      <c r="K351" s="26"/>
      <c r="L351" s="26"/>
      <c r="M351" s="1"/>
      <c r="N351" s="19"/>
    </row>
    <row r="352" spans="2:14" x14ac:dyDescent="0.25">
      <c r="B352" s="1"/>
      <c r="C352" s="1"/>
      <c r="D352" s="1"/>
      <c r="E352" s="1"/>
      <c r="F352" s="1"/>
      <c r="G352" s="1"/>
      <c r="H352" s="1"/>
      <c r="I352" s="1"/>
      <c r="J352" s="1"/>
      <c r="K352" s="26"/>
      <c r="L352" s="26"/>
      <c r="M352" s="1"/>
      <c r="N352" s="19"/>
    </row>
    <row r="353" spans="11:14" x14ac:dyDescent="0.25">
      <c r="K353" s="19"/>
      <c r="L353" s="19"/>
      <c r="N353" s="19"/>
    </row>
    <row r="354" spans="11:14" x14ac:dyDescent="0.25">
      <c r="K354" s="19"/>
      <c r="L354" s="19"/>
      <c r="N354" s="19"/>
    </row>
  </sheetData>
  <mergeCells count="1">
    <mergeCell ref="F1:H1"/>
  </mergeCells>
  <pageMargins left="0.75" right="0.75" top="1" bottom="1" header="0.5" footer="0.5"/>
  <pageSetup orientation="portrait" horizontalDpi="4294967292" verticalDpi="4294967292"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108040"/>
  </sheetPr>
  <dimension ref="A1:O337"/>
  <sheetViews>
    <sheetView workbookViewId="0">
      <pane ySplit="4" topLeftCell="A5" activePane="bottomLeft" state="frozen"/>
      <selection pane="bottomLeft" activeCell="H15" sqref="H15"/>
    </sheetView>
  </sheetViews>
  <sheetFormatPr defaultColWidth="11" defaultRowHeight="15.75" x14ac:dyDescent="0.25"/>
  <cols>
    <col min="1" max="1" width="33.25" customWidth="1"/>
    <col min="2" max="2" width="15.125" bestFit="1" customWidth="1"/>
    <col min="3" max="9" width="12.5" bestFit="1" customWidth="1"/>
    <col min="10" max="10" width="13.875" customWidth="1"/>
    <col min="11" max="11" width="14.125" style="278" bestFit="1" customWidth="1"/>
    <col min="12" max="12" width="13.875" customWidth="1"/>
    <col min="13" max="13" width="13.875" hidden="1" customWidth="1"/>
    <col min="14" max="14" width="12.125" style="124" bestFit="1" customWidth="1"/>
  </cols>
  <sheetData>
    <row r="1" spans="1:15" ht="18.75" x14ac:dyDescent="0.3">
      <c r="A1" s="36" t="s">
        <v>361</v>
      </c>
      <c r="F1" s="1020" t="s">
        <v>154</v>
      </c>
      <c r="G1" s="1020"/>
      <c r="H1" s="1020"/>
      <c r="J1" s="743"/>
      <c r="K1" s="295"/>
      <c r="L1" s="743"/>
      <c r="M1" s="743"/>
    </row>
    <row r="2" spans="1:15" x14ac:dyDescent="0.25">
      <c r="A2" s="2"/>
    </row>
    <row r="3" spans="1:15" x14ac:dyDescent="0.25">
      <c r="A3" s="2"/>
      <c r="B3" s="435" t="s">
        <v>58</v>
      </c>
      <c r="C3" s="360" t="s">
        <v>58</v>
      </c>
      <c r="D3" s="360" t="s">
        <v>58</v>
      </c>
      <c r="E3" s="360" t="s">
        <v>58</v>
      </c>
      <c r="F3" s="360" t="s">
        <v>58</v>
      </c>
      <c r="G3" s="360" t="s">
        <v>58</v>
      </c>
      <c r="H3" s="360" t="s">
        <v>58</v>
      </c>
      <c r="I3" s="360" t="s">
        <v>58</v>
      </c>
      <c r="J3" s="436" t="s">
        <v>58</v>
      </c>
      <c r="K3" s="360" t="s">
        <v>58</v>
      </c>
      <c r="L3" s="441" t="s">
        <v>58</v>
      </c>
      <c r="M3" s="360" t="s">
        <v>58</v>
      </c>
    </row>
    <row r="4" spans="1:15" x14ac:dyDescent="0.25">
      <c r="A4" s="2"/>
      <c r="B4" s="437" t="s">
        <v>55</v>
      </c>
      <c r="C4" s="205" t="s">
        <v>55</v>
      </c>
      <c r="D4" s="205" t="s">
        <v>55</v>
      </c>
      <c r="E4" s="205" t="s">
        <v>55</v>
      </c>
      <c r="F4" s="205" t="s">
        <v>55</v>
      </c>
      <c r="G4" s="205" t="s">
        <v>55</v>
      </c>
      <c r="H4" s="205" t="s">
        <v>55</v>
      </c>
      <c r="I4" s="205" t="s">
        <v>55</v>
      </c>
      <c r="J4" s="438" t="s">
        <v>55</v>
      </c>
      <c r="K4" s="205" t="s">
        <v>151</v>
      </c>
      <c r="L4" s="442" t="s">
        <v>56</v>
      </c>
      <c r="M4" s="205" t="s">
        <v>253</v>
      </c>
    </row>
    <row r="5" spans="1:15" ht="19.5" thickBot="1" x14ac:dyDescent="0.35">
      <c r="A5" s="351"/>
      <c r="B5" s="439">
        <v>2009</v>
      </c>
      <c r="C5" s="367">
        <v>2010</v>
      </c>
      <c r="D5" s="367">
        <v>2011</v>
      </c>
      <c r="E5" s="367">
        <v>2012</v>
      </c>
      <c r="F5" s="367">
        <v>2013</v>
      </c>
      <c r="G5" s="367">
        <v>2014</v>
      </c>
      <c r="H5" s="367">
        <v>2015</v>
      </c>
      <c r="I5" s="367">
        <v>2016</v>
      </c>
      <c r="J5" s="440">
        <v>2017</v>
      </c>
      <c r="K5" s="367">
        <v>2018</v>
      </c>
      <c r="L5" s="456">
        <v>2019</v>
      </c>
      <c r="M5" s="367">
        <v>2018</v>
      </c>
    </row>
    <row r="6" spans="1:15" s="278" customFormat="1" ht="18.75" x14ac:dyDescent="0.3">
      <c r="A6" s="370" t="s">
        <v>333</v>
      </c>
      <c r="B6" s="378"/>
      <c r="C6" s="371"/>
      <c r="D6" s="371"/>
      <c r="E6" s="371"/>
      <c r="F6" s="371"/>
      <c r="G6" s="371"/>
      <c r="H6" s="371"/>
      <c r="I6" s="371"/>
      <c r="J6" s="379"/>
      <c r="K6" s="463"/>
      <c r="L6" s="464"/>
      <c r="M6" s="379"/>
      <c r="N6" s="126"/>
    </row>
    <row r="7" spans="1:15" x14ac:dyDescent="0.25">
      <c r="A7" s="106" t="s">
        <v>92</v>
      </c>
      <c r="B7" s="380">
        <v>1236539</v>
      </c>
      <c r="C7" s="315">
        <f>1183040+133210</f>
        <v>1316250</v>
      </c>
      <c r="D7" s="315">
        <v>0</v>
      </c>
      <c r="E7" s="315">
        <v>0</v>
      </c>
      <c r="F7" s="315">
        <v>0</v>
      </c>
      <c r="G7" s="315">
        <v>0</v>
      </c>
      <c r="H7" s="315">
        <v>0</v>
      </c>
      <c r="I7" s="315">
        <v>0</v>
      </c>
      <c r="J7" s="381">
        <v>0</v>
      </c>
      <c r="K7" s="315">
        <v>0</v>
      </c>
      <c r="L7" s="372">
        <v>0</v>
      </c>
      <c r="M7" s="381">
        <v>0</v>
      </c>
      <c r="N7" s="121"/>
    </row>
    <row r="8" spans="1:15" x14ac:dyDescent="0.25">
      <c r="A8" s="353" t="s">
        <v>88</v>
      </c>
      <c r="B8" s="380">
        <v>0</v>
      </c>
      <c r="C8" s="315">
        <v>0</v>
      </c>
      <c r="D8" s="315">
        <v>0</v>
      </c>
      <c r="E8" s="315">
        <v>0</v>
      </c>
      <c r="F8" s="315">
        <v>0</v>
      </c>
      <c r="G8" s="315">
        <v>0</v>
      </c>
      <c r="H8" s="315">
        <v>0</v>
      </c>
      <c r="I8" s="315">
        <v>0</v>
      </c>
      <c r="J8" s="381">
        <v>0</v>
      </c>
      <c r="K8" s="315">
        <v>0</v>
      </c>
      <c r="L8" s="372">
        <v>0</v>
      </c>
      <c r="M8" s="381">
        <v>0</v>
      </c>
      <c r="N8" s="121"/>
    </row>
    <row r="9" spans="1:15" s="60" customFormat="1" x14ac:dyDescent="0.25">
      <c r="A9" s="107" t="s">
        <v>93</v>
      </c>
      <c r="B9" s="380">
        <v>0</v>
      </c>
      <c r="C9" s="315">
        <v>0</v>
      </c>
      <c r="D9" s="315">
        <v>0</v>
      </c>
      <c r="E9" s="315">
        <v>0</v>
      </c>
      <c r="F9" s="315">
        <v>0</v>
      </c>
      <c r="G9" s="315">
        <v>0</v>
      </c>
      <c r="H9" s="315">
        <v>0</v>
      </c>
      <c r="I9" s="315">
        <v>0</v>
      </c>
      <c r="J9" s="381">
        <v>0</v>
      </c>
      <c r="K9" s="315">
        <v>0</v>
      </c>
      <c r="L9" s="372">
        <v>0</v>
      </c>
      <c r="M9" s="381">
        <v>0</v>
      </c>
      <c r="N9" s="121"/>
    </row>
    <row r="10" spans="1:15" x14ac:dyDescent="0.25">
      <c r="A10" s="354" t="s">
        <v>78</v>
      </c>
      <c r="B10" s="380">
        <v>380252</v>
      </c>
      <c r="C10" s="315">
        <v>660257</v>
      </c>
      <c r="D10" s="315">
        <v>329456</v>
      </c>
      <c r="E10" s="315">
        <v>337173</v>
      </c>
      <c r="F10" s="315">
        <v>1864039</v>
      </c>
      <c r="G10" s="315">
        <v>455335</v>
      </c>
      <c r="H10" s="315">
        <v>606572</v>
      </c>
      <c r="I10" s="315">
        <v>746904</v>
      </c>
      <c r="J10" s="381">
        <v>392673</v>
      </c>
      <c r="K10" s="315">
        <v>1724</v>
      </c>
      <c r="L10" s="372">
        <v>0</v>
      </c>
      <c r="M10" s="381">
        <v>600080</v>
      </c>
      <c r="N10" s="121"/>
      <c r="O10" s="1"/>
    </row>
    <row r="11" spans="1:15" ht="16.5" thickBot="1" x14ac:dyDescent="0.3">
      <c r="A11" s="866" t="s">
        <v>150</v>
      </c>
      <c r="B11" s="380">
        <v>0</v>
      </c>
      <c r="C11" s="315">
        <v>0</v>
      </c>
      <c r="D11" s="315">
        <f>7957074-6319935</f>
        <v>1637139</v>
      </c>
      <c r="E11" s="315">
        <v>0</v>
      </c>
      <c r="F11" s="315">
        <v>0</v>
      </c>
      <c r="G11" s="315">
        <v>0</v>
      </c>
      <c r="H11" s="315">
        <v>0</v>
      </c>
      <c r="I11" s="315">
        <v>0</v>
      </c>
      <c r="J11" s="381">
        <v>0</v>
      </c>
      <c r="K11" s="315">
        <v>0</v>
      </c>
      <c r="L11" s="372">
        <v>0</v>
      </c>
      <c r="M11" s="383">
        <v>0</v>
      </c>
      <c r="N11" s="121"/>
      <c r="O11" s="1"/>
    </row>
    <row r="12" spans="1:15" s="278" customFormat="1" ht="17.25" thickTop="1" thickBot="1" x14ac:dyDescent="0.3">
      <c r="A12" s="866"/>
      <c r="B12" s="382"/>
      <c r="C12" s="369"/>
      <c r="D12" s="369"/>
      <c r="E12" s="369"/>
      <c r="F12" s="369"/>
      <c r="G12" s="369"/>
      <c r="H12" s="369"/>
      <c r="I12" s="369"/>
      <c r="J12" s="383"/>
      <c r="K12" s="369"/>
      <c r="L12" s="373"/>
      <c r="M12" s="381"/>
      <c r="N12" s="121"/>
      <c r="O12" s="1"/>
    </row>
    <row r="13" spans="1:15" ht="17.25" thickTop="1" thickBot="1" x14ac:dyDescent="0.3">
      <c r="A13" s="430" t="s">
        <v>100</v>
      </c>
      <c r="B13" s="843">
        <f t="shared" ref="B13:L13" si="0">SUM(B7:B11)</f>
        <v>1616791</v>
      </c>
      <c r="C13" s="844">
        <f t="shared" si="0"/>
        <v>1976507</v>
      </c>
      <c r="D13" s="844">
        <f t="shared" si="0"/>
        <v>1966595</v>
      </c>
      <c r="E13" s="844">
        <f t="shared" si="0"/>
        <v>337173</v>
      </c>
      <c r="F13" s="844">
        <f t="shared" si="0"/>
        <v>1864039</v>
      </c>
      <c r="G13" s="844">
        <f t="shared" si="0"/>
        <v>455335</v>
      </c>
      <c r="H13" s="844">
        <f t="shared" si="0"/>
        <v>606572</v>
      </c>
      <c r="I13" s="844">
        <f t="shared" si="0"/>
        <v>746904</v>
      </c>
      <c r="J13" s="845">
        <f t="shared" si="0"/>
        <v>392673</v>
      </c>
      <c r="K13" s="844">
        <f>SUM(K7:K11)</f>
        <v>1724</v>
      </c>
      <c r="L13" s="846">
        <f t="shared" si="0"/>
        <v>0</v>
      </c>
      <c r="M13" s="433">
        <f>SUM(M7:M11)</f>
        <v>600080</v>
      </c>
      <c r="N13" s="126"/>
      <c r="O13" s="1"/>
    </row>
    <row r="14" spans="1:15" x14ac:dyDescent="0.25">
      <c r="A14" s="154"/>
      <c r="B14" s="504"/>
      <c r="C14" s="317"/>
      <c r="D14" s="317"/>
      <c r="E14" s="317"/>
      <c r="F14" s="317"/>
      <c r="G14" s="317"/>
      <c r="H14" s="317"/>
      <c r="I14" s="317"/>
      <c r="J14" s="496"/>
      <c r="K14" s="317"/>
      <c r="L14" s="490"/>
      <c r="M14" s="317"/>
      <c r="N14" s="120"/>
      <c r="O14" s="1"/>
    </row>
    <row r="15" spans="1:15" s="19" customFormat="1" ht="16.5" thickBot="1" x14ac:dyDescent="0.3">
      <c r="A15" s="735"/>
      <c r="B15" s="505"/>
      <c r="C15" s="311"/>
      <c r="D15" s="311"/>
      <c r="E15" s="311"/>
      <c r="F15" s="311"/>
      <c r="G15" s="311"/>
      <c r="H15" s="311"/>
      <c r="I15" s="311"/>
      <c r="J15" s="497"/>
      <c r="K15" s="311"/>
      <c r="L15" s="178"/>
      <c r="M15" s="311"/>
      <c r="N15" s="124"/>
    </row>
    <row r="16" spans="1:15" ht="18.75" x14ac:dyDescent="0.3">
      <c r="A16" s="376" t="s">
        <v>332</v>
      </c>
      <c r="B16" s="521">
        <v>2009</v>
      </c>
      <c r="C16" s="522">
        <v>2010</v>
      </c>
      <c r="D16" s="522">
        <v>2011</v>
      </c>
      <c r="E16" s="522">
        <v>2012</v>
      </c>
      <c r="F16" s="522">
        <v>2013</v>
      </c>
      <c r="G16" s="522">
        <v>2014</v>
      </c>
      <c r="H16" s="522">
        <v>2015</v>
      </c>
      <c r="I16" s="522">
        <v>2016</v>
      </c>
      <c r="J16" s="523">
        <v>2017</v>
      </c>
      <c r="K16" s="522">
        <v>2018</v>
      </c>
      <c r="L16" s="524">
        <v>2019</v>
      </c>
      <c r="M16" s="379">
        <v>2018</v>
      </c>
      <c r="N16" s="126"/>
    </row>
    <row r="17" spans="1:15" x14ac:dyDescent="0.25">
      <c r="A17" s="106" t="s">
        <v>92</v>
      </c>
      <c r="B17" s="505">
        <v>7946453</v>
      </c>
      <c r="C17" s="311">
        <v>7788379</v>
      </c>
      <c r="D17" s="311">
        <v>0</v>
      </c>
      <c r="E17" s="311">
        <v>652049</v>
      </c>
      <c r="F17" s="311">
        <v>21868</v>
      </c>
      <c r="G17" s="311">
        <v>0</v>
      </c>
      <c r="H17" s="311">
        <v>0</v>
      </c>
      <c r="I17" s="311">
        <v>0</v>
      </c>
      <c r="J17" s="497">
        <v>0</v>
      </c>
      <c r="K17" s="311">
        <v>0</v>
      </c>
      <c r="L17" s="178">
        <v>0</v>
      </c>
      <c r="M17" s="311"/>
    </row>
    <row r="18" spans="1:15" x14ac:dyDescent="0.25">
      <c r="A18" s="866" t="s">
        <v>150</v>
      </c>
      <c r="B18" s="505">
        <v>0</v>
      </c>
      <c r="C18" s="311">
        <v>0</v>
      </c>
      <c r="D18" s="311">
        <v>7957074</v>
      </c>
      <c r="E18" s="311">
        <v>0</v>
      </c>
      <c r="F18" s="311">
        <v>0</v>
      </c>
      <c r="G18" s="311">
        <v>0</v>
      </c>
      <c r="H18" s="311">
        <v>0</v>
      </c>
      <c r="I18" s="311">
        <v>0</v>
      </c>
      <c r="J18" s="497">
        <v>0</v>
      </c>
      <c r="K18" s="311">
        <v>0</v>
      </c>
      <c r="L18" s="178">
        <v>0</v>
      </c>
      <c r="M18" s="311">
        <v>0</v>
      </c>
    </row>
    <row r="19" spans="1:15" x14ac:dyDescent="0.25">
      <c r="A19" s="353" t="s">
        <v>88</v>
      </c>
      <c r="B19" s="505">
        <v>0</v>
      </c>
      <c r="C19" s="311">
        <v>0</v>
      </c>
      <c r="D19" s="311">
        <v>0</v>
      </c>
      <c r="E19" s="311">
        <v>0</v>
      </c>
      <c r="F19" s="311">
        <v>0</v>
      </c>
      <c r="G19" s="311">
        <v>0</v>
      </c>
      <c r="H19" s="311">
        <v>0</v>
      </c>
      <c r="I19" s="311">
        <v>0</v>
      </c>
      <c r="J19" s="497">
        <v>0</v>
      </c>
      <c r="K19" s="311">
        <v>0</v>
      </c>
      <c r="L19" s="178">
        <v>0</v>
      </c>
      <c r="M19" s="311">
        <v>0</v>
      </c>
    </row>
    <row r="20" spans="1:15" s="9" customFormat="1" x14ac:dyDescent="0.25">
      <c r="A20" s="107" t="s">
        <v>93</v>
      </c>
      <c r="B20" s="505">
        <v>0</v>
      </c>
      <c r="C20" s="311">
        <v>0</v>
      </c>
      <c r="D20" s="311">
        <v>0</v>
      </c>
      <c r="E20" s="311">
        <v>0</v>
      </c>
      <c r="F20" s="311">
        <v>0</v>
      </c>
      <c r="G20" s="311">
        <v>0</v>
      </c>
      <c r="H20" s="311">
        <v>0</v>
      </c>
      <c r="I20" s="311">
        <v>0</v>
      </c>
      <c r="J20" s="497">
        <v>0</v>
      </c>
      <c r="K20" s="311">
        <v>0</v>
      </c>
      <c r="L20" s="178">
        <v>0</v>
      </c>
      <c r="M20" s="311"/>
      <c r="N20" s="129"/>
    </row>
    <row r="21" spans="1:15" x14ac:dyDescent="0.25">
      <c r="A21" s="354" t="s">
        <v>78</v>
      </c>
      <c r="B21" s="505">
        <v>0</v>
      </c>
      <c r="C21" s="311">
        <v>0</v>
      </c>
      <c r="D21" s="311">
        <v>0</v>
      </c>
      <c r="E21" s="311">
        <v>916296</v>
      </c>
      <c r="F21" s="311">
        <v>933848</v>
      </c>
      <c r="G21" s="311">
        <v>4378093</v>
      </c>
      <c r="H21" s="311">
        <v>10688</v>
      </c>
      <c r="I21" s="311">
        <v>65531</v>
      </c>
      <c r="J21" s="497">
        <v>36822</v>
      </c>
      <c r="K21" s="311">
        <v>1966572</v>
      </c>
      <c r="L21" s="178">
        <v>0</v>
      </c>
      <c r="M21" s="311">
        <v>0</v>
      </c>
    </row>
    <row r="22" spans="1:15" ht="16.5" thickBot="1" x14ac:dyDescent="0.3">
      <c r="A22" s="479"/>
      <c r="B22" s="382"/>
      <c r="C22" s="369"/>
      <c r="D22" s="369"/>
      <c r="E22" s="369"/>
      <c r="F22" s="369"/>
      <c r="G22" s="369"/>
      <c r="H22" s="369"/>
      <c r="I22" s="369"/>
      <c r="J22" s="383"/>
      <c r="K22" s="382"/>
      <c r="L22" s="373"/>
      <c r="M22" s="369"/>
      <c r="N22" s="488"/>
      <c r="O22" s="1"/>
    </row>
    <row r="23" spans="1:15" ht="17.25" thickTop="1" thickBot="1" x14ac:dyDescent="0.3">
      <c r="A23" s="896" t="s">
        <v>102</v>
      </c>
      <c r="B23" s="431">
        <f t="shared" ref="B23:L23" si="1">SUM(B17:B22)</f>
        <v>7946453</v>
      </c>
      <c r="C23" s="432">
        <f t="shared" si="1"/>
        <v>7788379</v>
      </c>
      <c r="D23" s="432">
        <f t="shared" si="1"/>
        <v>7957074</v>
      </c>
      <c r="E23" s="432">
        <f t="shared" si="1"/>
        <v>1568345</v>
      </c>
      <c r="F23" s="432">
        <f t="shared" si="1"/>
        <v>955716</v>
      </c>
      <c r="G23" s="432">
        <f t="shared" si="1"/>
        <v>4378093</v>
      </c>
      <c r="H23" s="432">
        <f t="shared" si="1"/>
        <v>10688</v>
      </c>
      <c r="I23" s="432">
        <f t="shared" si="1"/>
        <v>65531</v>
      </c>
      <c r="J23" s="433">
        <f t="shared" si="1"/>
        <v>36822</v>
      </c>
      <c r="K23" s="432">
        <f>SUM(K17:K22)</f>
        <v>1966572</v>
      </c>
      <c r="L23" s="434">
        <f t="shared" si="1"/>
        <v>0</v>
      </c>
      <c r="M23" s="433">
        <f>SUM(M17:M22)</f>
        <v>0</v>
      </c>
      <c r="N23" s="126"/>
      <c r="O23" s="1"/>
    </row>
    <row r="24" spans="1:15" x14ac:dyDescent="0.25">
      <c r="A24" s="867"/>
      <c r="B24" s="401"/>
      <c r="C24" s="120"/>
      <c r="D24" s="120"/>
      <c r="E24" s="120"/>
      <c r="F24" s="120"/>
      <c r="G24" s="120"/>
      <c r="H24" s="120"/>
      <c r="I24" s="120"/>
      <c r="J24" s="402"/>
      <c r="K24" s="120"/>
      <c r="L24" s="445"/>
      <c r="M24" s="120"/>
      <c r="N24" s="120"/>
      <c r="O24" s="1"/>
    </row>
    <row r="25" spans="1:15" x14ac:dyDescent="0.25">
      <c r="A25" s="867"/>
      <c r="B25" s="401"/>
      <c r="C25" s="120"/>
      <c r="D25" s="120"/>
      <c r="E25" s="120"/>
      <c r="F25" s="120"/>
      <c r="G25" s="120"/>
      <c r="H25" s="120"/>
      <c r="I25" s="120"/>
      <c r="J25" s="402"/>
      <c r="K25" s="120"/>
      <c r="L25" s="445"/>
      <c r="M25" s="120"/>
      <c r="N25" s="120"/>
      <c r="O25" s="1"/>
    </row>
    <row r="26" spans="1:15" x14ac:dyDescent="0.25">
      <c r="A26" s="154"/>
      <c r="B26" s="392"/>
      <c r="J26" s="393"/>
      <c r="L26" s="163"/>
      <c r="N26" s="120"/>
      <c r="O26" s="1"/>
    </row>
    <row r="27" spans="1:15" ht="18.75" x14ac:dyDescent="0.3">
      <c r="A27" s="736"/>
      <c r="B27" s="386">
        <v>2009</v>
      </c>
      <c r="C27" s="210">
        <v>2010</v>
      </c>
      <c r="D27" s="210">
        <v>2011</v>
      </c>
      <c r="E27" s="210">
        <v>2012</v>
      </c>
      <c r="F27" s="210">
        <v>2013</v>
      </c>
      <c r="G27" s="210">
        <v>2014</v>
      </c>
      <c r="H27" s="210">
        <v>2015</v>
      </c>
      <c r="I27" s="210">
        <v>2016</v>
      </c>
      <c r="J27" s="387">
        <v>2017</v>
      </c>
      <c r="K27" s="210">
        <v>2018</v>
      </c>
      <c r="L27" s="447">
        <v>2019</v>
      </c>
      <c r="M27" s="387">
        <v>2018</v>
      </c>
      <c r="N27" s="120"/>
      <c r="O27" s="1"/>
    </row>
    <row r="28" spans="1:15" x14ac:dyDescent="0.25">
      <c r="A28" s="106" t="s">
        <v>152</v>
      </c>
      <c r="B28" s="708">
        <f t="shared" ref="B28:M28" si="2">+B23/B29</f>
        <v>125.81066147367088</v>
      </c>
      <c r="C28" s="709">
        <f t="shared" si="2"/>
        <v>114.97119955123853</v>
      </c>
      <c r="D28" s="709">
        <f t="shared" si="2"/>
        <v>115.72074286296011</v>
      </c>
      <c r="E28" s="709">
        <f t="shared" si="2"/>
        <v>22.617859563605947</v>
      </c>
      <c r="F28" s="709">
        <f t="shared" si="2"/>
        <v>13.58129884894131</v>
      </c>
      <c r="G28" s="709">
        <f t="shared" si="2"/>
        <v>61.639841187154182</v>
      </c>
      <c r="H28" s="709">
        <f t="shared" si="2"/>
        <v>0.1455734132388995</v>
      </c>
      <c r="I28" s="709">
        <f t="shared" si="2"/>
        <v>0.88097062579821206</v>
      </c>
      <c r="J28" s="710">
        <f t="shared" si="2"/>
        <v>0.48552215189873416</v>
      </c>
      <c r="K28" s="709">
        <f t="shared" si="2"/>
        <v>25.45328880950532</v>
      </c>
      <c r="L28" s="711">
        <f t="shared" si="2"/>
        <v>0</v>
      </c>
      <c r="M28" s="389">
        <f t="shared" si="2"/>
        <v>0</v>
      </c>
      <c r="N28" s="120"/>
      <c r="O28" s="1"/>
    </row>
    <row r="29" spans="1:15" x14ac:dyDescent="0.25">
      <c r="A29" s="154" t="s">
        <v>340</v>
      </c>
      <c r="B29" s="515">
        <f>+Stats!D4</f>
        <v>63162</v>
      </c>
      <c r="C29" s="125">
        <f>+Stats!E4</f>
        <v>67742</v>
      </c>
      <c r="D29" s="125">
        <f>+Stats!F4</f>
        <v>68761</v>
      </c>
      <c r="E29" s="125">
        <f>+Stats!G4</f>
        <v>69341</v>
      </c>
      <c r="F29" s="125">
        <f>+Stats!H4</f>
        <v>70370</v>
      </c>
      <c r="G29" s="125">
        <f>+Stats!I4</f>
        <v>71027</v>
      </c>
      <c r="H29" s="125">
        <f>+Stats!J4</f>
        <v>73420</v>
      </c>
      <c r="I29" s="125">
        <f>+Stats!K4</f>
        <v>74385</v>
      </c>
      <c r="J29" s="483">
        <f>+Stats!L4</f>
        <v>75840</v>
      </c>
      <c r="K29" s="125">
        <f>+Stats!M4</f>
        <v>77262</v>
      </c>
      <c r="L29" s="486">
        <f>+Stats!N4</f>
        <v>78980</v>
      </c>
      <c r="M29" s="404">
        <f>+Stats!M4</f>
        <v>77262</v>
      </c>
      <c r="N29" s="120"/>
      <c r="O29" s="1"/>
    </row>
    <row r="30" spans="1:15" x14ac:dyDescent="0.25">
      <c r="A30" s="154"/>
      <c r="B30" s="392"/>
      <c r="C30" s="50"/>
      <c r="D30" s="50"/>
      <c r="E30" s="50"/>
      <c r="F30" s="50"/>
      <c r="G30" s="50"/>
      <c r="H30" s="50"/>
      <c r="I30" s="50"/>
      <c r="J30" s="393"/>
      <c r="K30" s="50"/>
      <c r="L30" s="163"/>
      <c r="M30" s="393"/>
      <c r="N30" s="120"/>
      <c r="O30" s="1"/>
    </row>
    <row r="31" spans="1:15" x14ac:dyDescent="0.25">
      <c r="A31" s="106" t="s">
        <v>130</v>
      </c>
      <c r="B31" s="708">
        <f t="shared" ref="B31:M31" si="3">+B23/B32</f>
        <v>116859.60294117648</v>
      </c>
      <c r="C31" s="709">
        <f t="shared" si="3"/>
        <v>118005.74242424243</v>
      </c>
      <c r="D31" s="709">
        <f t="shared" si="3"/>
        <v>120561.72727272728</v>
      </c>
      <c r="E31" s="709">
        <f t="shared" si="3"/>
        <v>23762.803030303032</v>
      </c>
      <c r="F31" s="709">
        <f t="shared" si="3"/>
        <v>13092</v>
      </c>
      <c r="G31" s="709">
        <f t="shared" si="3"/>
        <v>54050.530864197528</v>
      </c>
      <c r="H31" s="709">
        <f t="shared" si="3"/>
        <v>128.77108433734941</v>
      </c>
      <c r="I31" s="709">
        <f t="shared" si="3"/>
        <v>780.13095238095241</v>
      </c>
      <c r="J31" s="710">
        <f t="shared" si="3"/>
        <v>400.23913043478262</v>
      </c>
      <c r="K31" s="709">
        <f t="shared" si="3"/>
        <v>21145.935483870966</v>
      </c>
      <c r="L31" s="711">
        <f t="shared" si="3"/>
        <v>0</v>
      </c>
      <c r="M31" s="385">
        <f t="shared" si="3"/>
        <v>0</v>
      </c>
      <c r="N31" s="120"/>
      <c r="O31" s="1"/>
    </row>
    <row r="32" spans="1:15" x14ac:dyDescent="0.25">
      <c r="A32" s="154" t="s">
        <v>341</v>
      </c>
      <c r="B32" s="515">
        <f>62+6</f>
        <v>68</v>
      </c>
      <c r="C32" s="125">
        <f>61+5</f>
        <v>66</v>
      </c>
      <c r="D32" s="125">
        <f>5+61</f>
        <v>66</v>
      </c>
      <c r="E32" s="125">
        <v>66</v>
      </c>
      <c r="F32" s="125">
        <v>73</v>
      </c>
      <c r="G32" s="125">
        <v>81</v>
      </c>
      <c r="H32" s="125">
        <v>83</v>
      </c>
      <c r="I32" s="125">
        <v>84</v>
      </c>
      <c r="J32" s="483">
        <v>92</v>
      </c>
      <c r="K32" s="125">
        <v>93</v>
      </c>
      <c r="L32" s="486">
        <v>93</v>
      </c>
      <c r="M32" s="406">
        <v>93</v>
      </c>
      <c r="N32" s="120"/>
      <c r="O32" s="1"/>
    </row>
    <row r="33" spans="1:15" x14ac:dyDescent="0.25">
      <c r="A33" s="154"/>
      <c r="B33" s="392"/>
      <c r="J33" s="393"/>
      <c r="L33" s="163"/>
      <c r="N33" s="120"/>
      <c r="O33" s="1"/>
    </row>
    <row r="34" spans="1:15" x14ac:dyDescent="0.25">
      <c r="A34" s="154"/>
      <c r="B34" s="392"/>
      <c r="J34" s="393"/>
      <c r="L34" s="163"/>
      <c r="N34" s="120"/>
      <c r="O34" s="1"/>
    </row>
    <row r="35" spans="1:15" x14ac:dyDescent="0.25">
      <c r="A35" s="737"/>
      <c r="B35" s="408"/>
      <c r="C35" s="124"/>
      <c r="D35" s="124"/>
      <c r="E35" s="124"/>
      <c r="F35" s="124"/>
      <c r="G35" s="124"/>
      <c r="H35" s="124"/>
      <c r="I35" s="124"/>
      <c r="J35" s="410"/>
      <c r="K35" s="124"/>
      <c r="L35" s="449"/>
      <c r="M35" s="124"/>
      <c r="N35" s="120"/>
      <c r="O35" s="1"/>
    </row>
    <row r="36" spans="1:15" x14ac:dyDescent="0.25">
      <c r="A36" s="737"/>
      <c r="B36" s="408"/>
      <c r="C36" s="124"/>
      <c r="D36" s="124"/>
      <c r="E36" s="124"/>
      <c r="F36" s="124"/>
      <c r="G36" s="124"/>
      <c r="H36" s="124"/>
      <c r="I36" s="124"/>
      <c r="J36" s="410"/>
      <c r="K36" s="124"/>
      <c r="L36" s="449"/>
      <c r="M36" s="124"/>
      <c r="N36" s="120"/>
      <c r="O36" s="1"/>
    </row>
    <row r="37" spans="1:15" x14ac:dyDescent="0.25">
      <c r="A37" s="868"/>
      <c r="B37" s="416"/>
      <c r="C37" s="193"/>
      <c r="D37" s="193"/>
      <c r="E37" s="193"/>
      <c r="F37" s="193"/>
      <c r="G37" s="193"/>
      <c r="H37" s="193"/>
      <c r="I37" s="193"/>
      <c r="J37" s="501"/>
      <c r="K37" s="193"/>
      <c r="L37" s="465"/>
      <c r="M37" s="193"/>
      <c r="N37" s="120"/>
      <c r="O37" s="1"/>
    </row>
    <row r="38" spans="1:15" x14ac:dyDescent="0.25">
      <c r="A38" s="689"/>
      <c r="B38" s="416"/>
      <c r="C38" s="93"/>
      <c r="D38" s="93"/>
      <c r="E38" s="93"/>
      <c r="F38" s="93"/>
      <c r="G38" s="93"/>
      <c r="H38" s="93"/>
      <c r="I38" s="93"/>
      <c r="J38" s="417"/>
      <c r="K38" s="193"/>
      <c r="L38" s="465"/>
      <c r="M38" s="93"/>
      <c r="N38" s="120"/>
      <c r="O38" s="1"/>
    </row>
    <row r="39" spans="1:15" x14ac:dyDescent="0.25">
      <c r="A39" s="689"/>
      <c r="B39" s="416"/>
      <c r="C39" s="93"/>
      <c r="D39" s="93"/>
      <c r="E39" s="93"/>
      <c r="F39" s="93"/>
      <c r="G39" s="93"/>
      <c r="H39" s="93"/>
      <c r="I39" s="93"/>
      <c r="J39" s="417"/>
      <c r="K39" s="193"/>
      <c r="L39" s="465"/>
      <c r="M39" s="93"/>
      <c r="N39" s="120"/>
      <c r="O39" s="1"/>
    </row>
    <row r="40" spans="1:15" x14ac:dyDescent="0.25">
      <c r="A40" s="753"/>
      <c r="B40" s="416"/>
      <c r="C40" s="93"/>
      <c r="D40" s="93"/>
      <c r="E40" s="93"/>
      <c r="F40" s="93"/>
      <c r="G40" s="93"/>
      <c r="H40" s="93"/>
      <c r="I40" s="93"/>
      <c r="J40" s="417"/>
      <c r="K40" s="93"/>
      <c r="L40" s="109"/>
      <c r="M40" s="93"/>
      <c r="N40" s="120"/>
      <c r="O40" s="1"/>
    </row>
    <row r="41" spans="1:15" x14ac:dyDescent="0.25">
      <c r="A41" s="689"/>
      <c r="B41" s="416"/>
      <c r="C41" s="93"/>
      <c r="D41" s="93"/>
      <c r="E41" s="93"/>
      <c r="F41" s="93"/>
      <c r="G41" s="93"/>
      <c r="H41" s="93"/>
      <c r="I41" s="93"/>
      <c r="J41" s="417"/>
      <c r="K41" s="193"/>
      <c r="L41" s="465"/>
      <c r="M41" s="93"/>
      <c r="N41" s="120"/>
      <c r="O41" s="1"/>
    </row>
    <row r="42" spans="1:15" x14ac:dyDescent="0.25">
      <c r="A42" s="689"/>
      <c r="B42" s="416"/>
      <c r="C42" s="93"/>
      <c r="D42" s="93"/>
      <c r="E42" s="93"/>
      <c r="F42" s="93"/>
      <c r="G42" s="93"/>
      <c r="H42" s="93"/>
      <c r="I42" s="93"/>
      <c r="J42" s="417"/>
      <c r="K42" s="193"/>
      <c r="L42" s="465"/>
      <c r="M42" s="93"/>
      <c r="N42" s="120"/>
      <c r="O42" s="1"/>
    </row>
    <row r="43" spans="1:15" x14ac:dyDescent="0.25">
      <c r="A43" s="527"/>
      <c r="B43" s="416"/>
      <c r="C43" s="93"/>
      <c r="D43" s="93"/>
      <c r="E43" s="93"/>
      <c r="F43" s="93"/>
      <c r="G43" s="93"/>
      <c r="H43" s="93"/>
      <c r="I43" s="93"/>
      <c r="J43" s="417"/>
      <c r="K43" s="193"/>
      <c r="L43" s="465"/>
      <c r="M43" s="93"/>
      <c r="N43" s="120"/>
      <c r="O43" s="1"/>
    </row>
    <row r="44" spans="1:15" x14ac:dyDescent="0.25">
      <c r="A44" s="739"/>
      <c r="B44" s="416"/>
      <c r="C44" s="93"/>
      <c r="D44" s="93"/>
      <c r="E44" s="93"/>
      <c r="F44" s="93"/>
      <c r="G44" s="93"/>
      <c r="H44" s="93"/>
      <c r="I44" s="93"/>
      <c r="J44" s="417"/>
      <c r="K44" s="93"/>
      <c r="L44" s="109"/>
      <c r="M44" s="93"/>
      <c r="N44" s="120"/>
      <c r="O44" s="1"/>
    </row>
    <row r="45" spans="1:15" x14ac:dyDescent="0.25">
      <c r="A45" s="869"/>
      <c r="B45" s="416"/>
      <c r="C45" s="93"/>
      <c r="D45" s="93"/>
      <c r="E45" s="93"/>
      <c r="F45" s="93"/>
      <c r="G45" s="93"/>
      <c r="H45" s="93"/>
      <c r="I45" s="93"/>
      <c r="J45" s="417"/>
      <c r="K45" s="93"/>
      <c r="L45" s="109"/>
      <c r="M45" s="93"/>
      <c r="N45" s="120"/>
      <c r="O45" s="1"/>
    </row>
    <row r="46" spans="1:15" x14ac:dyDescent="0.25">
      <c r="A46" s="869"/>
      <c r="B46" s="416"/>
      <c r="C46" s="93"/>
      <c r="D46" s="93"/>
      <c r="E46" s="93"/>
      <c r="F46" s="93"/>
      <c r="G46" s="93"/>
      <c r="H46" s="93"/>
      <c r="I46" s="93"/>
      <c r="J46" s="417"/>
      <c r="K46" s="193"/>
      <c r="L46" s="465"/>
      <c r="M46" s="93"/>
      <c r="N46" s="120"/>
      <c r="O46" s="1"/>
    </row>
    <row r="47" spans="1:15" x14ac:dyDescent="0.25">
      <c r="A47" s="869"/>
      <c r="B47" s="416"/>
      <c r="C47" s="93"/>
      <c r="D47" s="93"/>
      <c r="E47" s="93"/>
      <c r="F47" s="93"/>
      <c r="G47" s="93"/>
      <c r="H47" s="93"/>
      <c r="I47" s="93"/>
      <c r="J47" s="417"/>
      <c r="K47" s="193"/>
      <c r="L47" s="465"/>
      <c r="M47" s="93"/>
      <c r="N47" s="120"/>
      <c r="O47" s="1"/>
    </row>
    <row r="48" spans="1:15" x14ac:dyDescent="0.25">
      <c r="A48" s="870"/>
      <c r="B48" s="416"/>
      <c r="C48" s="93"/>
      <c r="D48" s="93"/>
      <c r="E48" s="93"/>
      <c r="F48" s="93"/>
      <c r="G48" s="93"/>
      <c r="H48" s="93"/>
      <c r="I48" s="93"/>
      <c r="J48" s="417"/>
      <c r="K48" s="93"/>
      <c r="L48" s="109"/>
      <c r="M48" s="93"/>
      <c r="N48" s="120"/>
      <c r="O48" s="1"/>
    </row>
    <row r="49" spans="1:15" x14ac:dyDescent="0.25">
      <c r="A49" s="689"/>
      <c r="B49" s="416"/>
      <c r="C49" s="93"/>
      <c r="D49" s="93"/>
      <c r="E49" s="93"/>
      <c r="F49" s="93"/>
      <c r="G49" s="93"/>
      <c r="H49" s="93"/>
      <c r="I49" s="93"/>
      <c r="J49" s="417"/>
      <c r="K49" s="193"/>
      <c r="L49" s="465"/>
      <c r="M49" s="93"/>
      <c r="N49" s="120"/>
      <c r="O49" s="1"/>
    </row>
    <row r="50" spans="1:15" x14ac:dyDescent="0.25">
      <c r="A50" s="871"/>
      <c r="B50" s="416"/>
      <c r="C50" s="93"/>
      <c r="D50" s="93"/>
      <c r="E50" s="93"/>
      <c r="F50" s="93"/>
      <c r="G50" s="93"/>
      <c r="H50" s="93"/>
      <c r="I50" s="93"/>
      <c r="J50" s="417"/>
      <c r="K50" s="193"/>
      <c r="L50" s="465"/>
      <c r="M50" s="93"/>
      <c r="N50" s="120"/>
      <c r="O50" s="1"/>
    </row>
    <row r="51" spans="1:15" x14ac:dyDescent="0.25">
      <c r="A51" s="677"/>
      <c r="B51" s="416"/>
      <c r="C51" s="93"/>
      <c r="D51" s="93"/>
      <c r="E51" s="93"/>
      <c r="F51" s="93"/>
      <c r="G51" s="93"/>
      <c r="H51" s="93"/>
      <c r="I51" s="93"/>
      <c r="J51" s="417"/>
      <c r="K51" s="93"/>
      <c r="L51" s="109"/>
      <c r="M51" s="93"/>
      <c r="N51" s="120"/>
      <c r="O51" s="1"/>
    </row>
    <row r="52" spans="1:15" x14ac:dyDescent="0.25">
      <c r="A52" s="753"/>
      <c r="B52" s="416"/>
      <c r="C52" s="93"/>
      <c r="D52" s="93"/>
      <c r="E52" s="93"/>
      <c r="F52" s="93"/>
      <c r="G52" s="93"/>
      <c r="H52" s="93"/>
      <c r="I52" s="93"/>
      <c r="J52" s="417"/>
      <c r="K52" s="93"/>
      <c r="L52" s="109"/>
      <c r="M52" s="93"/>
      <c r="N52" s="120"/>
      <c r="O52" s="1"/>
    </row>
    <row r="53" spans="1:15" x14ac:dyDescent="0.25">
      <c r="A53" s="872"/>
      <c r="B53" s="416"/>
      <c r="C53" s="93"/>
      <c r="D53" s="93"/>
      <c r="E53" s="93"/>
      <c r="F53" s="93"/>
      <c r="G53" s="93"/>
      <c r="H53" s="93"/>
      <c r="I53" s="93"/>
      <c r="J53" s="417"/>
      <c r="K53" s="93"/>
      <c r="L53" s="109"/>
      <c r="M53" s="93"/>
      <c r="N53" s="120"/>
      <c r="O53" s="1"/>
    </row>
    <row r="54" spans="1:15" x14ac:dyDescent="0.25">
      <c r="A54" s="527"/>
      <c r="B54" s="416"/>
      <c r="C54" s="93"/>
      <c r="D54" s="93"/>
      <c r="E54" s="93"/>
      <c r="F54" s="93"/>
      <c r="G54" s="93"/>
      <c r="H54" s="93"/>
      <c r="I54" s="93"/>
      <c r="J54" s="417"/>
      <c r="K54" s="93"/>
      <c r="L54" s="109"/>
      <c r="M54" s="93"/>
      <c r="N54" s="120"/>
      <c r="O54" s="1"/>
    </row>
    <row r="55" spans="1:15" x14ac:dyDescent="0.25">
      <c r="A55" s="527"/>
      <c r="B55" s="416"/>
      <c r="C55" s="93"/>
      <c r="D55" s="93"/>
      <c r="E55" s="93"/>
      <c r="F55" s="93"/>
      <c r="G55" s="93"/>
      <c r="H55" s="93"/>
      <c r="I55" s="93"/>
      <c r="J55" s="417"/>
      <c r="K55" s="93"/>
      <c r="L55" s="109"/>
      <c r="M55" s="93"/>
      <c r="N55" s="120"/>
      <c r="O55" s="1"/>
    </row>
    <row r="56" spans="1:15" ht="16.5" customHeight="1" x14ac:dyDescent="0.25">
      <c r="A56" s="873"/>
      <c r="B56" s="416"/>
      <c r="C56" s="93"/>
      <c r="D56" s="93"/>
      <c r="E56" s="93"/>
      <c r="F56" s="93"/>
      <c r="G56" s="93"/>
      <c r="H56" s="93"/>
      <c r="I56" s="93"/>
      <c r="J56" s="417"/>
      <c r="K56" s="93"/>
      <c r="L56" s="109"/>
      <c r="M56" s="93"/>
      <c r="N56" s="120"/>
      <c r="O56" s="1"/>
    </row>
    <row r="57" spans="1:15" x14ac:dyDescent="0.25">
      <c r="A57" s="689"/>
      <c r="B57" s="416"/>
      <c r="C57" s="93"/>
      <c r="D57" s="93"/>
      <c r="E57" s="93"/>
      <c r="F57" s="93"/>
      <c r="G57" s="93"/>
      <c r="H57" s="93"/>
      <c r="I57" s="93"/>
      <c r="J57" s="417"/>
      <c r="K57" s="193"/>
      <c r="L57" s="465"/>
      <c r="M57" s="93"/>
      <c r="N57" s="120"/>
      <c r="O57" s="1"/>
    </row>
    <row r="58" spans="1:15" x14ac:dyDescent="0.25">
      <c r="A58" s="689"/>
      <c r="B58" s="407"/>
      <c r="C58" s="116"/>
      <c r="D58" s="116"/>
      <c r="E58" s="116"/>
      <c r="F58" s="116"/>
      <c r="G58" s="116"/>
      <c r="H58" s="116"/>
      <c r="I58" s="133"/>
      <c r="J58" s="591"/>
      <c r="K58" s="133"/>
      <c r="L58" s="134"/>
      <c r="M58" s="133"/>
      <c r="N58" s="120"/>
      <c r="O58" s="1"/>
    </row>
    <row r="59" spans="1:15" x14ac:dyDescent="0.25">
      <c r="A59" s="740"/>
      <c r="B59" s="416"/>
      <c r="C59" s="93"/>
      <c r="D59" s="93"/>
      <c r="E59" s="93"/>
      <c r="F59" s="93"/>
      <c r="G59" s="93"/>
      <c r="H59" s="93"/>
      <c r="I59" s="93"/>
      <c r="J59" s="417"/>
      <c r="K59" s="93"/>
      <c r="L59" s="109"/>
      <c r="M59" s="93"/>
      <c r="N59" s="120"/>
      <c r="O59" s="1"/>
    </row>
    <row r="60" spans="1:15" x14ac:dyDescent="0.25">
      <c r="A60" s="740"/>
      <c r="B60" s="416"/>
      <c r="C60" s="93"/>
      <c r="D60" s="93"/>
      <c r="E60" s="93"/>
      <c r="F60" s="93"/>
      <c r="G60" s="93"/>
      <c r="H60" s="93"/>
      <c r="I60" s="93"/>
      <c r="J60" s="417"/>
      <c r="K60" s="93"/>
      <c r="L60" s="109"/>
      <c r="M60" s="93"/>
      <c r="N60" s="120"/>
      <c r="O60" s="1"/>
    </row>
    <row r="61" spans="1:15" x14ac:dyDescent="0.25">
      <c r="A61" s="738"/>
      <c r="B61" s="416"/>
      <c r="C61" s="93"/>
      <c r="D61" s="93"/>
      <c r="E61" s="93"/>
      <c r="F61" s="93"/>
      <c r="G61" s="93"/>
      <c r="H61" s="93"/>
      <c r="I61" s="93"/>
      <c r="J61" s="417"/>
      <c r="K61" s="93"/>
      <c r="L61" s="109"/>
      <c r="M61" s="93"/>
      <c r="N61" s="120"/>
      <c r="O61" s="1"/>
    </row>
    <row r="62" spans="1:15" x14ac:dyDescent="0.25">
      <c r="A62" s="738"/>
      <c r="B62" s="418"/>
      <c r="C62" s="114"/>
      <c r="D62" s="114"/>
      <c r="E62" s="114"/>
      <c r="F62" s="114"/>
      <c r="G62" s="114"/>
      <c r="H62" s="114"/>
      <c r="I62" s="114"/>
      <c r="J62" s="419"/>
      <c r="K62" s="114"/>
      <c r="L62" s="455"/>
      <c r="M62" s="114"/>
    </row>
    <row r="63" spans="1:15" x14ac:dyDescent="0.25">
      <c r="A63" s="765"/>
      <c r="B63" s="418"/>
      <c r="C63" s="114"/>
      <c r="D63" s="114"/>
      <c r="E63" s="114"/>
      <c r="F63" s="114"/>
      <c r="G63" s="114"/>
      <c r="H63" s="114"/>
      <c r="I63" s="114"/>
      <c r="J63" s="419"/>
      <c r="K63" s="114"/>
      <c r="L63" s="455"/>
      <c r="M63" s="114"/>
      <c r="N63" s="120"/>
      <c r="O63" s="1"/>
    </row>
    <row r="64" spans="1:15" x14ac:dyDescent="0.25">
      <c r="A64" s="765"/>
      <c r="B64" s="416"/>
      <c r="C64" s="93"/>
      <c r="D64" s="93"/>
      <c r="E64" s="93"/>
      <c r="F64" s="93"/>
      <c r="G64" s="93"/>
      <c r="H64" s="93"/>
      <c r="I64" s="93"/>
      <c r="J64" s="417"/>
      <c r="K64" s="93"/>
      <c r="L64" s="109"/>
      <c r="M64" s="93"/>
      <c r="N64" s="120"/>
      <c r="O64" s="1"/>
    </row>
    <row r="65" spans="1:15" x14ac:dyDescent="0.25">
      <c r="A65" s="765"/>
      <c r="B65" s="200"/>
      <c r="C65" s="200"/>
      <c r="D65" s="200"/>
      <c r="E65" s="200"/>
      <c r="F65" s="200"/>
      <c r="G65" s="200"/>
      <c r="H65" s="200"/>
      <c r="I65" s="200"/>
      <c r="J65" s="459"/>
      <c r="K65" s="200"/>
      <c r="L65" s="468"/>
      <c r="M65" s="200"/>
      <c r="N65" s="120"/>
      <c r="O65" s="1"/>
    </row>
    <row r="66" spans="1:15" x14ac:dyDescent="0.25">
      <c r="A66" s="201"/>
      <c r="B66" s="202"/>
      <c r="C66" s="202"/>
      <c r="D66" s="202"/>
      <c r="E66" s="202"/>
      <c r="F66" s="202"/>
      <c r="G66" s="202"/>
      <c r="H66" s="202"/>
      <c r="I66" s="202"/>
      <c r="J66" s="202"/>
      <c r="K66" s="202"/>
      <c r="L66" s="202"/>
      <c r="M66" s="202"/>
      <c r="N66" s="120"/>
      <c r="O66" s="1"/>
    </row>
    <row r="67" spans="1:15" x14ac:dyDescent="0.25">
      <c r="A67" s="201"/>
      <c r="B67" s="202"/>
      <c r="C67" s="202"/>
      <c r="D67" s="202"/>
      <c r="E67" s="202"/>
      <c r="F67" s="202"/>
      <c r="G67" s="202"/>
      <c r="H67" s="202"/>
      <c r="I67" s="202"/>
      <c r="J67" s="202"/>
      <c r="K67" s="202"/>
      <c r="L67" s="202"/>
      <c r="M67" s="202"/>
      <c r="N67" s="120"/>
      <c r="O67" s="1"/>
    </row>
    <row r="68" spans="1:15" x14ac:dyDescent="0.25">
      <c r="A68" s="201"/>
      <c r="B68" s="202"/>
      <c r="C68" s="202"/>
      <c r="D68" s="202"/>
      <c r="E68" s="202"/>
      <c r="F68" s="202"/>
      <c r="G68" s="202"/>
      <c r="H68" s="202"/>
      <c r="I68" s="202"/>
      <c r="J68" s="202"/>
      <c r="K68" s="202"/>
      <c r="L68" s="202"/>
      <c r="M68" s="202"/>
      <c r="N68" s="120"/>
      <c r="O68" s="1"/>
    </row>
    <row r="69" spans="1:15" s="17" customFormat="1" x14ac:dyDescent="0.25">
      <c r="A69" s="201"/>
      <c r="B69" s="202"/>
      <c r="C69" s="202"/>
      <c r="D69" s="202"/>
      <c r="E69" s="202"/>
      <c r="F69" s="202"/>
      <c r="G69" s="202"/>
      <c r="H69" s="202"/>
      <c r="I69" s="202"/>
      <c r="J69" s="202"/>
      <c r="K69" s="202"/>
      <c r="L69" s="202"/>
      <c r="M69" s="202"/>
      <c r="N69" s="128"/>
      <c r="O69" s="32"/>
    </row>
    <row r="70" spans="1:15" x14ac:dyDescent="0.25">
      <c r="A70" s="203"/>
      <c r="B70" s="204"/>
      <c r="C70" s="204"/>
      <c r="D70" s="204"/>
      <c r="E70" s="204"/>
      <c r="F70" s="204"/>
      <c r="G70" s="204"/>
      <c r="H70" s="204"/>
      <c r="I70" s="204"/>
      <c r="J70" s="204"/>
      <c r="K70" s="204"/>
      <c r="L70" s="204"/>
      <c r="M70" s="204"/>
      <c r="N70" s="120"/>
      <c r="O70" s="1"/>
    </row>
    <row r="71" spans="1:15" x14ac:dyDescent="0.25">
      <c r="A71" s="205"/>
      <c r="B71" s="200"/>
      <c r="C71" s="140"/>
      <c r="D71" s="140"/>
      <c r="E71" s="140"/>
      <c r="F71" s="140"/>
      <c r="G71" s="140"/>
      <c r="H71" s="140"/>
      <c r="I71" s="140"/>
      <c r="J71" s="140"/>
      <c r="K71" s="140"/>
      <c r="L71" s="140"/>
      <c r="M71" s="140"/>
      <c r="N71" s="120"/>
      <c r="O71" s="1"/>
    </row>
    <row r="72" spans="1:15" x14ac:dyDescent="0.25">
      <c r="A72" s="141"/>
      <c r="B72" s="200"/>
      <c r="C72" s="140"/>
      <c r="D72" s="140"/>
      <c r="E72" s="140"/>
      <c r="F72" s="140"/>
      <c r="G72" s="140"/>
      <c r="H72" s="140"/>
      <c r="I72" s="140"/>
      <c r="J72" s="140"/>
      <c r="K72" s="140"/>
      <c r="L72" s="140"/>
      <c r="M72" s="140"/>
      <c r="N72" s="120"/>
      <c r="O72" s="1"/>
    </row>
    <row r="73" spans="1:15" x14ac:dyDescent="0.25">
      <c r="A73" s="114"/>
      <c r="B73" s="93"/>
      <c r="C73" s="93"/>
      <c r="D73" s="93"/>
      <c r="E73" s="93"/>
      <c r="F73" s="93"/>
      <c r="G73" s="93"/>
      <c r="H73" s="93"/>
      <c r="I73" s="93"/>
      <c r="J73" s="93"/>
      <c r="K73" s="93"/>
      <c r="L73" s="93"/>
      <c r="M73" s="93"/>
      <c r="N73" s="120"/>
      <c r="O73" s="1"/>
    </row>
    <row r="74" spans="1:15" ht="18.75" x14ac:dyDescent="0.3">
      <c r="A74" s="206"/>
      <c r="B74" s="116"/>
      <c r="C74" s="116"/>
      <c r="D74" s="116"/>
      <c r="E74" s="116"/>
      <c r="F74" s="116"/>
      <c r="G74" s="116"/>
      <c r="H74" s="116"/>
      <c r="I74" s="133"/>
      <c r="J74" s="133"/>
      <c r="K74" s="133"/>
      <c r="L74" s="133"/>
      <c r="M74" s="133"/>
      <c r="N74" s="120"/>
      <c r="O74" s="1"/>
    </row>
    <row r="75" spans="1:15" x14ac:dyDescent="0.25">
      <c r="A75" s="116"/>
      <c r="B75" s="207"/>
      <c r="C75" s="207"/>
      <c r="D75" s="207"/>
      <c r="E75" s="207"/>
      <c r="F75" s="207"/>
      <c r="G75" s="207"/>
      <c r="H75" s="207"/>
      <c r="I75" s="207"/>
      <c r="J75" s="207"/>
      <c r="K75" s="207"/>
      <c r="L75" s="207"/>
      <c r="M75" s="207"/>
      <c r="N75" s="120"/>
      <c r="O75" s="1"/>
    </row>
    <row r="76" spans="1:15" x14ac:dyDescent="0.25">
      <c r="A76" s="114"/>
      <c r="B76" s="93"/>
      <c r="C76" s="93"/>
      <c r="D76" s="93"/>
      <c r="E76" s="93"/>
      <c r="F76" s="93"/>
      <c r="G76" s="93"/>
      <c r="H76" s="93"/>
      <c r="I76" s="93"/>
      <c r="J76" s="93"/>
      <c r="K76" s="93"/>
      <c r="L76" s="93"/>
      <c r="M76" s="93"/>
      <c r="N76" s="120"/>
      <c r="O76" s="1"/>
    </row>
    <row r="77" spans="1:15" x14ac:dyDescent="0.25">
      <c r="A77" s="114"/>
      <c r="B77" s="93"/>
      <c r="C77" s="93"/>
      <c r="D77" s="93"/>
      <c r="E77" s="93"/>
      <c r="F77" s="93"/>
      <c r="G77" s="93"/>
      <c r="H77" s="93"/>
      <c r="I77" s="93"/>
      <c r="J77" s="93"/>
      <c r="K77" s="93"/>
      <c r="L77" s="93"/>
      <c r="M77" s="93"/>
      <c r="N77" s="120"/>
      <c r="O77" s="1"/>
    </row>
    <row r="78" spans="1:15" hidden="1" x14ac:dyDescent="0.25">
      <c r="A78" s="201"/>
      <c r="B78" s="93"/>
      <c r="C78" s="93"/>
      <c r="D78" s="93"/>
      <c r="E78" s="93"/>
      <c r="F78" s="93"/>
      <c r="G78" s="93"/>
      <c r="H78" s="93"/>
      <c r="I78" s="93"/>
      <c r="J78" s="93"/>
      <c r="K78" s="93"/>
      <c r="L78" s="93"/>
      <c r="M78" s="93"/>
      <c r="N78" s="120"/>
      <c r="O78" s="1"/>
    </row>
    <row r="79" spans="1:15" hidden="1" x14ac:dyDescent="0.25">
      <c r="A79" s="201"/>
      <c r="B79" s="93"/>
      <c r="C79" s="93"/>
      <c r="D79" s="93"/>
      <c r="E79" s="93"/>
      <c r="F79" s="93"/>
      <c r="G79" s="93"/>
      <c r="H79" s="93"/>
      <c r="I79" s="93"/>
      <c r="J79" s="93"/>
      <c r="K79" s="93"/>
      <c r="L79" s="93"/>
      <c r="M79" s="93"/>
      <c r="N79" s="120"/>
      <c r="O79" s="1"/>
    </row>
    <row r="80" spans="1:15" hidden="1" x14ac:dyDescent="0.25">
      <c r="A80" s="201"/>
      <c r="B80" s="93"/>
      <c r="C80" s="93"/>
      <c r="D80" s="93"/>
      <c r="E80" s="93"/>
      <c r="F80" s="93"/>
      <c r="G80" s="93"/>
      <c r="H80" s="93"/>
      <c r="I80" s="93"/>
      <c r="J80" s="93"/>
      <c r="K80" s="93"/>
      <c r="L80" s="93"/>
      <c r="M80" s="93"/>
      <c r="N80" s="120"/>
      <c r="O80" s="1"/>
    </row>
    <row r="81" spans="1:15" hidden="1" x14ac:dyDescent="0.25">
      <c r="A81" s="201"/>
      <c r="B81" s="93"/>
      <c r="C81" s="93"/>
      <c r="D81" s="93"/>
      <c r="E81" s="93"/>
      <c r="F81" s="93"/>
      <c r="G81" s="93"/>
      <c r="H81" s="93"/>
      <c r="I81" s="93"/>
      <c r="J81" s="93"/>
      <c r="K81" s="93"/>
      <c r="L81" s="93"/>
      <c r="M81" s="93"/>
      <c r="N81" s="120"/>
      <c r="O81" s="1"/>
    </row>
    <row r="82" spans="1:15" x14ac:dyDescent="0.25">
      <c r="A82" s="199"/>
      <c r="B82" s="93"/>
      <c r="C82" s="93"/>
      <c r="D82" s="93"/>
      <c r="E82" s="93"/>
      <c r="F82" s="93"/>
      <c r="G82" s="93"/>
      <c r="H82" s="93"/>
      <c r="I82" s="93"/>
      <c r="J82" s="93"/>
      <c r="K82" s="93"/>
      <c r="L82" s="93"/>
      <c r="M82" s="93"/>
      <c r="N82" s="120"/>
      <c r="O82" s="1"/>
    </row>
    <row r="83" spans="1:15" x14ac:dyDescent="0.25">
      <c r="A83" s="114"/>
      <c r="B83" s="93"/>
      <c r="C83" s="93"/>
      <c r="D83" s="93"/>
      <c r="E83" s="93"/>
      <c r="F83" s="93"/>
      <c r="G83" s="93"/>
      <c r="H83" s="93"/>
      <c r="I83" s="93"/>
      <c r="J83" s="93"/>
      <c r="K83" s="93"/>
      <c r="L83" s="93"/>
      <c r="M83" s="93"/>
      <c r="N83" s="120"/>
      <c r="O83" s="1"/>
    </row>
    <row r="84" spans="1:15" x14ac:dyDescent="0.25">
      <c r="A84" s="114"/>
      <c r="B84" s="93"/>
      <c r="C84" s="93"/>
      <c r="D84" s="93"/>
      <c r="E84" s="93"/>
      <c r="F84" s="93"/>
      <c r="G84" s="93"/>
      <c r="H84" s="93"/>
      <c r="I84" s="93"/>
      <c r="J84" s="93"/>
      <c r="K84" s="93"/>
      <c r="L84" s="93"/>
      <c r="M84" s="93"/>
      <c r="N84" s="120"/>
      <c r="O84" s="1"/>
    </row>
    <row r="85" spans="1:15" x14ac:dyDescent="0.25">
      <c r="A85" s="114"/>
      <c r="B85" s="112"/>
      <c r="C85" s="112"/>
      <c r="D85" s="112"/>
      <c r="E85" s="112"/>
      <c r="F85" s="112"/>
      <c r="G85" s="112"/>
      <c r="H85" s="112"/>
      <c r="I85" s="112"/>
      <c r="J85" s="112"/>
      <c r="K85" s="112"/>
      <c r="L85" s="112"/>
      <c r="M85" s="112"/>
      <c r="N85" s="120"/>
      <c r="O85" s="1"/>
    </row>
    <row r="86" spans="1:15" x14ac:dyDescent="0.25">
      <c r="A86" s="114"/>
      <c r="B86" s="112"/>
      <c r="C86" s="112"/>
      <c r="D86" s="112"/>
      <c r="E86" s="112"/>
      <c r="F86" s="112"/>
      <c r="G86" s="112"/>
      <c r="H86" s="112"/>
      <c r="I86" s="112"/>
      <c r="J86" s="112"/>
      <c r="K86" s="112"/>
      <c r="L86" s="112"/>
      <c r="M86" s="112"/>
      <c r="N86" s="120"/>
      <c r="O86" s="1"/>
    </row>
    <row r="87" spans="1:15" x14ac:dyDescent="0.25">
      <c r="A87" s="114"/>
      <c r="B87" s="93"/>
      <c r="C87" s="93"/>
      <c r="D87" s="93"/>
      <c r="E87" s="93"/>
      <c r="F87" s="93"/>
      <c r="G87" s="93"/>
      <c r="H87" s="93"/>
      <c r="I87" s="93"/>
      <c r="J87" s="93"/>
      <c r="K87" s="93"/>
      <c r="L87" s="93"/>
      <c r="M87" s="93"/>
      <c r="N87" s="120"/>
      <c r="O87" s="1"/>
    </row>
    <row r="88" spans="1:15" x14ac:dyDescent="0.25">
      <c r="A88" s="114"/>
      <c r="B88" s="93"/>
      <c r="C88" s="93"/>
      <c r="D88" s="93"/>
      <c r="E88" s="93"/>
      <c r="F88" s="93"/>
      <c r="G88" s="93"/>
      <c r="H88" s="93"/>
      <c r="I88" s="93"/>
      <c r="J88" s="93"/>
      <c r="K88" s="93"/>
      <c r="L88" s="93"/>
      <c r="M88" s="93"/>
      <c r="N88" s="120"/>
      <c r="O88" s="1"/>
    </row>
    <row r="89" spans="1:15" x14ac:dyDescent="0.25">
      <c r="A89" s="114"/>
      <c r="B89" s="93"/>
      <c r="C89" s="93"/>
      <c r="D89" s="93"/>
      <c r="E89" s="93"/>
      <c r="F89" s="93"/>
      <c r="G89" s="93"/>
      <c r="H89" s="93"/>
      <c r="I89" s="93"/>
      <c r="J89" s="93"/>
      <c r="K89" s="93"/>
      <c r="L89" s="93"/>
      <c r="M89" s="93"/>
      <c r="N89" s="120"/>
      <c r="O89" s="1"/>
    </row>
    <row r="90" spans="1:15" x14ac:dyDescent="0.25">
      <c r="A90" s="114"/>
      <c r="B90" s="114"/>
      <c r="C90" s="114"/>
      <c r="D90" s="114"/>
      <c r="E90" s="114"/>
      <c r="F90" s="114"/>
      <c r="G90" s="114"/>
      <c r="H90" s="114"/>
      <c r="I90" s="114"/>
      <c r="J90" s="114"/>
      <c r="K90" s="114"/>
      <c r="L90" s="114"/>
      <c r="M90" s="114"/>
      <c r="N90" s="26"/>
      <c r="O90" s="1"/>
    </row>
    <row r="91" spans="1:15" x14ac:dyDescent="0.25">
      <c r="A91" s="114"/>
      <c r="B91" s="114"/>
      <c r="C91" s="114"/>
      <c r="D91" s="114"/>
      <c r="E91" s="114"/>
      <c r="F91" s="114"/>
      <c r="G91" s="114"/>
      <c r="H91" s="114"/>
      <c r="I91" s="114"/>
      <c r="J91" s="114"/>
      <c r="K91" s="114"/>
      <c r="L91" s="114"/>
      <c r="M91" s="114"/>
      <c r="N91" s="26"/>
      <c r="O91" s="1"/>
    </row>
    <row r="92" spans="1:15" x14ac:dyDescent="0.25">
      <c r="A92" s="114"/>
      <c r="B92" s="114"/>
      <c r="C92" s="114"/>
      <c r="D92" s="114"/>
      <c r="E92" s="114"/>
      <c r="F92" s="114"/>
      <c r="G92" s="114"/>
      <c r="H92" s="114"/>
      <c r="I92" s="114"/>
      <c r="J92" s="114"/>
      <c r="K92" s="114"/>
      <c r="L92" s="114"/>
      <c r="M92" s="114"/>
      <c r="N92" s="26"/>
      <c r="O92" s="1"/>
    </row>
    <row r="93" spans="1:15" x14ac:dyDescent="0.25">
      <c r="A93" s="114"/>
      <c r="B93" s="114"/>
      <c r="C93" s="114"/>
      <c r="D93" s="114"/>
      <c r="E93" s="114"/>
      <c r="F93" s="114"/>
      <c r="G93" s="114"/>
      <c r="H93" s="114"/>
      <c r="I93" s="114"/>
      <c r="J93" s="114"/>
      <c r="K93" s="114"/>
      <c r="L93" s="114"/>
      <c r="M93" s="114"/>
      <c r="N93" s="26"/>
      <c r="O93" s="1"/>
    </row>
    <row r="94" spans="1:15" x14ac:dyDescent="0.25">
      <c r="A94" s="114"/>
      <c r="B94" s="93"/>
      <c r="C94" s="93"/>
      <c r="D94" s="93"/>
      <c r="E94" s="93"/>
      <c r="F94" s="93"/>
      <c r="G94" s="93"/>
      <c r="H94" s="93"/>
      <c r="I94" s="93"/>
      <c r="J94" s="93"/>
      <c r="K94" s="93"/>
      <c r="L94" s="93"/>
      <c r="M94" s="93"/>
      <c r="N94" s="26"/>
      <c r="O94" s="1"/>
    </row>
    <row r="95" spans="1:15" x14ac:dyDescent="0.25">
      <c r="A95" s="114"/>
      <c r="B95" s="93"/>
      <c r="C95" s="93"/>
      <c r="D95" s="93"/>
      <c r="E95" s="93"/>
      <c r="F95" s="93"/>
      <c r="G95" s="93"/>
      <c r="H95" s="93"/>
      <c r="I95" s="93"/>
      <c r="J95" s="93"/>
      <c r="K95" s="93"/>
      <c r="L95" s="93"/>
      <c r="M95" s="93"/>
      <c r="N95" s="26"/>
      <c r="O95" s="1"/>
    </row>
    <row r="96" spans="1:15" x14ac:dyDescent="0.25">
      <c r="A96" s="114"/>
      <c r="B96" s="93"/>
      <c r="C96" s="93"/>
      <c r="D96" s="93"/>
      <c r="E96" s="93"/>
      <c r="F96" s="93"/>
      <c r="G96" s="93"/>
      <c r="H96" s="93"/>
      <c r="I96" s="93"/>
      <c r="J96" s="93"/>
      <c r="K96" s="93"/>
      <c r="L96" s="93"/>
      <c r="M96" s="93"/>
      <c r="N96" s="26"/>
      <c r="O96" s="1"/>
    </row>
    <row r="97" spans="1:15" x14ac:dyDescent="0.25">
      <c r="A97" s="114"/>
      <c r="B97" s="93"/>
      <c r="C97" s="93"/>
      <c r="D97" s="93"/>
      <c r="E97" s="93"/>
      <c r="F97" s="93"/>
      <c r="G97" s="93"/>
      <c r="H97" s="93"/>
      <c r="I97" s="93"/>
      <c r="J97" s="93"/>
      <c r="K97" s="93"/>
      <c r="L97" s="93"/>
      <c r="M97" s="93"/>
      <c r="N97" s="26"/>
      <c r="O97" s="1"/>
    </row>
    <row r="98" spans="1:15" x14ac:dyDescent="0.25">
      <c r="A98" s="114"/>
      <c r="B98" s="93"/>
      <c r="C98" s="93"/>
      <c r="D98" s="93"/>
      <c r="E98" s="93"/>
      <c r="F98" s="93"/>
      <c r="G98" s="93"/>
      <c r="H98" s="93"/>
      <c r="I98" s="93"/>
      <c r="J98" s="93"/>
      <c r="K98" s="93"/>
      <c r="L98" s="93"/>
      <c r="M98" s="93"/>
      <c r="N98" s="26"/>
      <c r="O98" s="1"/>
    </row>
    <row r="99" spans="1:15" x14ac:dyDescent="0.25">
      <c r="A99" s="114"/>
      <c r="B99" s="93"/>
      <c r="C99" s="93"/>
      <c r="D99" s="93"/>
      <c r="E99" s="93"/>
      <c r="F99" s="93"/>
      <c r="G99" s="93"/>
      <c r="H99" s="93"/>
      <c r="I99" s="93"/>
      <c r="J99" s="93"/>
      <c r="K99" s="93"/>
      <c r="L99" s="93"/>
      <c r="M99" s="93"/>
      <c r="N99" s="26"/>
      <c r="O99" s="1"/>
    </row>
    <row r="100" spans="1:15" x14ac:dyDescent="0.25">
      <c r="A100" s="114"/>
      <c r="B100" s="93"/>
      <c r="C100" s="93"/>
      <c r="D100" s="93"/>
      <c r="E100" s="93"/>
      <c r="F100" s="93"/>
      <c r="G100" s="93"/>
      <c r="H100" s="93"/>
      <c r="I100" s="93"/>
      <c r="J100" s="93"/>
      <c r="K100" s="93"/>
      <c r="L100" s="93"/>
      <c r="M100" s="93"/>
      <c r="N100" s="26"/>
      <c r="O100" s="1"/>
    </row>
    <row r="101" spans="1:15" x14ac:dyDescent="0.25">
      <c r="A101" s="114"/>
      <c r="B101" s="93"/>
      <c r="C101" s="93"/>
      <c r="D101" s="93"/>
      <c r="E101" s="93"/>
      <c r="F101" s="93"/>
      <c r="G101" s="93"/>
      <c r="H101" s="93"/>
      <c r="I101" s="93"/>
      <c r="J101" s="93"/>
      <c r="K101" s="93"/>
      <c r="L101" s="93"/>
      <c r="M101" s="93"/>
      <c r="N101" s="26"/>
      <c r="O101" s="1"/>
    </row>
    <row r="102" spans="1:15" x14ac:dyDescent="0.25">
      <c r="A102" s="114"/>
      <c r="B102" s="93"/>
      <c r="C102" s="93"/>
      <c r="D102" s="93"/>
      <c r="E102" s="93"/>
      <c r="F102" s="93"/>
      <c r="G102" s="93"/>
      <c r="H102" s="93"/>
      <c r="I102" s="93"/>
      <c r="J102" s="93"/>
      <c r="K102" s="93"/>
      <c r="L102" s="93"/>
      <c r="M102" s="93"/>
      <c r="N102" s="26"/>
      <c r="O102" s="1"/>
    </row>
    <row r="103" spans="1:15" x14ac:dyDescent="0.25">
      <c r="A103" s="114"/>
      <c r="B103" s="93"/>
      <c r="C103" s="93"/>
      <c r="D103" s="93"/>
      <c r="E103" s="93"/>
      <c r="F103" s="93"/>
      <c r="G103" s="93"/>
      <c r="H103" s="93"/>
      <c r="I103" s="93"/>
      <c r="J103" s="93"/>
      <c r="K103" s="93"/>
      <c r="L103" s="93"/>
      <c r="M103" s="93"/>
      <c r="N103" s="26"/>
      <c r="O103" s="1"/>
    </row>
    <row r="104" spans="1:15" x14ac:dyDescent="0.25">
      <c r="A104" s="114"/>
      <c r="B104" s="93"/>
      <c r="C104" s="93"/>
      <c r="D104" s="93"/>
      <c r="E104" s="93"/>
      <c r="F104" s="93"/>
      <c r="G104" s="93"/>
      <c r="H104" s="93"/>
      <c r="I104" s="93"/>
      <c r="J104" s="93"/>
      <c r="K104" s="93"/>
      <c r="L104" s="93"/>
      <c r="M104" s="93"/>
      <c r="N104" s="26"/>
      <c r="O104" s="1"/>
    </row>
    <row r="105" spans="1:15" x14ac:dyDescent="0.25">
      <c r="A105" s="114"/>
      <c r="B105" s="93"/>
      <c r="C105" s="93"/>
      <c r="D105" s="93"/>
      <c r="E105" s="93"/>
      <c r="F105" s="93"/>
      <c r="G105" s="93"/>
      <c r="H105" s="93"/>
      <c r="I105" s="93"/>
      <c r="J105" s="93"/>
      <c r="K105" s="93"/>
      <c r="L105" s="93"/>
      <c r="M105" s="93"/>
      <c r="N105" s="26"/>
      <c r="O105" s="1"/>
    </row>
    <row r="106" spans="1:15" x14ac:dyDescent="0.25">
      <c r="A106" s="114"/>
      <c r="B106" s="93"/>
      <c r="C106" s="93"/>
      <c r="D106" s="93"/>
      <c r="E106" s="93"/>
      <c r="F106" s="93"/>
      <c r="G106" s="93"/>
      <c r="H106" s="93"/>
      <c r="I106" s="93"/>
      <c r="J106" s="93"/>
      <c r="K106" s="93"/>
      <c r="L106" s="93"/>
      <c r="M106" s="93"/>
      <c r="N106" s="26"/>
      <c r="O106" s="1"/>
    </row>
    <row r="107" spans="1:15" x14ac:dyDescent="0.25">
      <c r="A107" s="114"/>
      <c r="B107" s="93"/>
      <c r="C107" s="93"/>
      <c r="D107" s="93"/>
      <c r="E107" s="93"/>
      <c r="F107" s="93"/>
      <c r="G107" s="93"/>
      <c r="H107" s="93"/>
      <c r="I107" s="93"/>
      <c r="J107" s="93"/>
      <c r="K107" s="93"/>
      <c r="L107" s="93"/>
      <c r="M107" s="93"/>
      <c r="N107" s="26"/>
      <c r="O107" s="1"/>
    </row>
    <row r="108" spans="1:15" x14ac:dyDescent="0.25">
      <c r="A108" s="114"/>
      <c r="B108" s="93"/>
      <c r="C108" s="93"/>
      <c r="D108" s="93"/>
      <c r="E108" s="93"/>
      <c r="F108" s="93"/>
      <c r="G108" s="93"/>
      <c r="H108" s="93"/>
      <c r="I108" s="93"/>
      <c r="J108" s="93"/>
      <c r="K108" s="93"/>
      <c r="L108" s="93"/>
      <c r="M108" s="93"/>
      <c r="N108" s="26"/>
      <c r="O108" s="1"/>
    </row>
    <row r="109" spans="1:15" x14ac:dyDescent="0.25">
      <c r="A109" s="114"/>
      <c r="B109" s="93"/>
      <c r="C109" s="93"/>
      <c r="D109" s="93"/>
      <c r="E109" s="93"/>
      <c r="F109" s="93"/>
      <c r="G109" s="93"/>
      <c r="H109" s="93"/>
      <c r="I109" s="93"/>
      <c r="J109" s="93"/>
      <c r="K109" s="93"/>
      <c r="L109" s="93"/>
      <c r="M109" s="93"/>
      <c r="N109" s="26"/>
      <c r="O109" s="1"/>
    </row>
    <row r="110" spans="1:15" x14ac:dyDescent="0.25">
      <c r="A110" s="114"/>
      <c r="B110" s="93"/>
      <c r="C110" s="93"/>
      <c r="D110" s="93"/>
      <c r="E110" s="93"/>
      <c r="F110" s="93"/>
      <c r="G110" s="93"/>
      <c r="H110" s="93"/>
      <c r="I110" s="93"/>
      <c r="J110" s="93"/>
      <c r="K110" s="93"/>
      <c r="L110" s="93"/>
      <c r="M110" s="93"/>
      <c r="N110" s="26"/>
      <c r="O110" s="1"/>
    </row>
    <row r="111" spans="1:15" x14ac:dyDescent="0.25">
      <c r="A111" s="114"/>
      <c r="B111" s="93"/>
      <c r="C111" s="93"/>
      <c r="D111" s="93"/>
      <c r="E111" s="93"/>
      <c r="F111" s="93"/>
      <c r="G111" s="93"/>
      <c r="H111" s="93"/>
      <c r="I111" s="93"/>
      <c r="J111" s="93"/>
      <c r="K111" s="93"/>
      <c r="L111" s="93"/>
      <c r="M111" s="93"/>
      <c r="N111" s="26"/>
      <c r="O111" s="1"/>
    </row>
    <row r="112" spans="1:15" x14ac:dyDescent="0.25">
      <c r="A112" s="114"/>
      <c r="B112" s="93"/>
      <c r="C112" s="93"/>
      <c r="D112" s="93"/>
      <c r="E112" s="93"/>
      <c r="F112" s="93"/>
      <c r="G112" s="93"/>
      <c r="H112" s="93"/>
      <c r="I112" s="93"/>
      <c r="J112" s="93"/>
      <c r="K112" s="93"/>
      <c r="L112" s="93"/>
      <c r="M112" s="93"/>
      <c r="N112" s="26"/>
      <c r="O112" s="1"/>
    </row>
    <row r="113" spans="1:15" x14ac:dyDescent="0.25">
      <c r="A113" s="114"/>
      <c r="B113" s="114"/>
      <c r="C113" s="114"/>
      <c r="D113" s="114"/>
      <c r="E113" s="114"/>
      <c r="F113" s="114"/>
      <c r="G113" s="114"/>
      <c r="H113" s="114"/>
      <c r="I113" s="114"/>
      <c r="J113" s="114"/>
      <c r="K113" s="114"/>
      <c r="L113" s="114"/>
      <c r="M113" s="114"/>
      <c r="N113" s="26"/>
      <c r="O113" s="1"/>
    </row>
    <row r="114" spans="1:15" x14ac:dyDescent="0.25">
      <c r="A114" s="114"/>
      <c r="B114" s="114"/>
      <c r="C114" s="114"/>
      <c r="D114" s="114"/>
      <c r="E114" s="114"/>
      <c r="F114" s="114"/>
      <c r="G114" s="114"/>
      <c r="H114" s="114"/>
      <c r="I114" s="114"/>
      <c r="J114" s="114"/>
      <c r="K114" s="114"/>
      <c r="L114" s="114"/>
      <c r="M114" s="114"/>
      <c r="N114" s="26"/>
      <c r="O114" s="1"/>
    </row>
    <row r="115" spans="1:15" x14ac:dyDescent="0.25">
      <c r="N115" s="26"/>
      <c r="O115" s="1"/>
    </row>
    <row r="116" spans="1:15" x14ac:dyDescent="0.25">
      <c r="N116" s="26"/>
      <c r="O116" s="1"/>
    </row>
    <row r="117" spans="1:15" x14ac:dyDescent="0.25">
      <c r="N117" s="26"/>
      <c r="O117" s="1"/>
    </row>
    <row r="118" spans="1:15" x14ac:dyDescent="0.25">
      <c r="N118" s="26"/>
      <c r="O118" s="1"/>
    </row>
    <row r="119" spans="1:15" x14ac:dyDescent="0.25">
      <c r="B119" s="1"/>
      <c r="C119" s="1"/>
      <c r="D119" s="1"/>
      <c r="E119" s="1"/>
      <c r="F119" s="1"/>
      <c r="G119" s="1"/>
      <c r="H119" s="1"/>
      <c r="I119" s="1"/>
      <c r="J119" s="1"/>
      <c r="K119" s="1"/>
      <c r="L119" s="1"/>
      <c r="M119" s="1"/>
      <c r="N119" s="26"/>
      <c r="O119" s="1"/>
    </row>
    <row r="120" spans="1:15" x14ac:dyDescent="0.25">
      <c r="B120" s="1"/>
      <c r="C120" s="1"/>
      <c r="D120" s="1"/>
      <c r="E120" s="1"/>
      <c r="F120" s="1"/>
      <c r="G120" s="1"/>
      <c r="H120" s="1"/>
      <c r="I120" s="1"/>
      <c r="J120" s="1"/>
      <c r="K120" s="1"/>
      <c r="L120" s="1"/>
      <c r="M120" s="1"/>
      <c r="N120" s="26"/>
      <c r="O120" s="1"/>
    </row>
    <row r="121" spans="1:15" x14ac:dyDescent="0.25">
      <c r="B121" s="1"/>
      <c r="C121" s="1"/>
      <c r="D121" s="1"/>
      <c r="E121" s="1"/>
      <c r="F121" s="1"/>
      <c r="G121" s="1"/>
      <c r="H121" s="1"/>
      <c r="I121" s="1"/>
      <c r="J121" s="1"/>
      <c r="K121" s="1"/>
      <c r="L121" s="1"/>
      <c r="M121" s="1"/>
      <c r="N121" s="26"/>
      <c r="O121" s="1"/>
    </row>
    <row r="122" spans="1:15" x14ac:dyDescent="0.25">
      <c r="B122" s="1"/>
      <c r="C122" s="1"/>
      <c r="D122" s="1"/>
      <c r="E122" s="1"/>
      <c r="F122" s="1"/>
      <c r="G122" s="1"/>
      <c r="H122" s="1"/>
      <c r="I122" s="1"/>
      <c r="J122" s="1"/>
      <c r="K122" s="1"/>
      <c r="L122" s="1"/>
      <c r="M122" s="1"/>
      <c r="N122" s="26"/>
      <c r="O122" s="1"/>
    </row>
    <row r="123" spans="1:15" x14ac:dyDescent="0.25">
      <c r="B123" s="1"/>
      <c r="C123" s="1"/>
      <c r="D123" s="1"/>
      <c r="E123" s="1"/>
      <c r="F123" s="1"/>
      <c r="G123" s="1"/>
      <c r="H123" s="1"/>
      <c r="I123" s="1"/>
      <c r="J123" s="1"/>
      <c r="K123" s="1"/>
      <c r="L123" s="1"/>
      <c r="M123" s="1"/>
      <c r="N123" s="26"/>
      <c r="O123" s="1"/>
    </row>
    <row r="124" spans="1:15" x14ac:dyDescent="0.25">
      <c r="B124" s="1"/>
      <c r="C124" s="1"/>
      <c r="D124" s="1"/>
      <c r="E124" s="1"/>
      <c r="F124" s="1"/>
      <c r="G124" s="1"/>
      <c r="H124" s="1"/>
      <c r="I124" s="1"/>
      <c r="J124" s="1"/>
      <c r="K124" s="1"/>
      <c r="L124" s="1"/>
      <c r="M124" s="1"/>
      <c r="N124" s="26"/>
      <c r="O124" s="1"/>
    </row>
    <row r="125" spans="1:15" x14ac:dyDescent="0.25">
      <c r="B125" s="1"/>
      <c r="C125" s="1"/>
      <c r="D125" s="1"/>
      <c r="E125" s="1"/>
      <c r="F125" s="1"/>
      <c r="G125" s="1"/>
      <c r="H125" s="1"/>
      <c r="I125" s="1"/>
      <c r="J125" s="1"/>
      <c r="K125" s="1"/>
      <c r="L125" s="1"/>
      <c r="M125" s="1"/>
      <c r="N125" s="26"/>
      <c r="O125" s="1"/>
    </row>
    <row r="126" spans="1:15" x14ac:dyDescent="0.25">
      <c r="B126" s="1"/>
      <c r="C126" s="1"/>
      <c r="D126" s="1"/>
      <c r="E126" s="1"/>
      <c r="F126" s="1"/>
      <c r="G126" s="1"/>
      <c r="H126" s="1"/>
      <c r="I126" s="1"/>
      <c r="J126" s="1"/>
      <c r="K126" s="1"/>
      <c r="L126" s="1"/>
      <c r="M126" s="1"/>
      <c r="N126" s="26"/>
      <c r="O126" s="1"/>
    </row>
    <row r="127" spans="1:15" x14ac:dyDescent="0.25">
      <c r="B127" s="1"/>
      <c r="C127" s="1"/>
      <c r="D127" s="1"/>
      <c r="E127" s="1"/>
      <c r="F127" s="1"/>
      <c r="G127" s="1"/>
      <c r="H127" s="1"/>
      <c r="I127" s="1"/>
      <c r="J127" s="1"/>
      <c r="K127" s="1"/>
      <c r="L127" s="1"/>
      <c r="M127" s="1"/>
      <c r="N127" s="26"/>
      <c r="O127" s="1"/>
    </row>
    <row r="128" spans="1:15" x14ac:dyDescent="0.25">
      <c r="B128" s="1"/>
      <c r="C128" s="1"/>
      <c r="D128" s="1"/>
      <c r="E128" s="1"/>
      <c r="F128" s="1"/>
      <c r="G128" s="1"/>
      <c r="H128" s="1"/>
      <c r="I128" s="1"/>
      <c r="J128" s="1"/>
      <c r="K128" s="1"/>
      <c r="L128" s="1"/>
      <c r="M128" s="1"/>
      <c r="N128" s="26"/>
      <c r="O128" s="1"/>
    </row>
    <row r="129" spans="2:15" x14ac:dyDescent="0.25">
      <c r="B129" s="1"/>
      <c r="C129" s="1"/>
      <c r="D129" s="1"/>
      <c r="E129" s="1"/>
      <c r="F129" s="1"/>
      <c r="G129" s="1"/>
      <c r="H129" s="1"/>
      <c r="I129" s="1"/>
      <c r="J129" s="1"/>
      <c r="K129" s="1"/>
      <c r="L129" s="1"/>
      <c r="M129" s="1"/>
      <c r="N129" s="26"/>
      <c r="O129" s="1"/>
    </row>
    <row r="130" spans="2:15" x14ac:dyDescent="0.25">
      <c r="B130" s="1"/>
      <c r="C130" s="1"/>
      <c r="D130" s="1"/>
      <c r="E130" s="1"/>
      <c r="F130" s="1"/>
      <c r="G130" s="1"/>
      <c r="H130" s="1"/>
      <c r="I130" s="1"/>
      <c r="J130" s="1"/>
      <c r="K130" s="1"/>
      <c r="L130" s="1"/>
      <c r="M130" s="1"/>
      <c r="N130" s="26"/>
      <c r="O130" s="1"/>
    </row>
    <row r="131" spans="2:15" x14ac:dyDescent="0.25">
      <c r="B131" s="1"/>
      <c r="C131" s="1"/>
      <c r="D131" s="1"/>
      <c r="E131" s="1"/>
      <c r="F131" s="1"/>
      <c r="G131" s="1"/>
      <c r="H131" s="1"/>
      <c r="I131" s="1"/>
      <c r="J131" s="1"/>
      <c r="K131" s="1"/>
      <c r="L131" s="1"/>
      <c r="M131" s="1"/>
      <c r="N131" s="26"/>
      <c r="O131" s="1"/>
    </row>
    <row r="132" spans="2:15" x14ac:dyDescent="0.25">
      <c r="B132" s="1"/>
      <c r="C132" s="1"/>
      <c r="D132" s="1"/>
      <c r="E132" s="1"/>
      <c r="F132" s="1"/>
      <c r="G132" s="1"/>
      <c r="H132" s="1"/>
      <c r="I132" s="1"/>
      <c r="J132" s="1"/>
      <c r="K132" s="1"/>
      <c r="L132" s="1"/>
      <c r="M132" s="1"/>
      <c r="N132" s="26"/>
      <c r="O132" s="1"/>
    </row>
    <row r="133" spans="2:15" x14ac:dyDescent="0.25">
      <c r="B133" s="1"/>
      <c r="C133" s="1"/>
      <c r="D133" s="1"/>
      <c r="E133" s="1"/>
      <c r="F133" s="1"/>
      <c r="G133" s="1"/>
      <c r="H133" s="1"/>
      <c r="I133" s="1"/>
      <c r="J133" s="1"/>
      <c r="K133" s="1"/>
      <c r="L133" s="1"/>
      <c r="M133" s="1"/>
      <c r="N133" s="26"/>
      <c r="O133" s="1"/>
    </row>
    <row r="134" spans="2:15" x14ac:dyDescent="0.25">
      <c r="B134" s="1"/>
      <c r="C134" s="1"/>
      <c r="D134" s="1"/>
      <c r="E134" s="1"/>
      <c r="F134" s="1"/>
      <c r="G134" s="1"/>
      <c r="H134" s="1"/>
      <c r="I134" s="1"/>
      <c r="J134" s="1"/>
      <c r="K134" s="1"/>
      <c r="L134" s="1"/>
      <c r="M134" s="1"/>
      <c r="N134" s="26"/>
      <c r="O134" s="1"/>
    </row>
    <row r="135" spans="2:15" x14ac:dyDescent="0.25">
      <c r="B135" s="1"/>
      <c r="C135" s="1"/>
      <c r="D135" s="1"/>
      <c r="E135" s="1"/>
      <c r="F135" s="1"/>
      <c r="G135" s="1"/>
      <c r="H135" s="1"/>
      <c r="I135" s="1"/>
      <c r="J135" s="1"/>
      <c r="K135" s="1"/>
      <c r="L135" s="1"/>
      <c r="M135" s="1"/>
      <c r="N135" s="26"/>
      <c r="O135" s="1"/>
    </row>
    <row r="136" spans="2:15" x14ac:dyDescent="0.25">
      <c r="B136" s="1"/>
      <c r="C136" s="1"/>
      <c r="D136" s="1"/>
      <c r="E136" s="1"/>
      <c r="F136" s="1"/>
      <c r="G136" s="1"/>
      <c r="H136" s="1"/>
      <c r="I136" s="1"/>
      <c r="J136" s="1"/>
      <c r="K136" s="1"/>
      <c r="L136" s="1"/>
      <c r="M136" s="1"/>
      <c r="N136" s="26"/>
      <c r="O136" s="1"/>
    </row>
    <row r="137" spans="2:15" x14ac:dyDescent="0.25">
      <c r="B137" s="1"/>
      <c r="C137" s="1"/>
      <c r="D137" s="1"/>
      <c r="E137" s="1"/>
      <c r="F137" s="1"/>
      <c r="G137" s="1"/>
      <c r="H137" s="1"/>
      <c r="I137" s="1"/>
      <c r="J137" s="1"/>
      <c r="K137" s="1"/>
      <c r="L137" s="1"/>
      <c r="M137" s="1"/>
      <c r="N137" s="26"/>
      <c r="O137" s="1"/>
    </row>
    <row r="138" spans="2:15" x14ac:dyDescent="0.25">
      <c r="B138" s="1"/>
      <c r="C138" s="1"/>
      <c r="D138" s="1"/>
      <c r="E138" s="1"/>
      <c r="F138" s="1"/>
      <c r="G138" s="1"/>
      <c r="H138" s="1"/>
      <c r="I138" s="1"/>
      <c r="J138" s="1"/>
      <c r="K138" s="1"/>
      <c r="L138" s="1"/>
      <c r="M138" s="1"/>
      <c r="N138" s="26"/>
      <c r="O138" s="1"/>
    </row>
    <row r="139" spans="2:15" x14ac:dyDescent="0.25">
      <c r="B139" s="1"/>
      <c r="C139" s="1"/>
      <c r="D139" s="1"/>
      <c r="E139" s="1"/>
      <c r="F139" s="1"/>
      <c r="G139" s="1"/>
      <c r="H139" s="1"/>
      <c r="I139" s="1"/>
      <c r="J139" s="1"/>
      <c r="K139" s="1"/>
      <c r="L139" s="1"/>
      <c r="M139" s="1"/>
      <c r="N139" s="26"/>
      <c r="O139" s="1"/>
    </row>
    <row r="140" spans="2:15" x14ac:dyDescent="0.25">
      <c r="B140" s="1"/>
      <c r="C140" s="1"/>
      <c r="D140" s="1"/>
      <c r="E140" s="1"/>
      <c r="F140" s="1"/>
      <c r="G140" s="1"/>
      <c r="H140" s="1"/>
      <c r="I140" s="1"/>
      <c r="J140" s="1"/>
      <c r="K140" s="1"/>
      <c r="L140" s="1"/>
      <c r="M140" s="1"/>
      <c r="N140" s="26"/>
      <c r="O140" s="1"/>
    </row>
    <row r="141" spans="2:15" x14ac:dyDescent="0.25">
      <c r="B141" s="1"/>
      <c r="C141" s="1"/>
      <c r="D141" s="1"/>
      <c r="E141" s="1"/>
      <c r="F141" s="1"/>
      <c r="G141" s="1"/>
      <c r="H141" s="1"/>
      <c r="I141" s="1"/>
      <c r="J141" s="1"/>
      <c r="K141" s="1"/>
      <c r="L141" s="1"/>
      <c r="M141" s="1"/>
      <c r="N141" s="26"/>
      <c r="O141" s="1"/>
    </row>
    <row r="142" spans="2:15" x14ac:dyDescent="0.25">
      <c r="B142" s="1"/>
      <c r="C142" s="1"/>
      <c r="D142" s="1"/>
      <c r="E142" s="1"/>
      <c r="F142" s="1"/>
      <c r="G142" s="1"/>
      <c r="H142" s="1"/>
      <c r="I142" s="1"/>
      <c r="J142" s="1"/>
      <c r="K142" s="1"/>
      <c r="L142" s="1"/>
      <c r="M142" s="1"/>
      <c r="N142" s="26"/>
      <c r="O142" s="1"/>
    </row>
    <row r="143" spans="2:15" x14ac:dyDescent="0.25">
      <c r="B143" s="1"/>
      <c r="C143" s="1"/>
      <c r="D143" s="1"/>
      <c r="E143" s="1"/>
      <c r="F143" s="1"/>
      <c r="G143" s="1"/>
      <c r="H143" s="1"/>
      <c r="I143" s="1"/>
      <c r="J143" s="1"/>
      <c r="K143" s="1"/>
      <c r="L143" s="1"/>
      <c r="M143" s="1"/>
      <c r="N143" s="26"/>
      <c r="O143" s="1"/>
    </row>
    <row r="144" spans="2:15" x14ac:dyDescent="0.25">
      <c r="B144" s="1"/>
      <c r="C144" s="1"/>
      <c r="D144" s="1"/>
      <c r="E144" s="1"/>
      <c r="F144" s="1"/>
      <c r="G144" s="1"/>
      <c r="H144" s="1"/>
      <c r="I144" s="1"/>
      <c r="J144" s="1"/>
      <c r="K144" s="1"/>
      <c r="L144" s="1"/>
      <c r="M144" s="1"/>
      <c r="N144" s="26"/>
      <c r="O144" s="1"/>
    </row>
    <row r="145" spans="2:15" x14ac:dyDescent="0.25">
      <c r="B145" s="1"/>
      <c r="C145" s="1"/>
      <c r="D145" s="1"/>
      <c r="E145" s="1"/>
      <c r="F145" s="1"/>
      <c r="G145" s="1"/>
      <c r="H145" s="1"/>
      <c r="I145" s="1"/>
      <c r="J145" s="1"/>
      <c r="K145" s="1"/>
      <c r="L145" s="1"/>
      <c r="M145" s="1"/>
      <c r="N145" s="26"/>
      <c r="O145" s="1"/>
    </row>
    <row r="146" spans="2:15" x14ac:dyDescent="0.25">
      <c r="B146" s="1"/>
      <c r="C146" s="1"/>
      <c r="D146" s="1"/>
      <c r="E146" s="1"/>
      <c r="F146" s="1"/>
      <c r="G146" s="1"/>
      <c r="H146" s="1"/>
      <c r="I146" s="1"/>
      <c r="J146" s="1"/>
      <c r="K146" s="1"/>
      <c r="L146" s="1"/>
      <c r="M146" s="1"/>
      <c r="N146" s="26"/>
      <c r="O146" s="1"/>
    </row>
    <row r="147" spans="2:15" x14ac:dyDescent="0.25">
      <c r="B147" s="1"/>
      <c r="C147" s="1"/>
      <c r="D147" s="1"/>
      <c r="E147" s="1"/>
      <c r="F147" s="1"/>
      <c r="G147" s="1"/>
      <c r="H147" s="1"/>
      <c r="I147" s="1"/>
      <c r="J147" s="1"/>
      <c r="K147" s="1"/>
      <c r="L147" s="1"/>
      <c r="M147" s="1"/>
      <c r="N147" s="26"/>
      <c r="O147" s="1"/>
    </row>
    <row r="148" spans="2:15" x14ac:dyDescent="0.25">
      <c r="B148" s="1"/>
      <c r="C148" s="1"/>
      <c r="D148" s="1"/>
      <c r="E148" s="1"/>
      <c r="F148" s="1"/>
      <c r="G148" s="1"/>
      <c r="H148" s="1"/>
      <c r="I148" s="1"/>
      <c r="J148" s="1"/>
      <c r="K148" s="1"/>
      <c r="L148" s="1"/>
      <c r="M148" s="1"/>
      <c r="N148" s="26"/>
      <c r="O148" s="1"/>
    </row>
    <row r="149" spans="2:15" x14ac:dyDescent="0.25">
      <c r="B149" s="1"/>
      <c r="C149" s="1"/>
      <c r="D149" s="1"/>
      <c r="E149" s="1"/>
      <c r="F149" s="1"/>
      <c r="G149" s="1"/>
      <c r="H149" s="1"/>
      <c r="I149" s="1"/>
      <c r="J149" s="1"/>
      <c r="K149" s="1"/>
      <c r="L149" s="1"/>
      <c r="M149" s="1"/>
      <c r="N149" s="26"/>
      <c r="O149" s="1"/>
    </row>
    <row r="150" spans="2:15" x14ac:dyDescent="0.25">
      <c r="B150" s="1"/>
      <c r="C150" s="1"/>
      <c r="D150" s="1"/>
      <c r="E150" s="1"/>
      <c r="F150" s="1"/>
      <c r="G150" s="1"/>
      <c r="H150" s="1"/>
      <c r="I150" s="1"/>
      <c r="J150" s="1"/>
      <c r="K150" s="1"/>
      <c r="L150" s="1"/>
      <c r="M150" s="1"/>
      <c r="N150" s="26"/>
      <c r="O150" s="1"/>
    </row>
    <row r="151" spans="2:15" x14ac:dyDescent="0.25">
      <c r="B151" s="1"/>
      <c r="C151" s="1"/>
      <c r="D151" s="1"/>
      <c r="E151" s="1"/>
      <c r="F151" s="1"/>
      <c r="G151" s="1"/>
      <c r="H151" s="1"/>
      <c r="I151" s="1"/>
      <c r="J151" s="1"/>
      <c r="K151" s="1"/>
      <c r="L151" s="1"/>
      <c r="M151" s="1"/>
      <c r="N151" s="26"/>
      <c r="O151" s="1"/>
    </row>
    <row r="152" spans="2:15" x14ac:dyDescent="0.25">
      <c r="B152" s="1"/>
      <c r="C152" s="1"/>
      <c r="D152" s="1"/>
      <c r="E152" s="1"/>
      <c r="F152" s="1"/>
      <c r="G152" s="1"/>
      <c r="H152" s="1"/>
      <c r="I152" s="1"/>
      <c r="J152" s="1"/>
      <c r="K152" s="1"/>
      <c r="L152" s="1"/>
      <c r="M152" s="1"/>
      <c r="N152" s="26"/>
      <c r="O152" s="1"/>
    </row>
    <row r="153" spans="2:15" x14ac:dyDescent="0.25">
      <c r="B153" s="1"/>
      <c r="C153" s="1"/>
      <c r="D153" s="1"/>
      <c r="E153" s="1"/>
      <c r="F153" s="1"/>
      <c r="G153" s="1"/>
      <c r="H153" s="1"/>
      <c r="I153" s="1"/>
      <c r="J153" s="1"/>
      <c r="K153" s="1"/>
      <c r="L153" s="1"/>
      <c r="M153" s="1"/>
      <c r="N153" s="26"/>
      <c r="O153" s="1"/>
    </row>
    <row r="154" spans="2:15" x14ac:dyDescent="0.25">
      <c r="B154" s="1"/>
      <c r="C154" s="1"/>
      <c r="D154" s="1"/>
      <c r="E154" s="1"/>
      <c r="F154" s="1"/>
      <c r="G154" s="1"/>
      <c r="H154" s="1"/>
      <c r="I154" s="1"/>
      <c r="J154" s="1"/>
      <c r="K154" s="1"/>
      <c r="L154" s="1"/>
      <c r="M154" s="1"/>
      <c r="N154" s="26"/>
      <c r="O154" s="1"/>
    </row>
    <row r="155" spans="2:15" x14ac:dyDescent="0.25">
      <c r="B155" s="1"/>
      <c r="C155" s="1"/>
      <c r="D155" s="1"/>
      <c r="E155" s="1"/>
      <c r="F155" s="1"/>
      <c r="G155" s="1"/>
      <c r="H155" s="1"/>
      <c r="I155" s="1"/>
      <c r="J155" s="1"/>
      <c r="K155" s="1"/>
      <c r="L155" s="1"/>
      <c r="M155" s="1"/>
      <c r="N155" s="26"/>
      <c r="O155" s="1"/>
    </row>
    <row r="156" spans="2:15" x14ac:dyDescent="0.25">
      <c r="B156" s="1"/>
      <c r="C156" s="1"/>
      <c r="D156" s="1"/>
      <c r="E156" s="1"/>
      <c r="F156" s="1"/>
      <c r="G156" s="1"/>
      <c r="H156" s="1"/>
      <c r="I156" s="1"/>
      <c r="J156" s="1"/>
      <c r="K156" s="1"/>
      <c r="L156" s="1"/>
      <c r="M156" s="1"/>
      <c r="N156" s="26"/>
      <c r="O156" s="1"/>
    </row>
    <row r="157" spans="2:15" x14ac:dyDescent="0.25">
      <c r="B157" s="1"/>
      <c r="C157" s="1"/>
      <c r="D157" s="1"/>
      <c r="E157" s="1"/>
      <c r="F157" s="1"/>
      <c r="G157" s="1"/>
      <c r="H157" s="1"/>
      <c r="I157" s="1"/>
      <c r="J157" s="1"/>
      <c r="K157" s="1"/>
      <c r="L157" s="1"/>
      <c r="M157" s="1"/>
      <c r="N157" s="26"/>
      <c r="O157" s="1"/>
    </row>
    <row r="158" spans="2:15" x14ac:dyDescent="0.25">
      <c r="B158" s="1"/>
      <c r="C158" s="1"/>
      <c r="D158" s="1"/>
      <c r="E158" s="1"/>
      <c r="F158" s="1"/>
      <c r="G158" s="1"/>
      <c r="H158" s="1"/>
      <c r="I158" s="1"/>
      <c r="J158" s="1"/>
      <c r="K158" s="1"/>
      <c r="L158" s="1"/>
      <c r="M158" s="1"/>
      <c r="N158" s="26"/>
      <c r="O158" s="1"/>
    </row>
    <row r="159" spans="2:15" x14ac:dyDescent="0.25">
      <c r="B159" s="1"/>
      <c r="C159" s="1"/>
      <c r="D159" s="1"/>
      <c r="E159" s="1"/>
      <c r="F159" s="1"/>
      <c r="G159" s="1"/>
      <c r="H159" s="1"/>
      <c r="I159" s="1"/>
      <c r="J159" s="1"/>
      <c r="K159" s="1"/>
      <c r="L159" s="1"/>
      <c r="M159" s="1"/>
      <c r="N159" s="26"/>
      <c r="O159" s="1"/>
    </row>
    <row r="160" spans="2:15" x14ac:dyDescent="0.25">
      <c r="B160" s="1"/>
      <c r="C160" s="1"/>
      <c r="D160" s="1"/>
      <c r="E160" s="1"/>
      <c r="F160" s="1"/>
      <c r="G160" s="1"/>
      <c r="H160" s="1"/>
      <c r="I160" s="1"/>
      <c r="J160" s="1"/>
      <c r="K160" s="1"/>
      <c r="L160" s="1"/>
      <c r="M160" s="1"/>
      <c r="N160" s="26"/>
      <c r="O160" s="1"/>
    </row>
    <row r="161" spans="2:15" x14ac:dyDescent="0.25">
      <c r="B161" s="1"/>
      <c r="C161" s="1"/>
      <c r="D161" s="1"/>
      <c r="E161" s="1"/>
      <c r="F161" s="1"/>
      <c r="G161" s="1"/>
      <c r="H161" s="1"/>
      <c r="I161" s="1"/>
      <c r="J161" s="1"/>
      <c r="K161" s="1"/>
      <c r="L161" s="1"/>
      <c r="M161" s="1"/>
      <c r="N161" s="26"/>
      <c r="O161" s="1"/>
    </row>
    <row r="162" spans="2:15" x14ac:dyDescent="0.25">
      <c r="B162" s="1"/>
      <c r="C162" s="1"/>
      <c r="D162" s="1"/>
      <c r="E162" s="1"/>
      <c r="F162" s="1"/>
      <c r="G162" s="1"/>
      <c r="H162" s="1"/>
      <c r="I162" s="1"/>
      <c r="J162" s="1"/>
      <c r="K162" s="1"/>
      <c r="L162" s="1"/>
      <c r="M162" s="1"/>
      <c r="N162" s="26"/>
      <c r="O162" s="1"/>
    </row>
    <row r="163" spans="2:15" x14ac:dyDescent="0.25">
      <c r="B163" s="1"/>
      <c r="C163" s="1"/>
      <c r="D163" s="1"/>
      <c r="E163" s="1"/>
      <c r="F163" s="1"/>
      <c r="G163" s="1"/>
      <c r="H163" s="1"/>
      <c r="I163" s="1"/>
      <c r="J163" s="1"/>
      <c r="K163" s="1"/>
      <c r="L163" s="1"/>
      <c r="M163" s="1"/>
      <c r="N163" s="26"/>
      <c r="O163" s="1"/>
    </row>
    <row r="164" spans="2:15" x14ac:dyDescent="0.25">
      <c r="B164" s="1"/>
      <c r="C164" s="1"/>
      <c r="D164" s="1"/>
      <c r="E164" s="1"/>
      <c r="F164" s="1"/>
      <c r="G164" s="1"/>
      <c r="H164" s="1"/>
      <c r="I164" s="1"/>
      <c r="J164" s="1"/>
      <c r="K164" s="1"/>
      <c r="L164" s="1"/>
      <c r="M164" s="1"/>
      <c r="N164" s="26"/>
      <c r="O164" s="1"/>
    </row>
    <row r="165" spans="2:15" x14ac:dyDescent="0.25">
      <c r="B165" s="1"/>
      <c r="C165" s="1"/>
      <c r="D165" s="1"/>
      <c r="E165" s="1"/>
      <c r="F165" s="1"/>
      <c r="G165" s="1"/>
      <c r="H165" s="1"/>
      <c r="I165" s="1"/>
      <c r="J165" s="1"/>
      <c r="K165" s="1"/>
      <c r="L165" s="1"/>
      <c r="M165" s="1"/>
      <c r="N165" s="26"/>
      <c r="O165" s="1"/>
    </row>
    <row r="166" spans="2:15" x14ac:dyDescent="0.25">
      <c r="B166" s="1"/>
      <c r="C166" s="1"/>
      <c r="D166" s="1"/>
      <c r="E166" s="1"/>
      <c r="F166" s="1"/>
      <c r="G166" s="1"/>
      <c r="H166" s="1"/>
      <c r="I166" s="1"/>
      <c r="J166" s="1"/>
      <c r="K166" s="1"/>
      <c r="L166" s="1"/>
      <c r="M166" s="1"/>
      <c r="N166" s="26"/>
      <c r="O166" s="1"/>
    </row>
    <row r="167" spans="2:15" x14ac:dyDescent="0.25">
      <c r="B167" s="1"/>
      <c r="C167" s="1"/>
      <c r="D167" s="1"/>
      <c r="E167" s="1"/>
      <c r="F167" s="1"/>
      <c r="G167" s="1"/>
      <c r="H167" s="1"/>
      <c r="I167" s="1"/>
      <c r="J167" s="1"/>
      <c r="K167" s="1"/>
      <c r="L167" s="1"/>
      <c r="M167" s="1"/>
      <c r="N167" s="26"/>
      <c r="O167" s="1"/>
    </row>
    <row r="168" spans="2:15" x14ac:dyDescent="0.25">
      <c r="B168" s="1"/>
      <c r="C168" s="1"/>
      <c r="D168" s="1"/>
      <c r="E168" s="1"/>
      <c r="F168" s="1"/>
      <c r="G168" s="1"/>
      <c r="H168" s="1"/>
      <c r="I168" s="1"/>
      <c r="J168" s="1"/>
      <c r="K168" s="1"/>
      <c r="L168" s="1"/>
      <c r="M168" s="1"/>
      <c r="N168" s="26"/>
      <c r="O168" s="1"/>
    </row>
    <row r="169" spans="2:15" x14ac:dyDescent="0.25">
      <c r="B169" s="1"/>
      <c r="C169" s="1"/>
      <c r="D169" s="1"/>
      <c r="E169" s="1"/>
      <c r="F169" s="1"/>
      <c r="G169" s="1"/>
      <c r="H169" s="1"/>
      <c r="I169" s="1"/>
      <c r="J169" s="1"/>
      <c r="K169" s="1"/>
      <c r="L169" s="1"/>
      <c r="M169" s="1"/>
      <c r="N169" s="26"/>
      <c r="O169" s="1"/>
    </row>
    <row r="170" spans="2:15" x14ac:dyDescent="0.25">
      <c r="B170" s="1"/>
      <c r="C170" s="1"/>
      <c r="D170" s="1"/>
      <c r="E170" s="1"/>
      <c r="F170" s="1"/>
      <c r="G170" s="1"/>
      <c r="H170" s="1"/>
      <c r="I170" s="1"/>
      <c r="J170" s="1"/>
      <c r="K170" s="1"/>
      <c r="L170" s="1"/>
      <c r="M170" s="1"/>
      <c r="N170" s="26"/>
      <c r="O170" s="1"/>
    </row>
    <row r="171" spans="2:15" x14ac:dyDescent="0.25">
      <c r="B171" s="1"/>
      <c r="C171" s="1"/>
      <c r="D171" s="1"/>
      <c r="E171" s="1"/>
      <c r="F171" s="1"/>
      <c r="G171" s="1"/>
      <c r="H171" s="1"/>
      <c r="I171" s="1"/>
      <c r="J171" s="1"/>
      <c r="K171" s="1"/>
      <c r="L171" s="1"/>
      <c r="M171" s="1"/>
      <c r="N171" s="26"/>
      <c r="O171" s="1"/>
    </row>
    <row r="172" spans="2:15" x14ac:dyDescent="0.25">
      <c r="B172" s="1"/>
      <c r="C172" s="1"/>
      <c r="D172" s="1"/>
      <c r="E172" s="1"/>
      <c r="F172" s="1"/>
      <c r="G172" s="1"/>
      <c r="H172" s="1"/>
      <c r="I172" s="1"/>
      <c r="J172" s="1"/>
      <c r="K172" s="1"/>
      <c r="L172" s="1"/>
      <c r="M172" s="1"/>
      <c r="N172" s="26"/>
      <c r="O172" s="1"/>
    </row>
    <row r="173" spans="2:15" x14ac:dyDescent="0.25">
      <c r="B173" s="1"/>
      <c r="C173" s="1"/>
      <c r="D173" s="1"/>
      <c r="E173" s="1"/>
      <c r="F173" s="1"/>
      <c r="G173" s="1"/>
      <c r="H173" s="1"/>
      <c r="I173" s="1"/>
      <c r="J173" s="1"/>
      <c r="K173" s="1"/>
      <c r="L173" s="1"/>
      <c r="M173" s="1"/>
      <c r="N173" s="26"/>
      <c r="O173" s="1"/>
    </row>
    <row r="174" spans="2:15" x14ac:dyDescent="0.25">
      <c r="B174" s="1"/>
      <c r="C174" s="1"/>
      <c r="D174" s="1"/>
      <c r="E174" s="1"/>
      <c r="F174" s="1"/>
      <c r="G174" s="1"/>
      <c r="H174" s="1"/>
      <c r="I174" s="1"/>
      <c r="J174" s="1"/>
      <c r="K174" s="1"/>
      <c r="L174" s="1"/>
      <c r="M174" s="1"/>
      <c r="N174" s="26"/>
      <c r="O174" s="1"/>
    </row>
    <row r="175" spans="2:15" x14ac:dyDescent="0.25">
      <c r="B175" s="1"/>
      <c r="C175" s="1"/>
      <c r="D175" s="1"/>
      <c r="E175" s="1"/>
      <c r="F175" s="1"/>
      <c r="G175" s="1"/>
      <c r="H175" s="1"/>
      <c r="I175" s="1"/>
      <c r="J175" s="1"/>
      <c r="K175" s="1"/>
      <c r="L175" s="1"/>
      <c r="M175" s="1"/>
      <c r="N175" s="26"/>
      <c r="O175" s="1"/>
    </row>
    <row r="176" spans="2:15" x14ac:dyDescent="0.25">
      <c r="B176" s="1"/>
      <c r="C176" s="1"/>
      <c r="D176" s="1"/>
      <c r="E176" s="1"/>
      <c r="F176" s="1"/>
      <c r="G176" s="1"/>
      <c r="H176" s="1"/>
      <c r="I176" s="1"/>
      <c r="J176" s="1"/>
      <c r="K176" s="1"/>
      <c r="L176" s="1"/>
      <c r="M176" s="1"/>
      <c r="N176" s="26"/>
      <c r="O176" s="1"/>
    </row>
    <row r="177" spans="14:14" x14ac:dyDescent="0.25">
      <c r="N177" s="19"/>
    </row>
    <row r="178" spans="14:14" x14ac:dyDescent="0.25">
      <c r="N178" s="19"/>
    </row>
    <row r="179" spans="14:14" x14ac:dyDescent="0.25">
      <c r="N179" s="19"/>
    </row>
    <row r="180" spans="14:14" x14ac:dyDescent="0.25">
      <c r="N180" s="19"/>
    </row>
    <row r="181" spans="14:14" x14ac:dyDescent="0.25">
      <c r="N181" s="19"/>
    </row>
    <row r="182" spans="14:14" x14ac:dyDescent="0.25">
      <c r="N182" s="19"/>
    </row>
    <row r="183" spans="14:14" x14ac:dyDescent="0.25">
      <c r="N183" s="19"/>
    </row>
    <row r="184" spans="14:14" x14ac:dyDescent="0.25">
      <c r="N184" s="19"/>
    </row>
    <row r="185" spans="14:14" x14ac:dyDescent="0.25">
      <c r="N185" s="19"/>
    </row>
    <row r="186" spans="14:14" x14ac:dyDescent="0.25">
      <c r="N186" s="19"/>
    </row>
    <row r="187" spans="14:14" x14ac:dyDescent="0.25">
      <c r="N187" s="19"/>
    </row>
    <row r="188" spans="14:14" x14ac:dyDescent="0.25">
      <c r="N188" s="19"/>
    </row>
    <row r="189" spans="14:14" x14ac:dyDescent="0.25">
      <c r="N189" s="19"/>
    </row>
    <row r="190" spans="14:14" x14ac:dyDescent="0.25">
      <c r="N190" s="19"/>
    </row>
    <row r="191" spans="14:14" x14ac:dyDescent="0.25">
      <c r="N191" s="19"/>
    </row>
    <row r="192" spans="14:14" x14ac:dyDescent="0.25">
      <c r="N192" s="19"/>
    </row>
    <row r="193" spans="14:14" x14ac:dyDescent="0.25">
      <c r="N193" s="19"/>
    </row>
    <row r="194" spans="14:14" x14ac:dyDescent="0.25">
      <c r="N194" s="19"/>
    </row>
    <row r="195" spans="14:14" x14ac:dyDescent="0.25">
      <c r="N195" s="19"/>
    </row>
    <row r="196" spans="14:14" x14ac:dyDescent="0.25">
      <c r="N196" s="19"/>
    </row>
    <row r="197" spans="14:14" x14ac:dyDescent="0.25">
      <c r="N197" s="19"/>
    </row>
    <row r="198" spans="14:14" x14ac:dyDescent="0.25">
      <c r="N198" s="19"/>
    </row>
    <row r="199" spans="14:14" x14ac:dyDescent="0.25">
      <c r="N199" s="19"/>
    </row>
    <row r="200" spans="14:14" x14ac:dyDescent="0.25">
      <c r="N200" s="19"/>
    </row>
    <row r="201" spans="14:14" x14ac:dyDescent="0.25">
      <c r="N201" s="19"/>
    </row>
    <row r="202" spans="14:14" x14ac:dyDescent="0.25">
      <c r="N202" s="19"/>
    </row>
    <row r="203" spans="14:14" x14ac:dyDescent="0.25">
      <c r="N203" s="19"/>
    </row>
    <row r="204" spans="14:14" x14ac:dyDescent="0.25">
      <c r="N204" s="19"/>
    </row>
    <row r="205" spans="14:14" x14ac:dyDescent="0.25">
      <c r="N205" s="19"/>
    </row>
    <row r="206" spans="14:14" x14ac:dyDescent="0.25">
      <c r="N206" s="19"/>
    </row>
    <row r="207" spans="14:14" x14ac:dyDescent="0.25">
      <c r="N207" s="19"/>
    </row>
    <row r="208" spans="14:14" x14ac:dyDescent="0.25">
      <c r="N208" s="19"/>
    </row>
    <row r="209" spans="14:14" x14ac:dyDescent="0.25">
      <c r="N209" s="19"/>
    </row>
    <row r="210" spans="14:14" x14ac:dyDescent="0.25">
      <c r="N210" s="19"/>
    </row>
    <row r="211" spans="14:14" x14ac:dyDescent="0.25">
      <c r="N211" s="19"/>
    </row>
    <row r="212" spans="14:14" x14ac:dyDescent="0.25">
      <c r="N212" s="19"/>
    </row>
    <row r="213" spans="14:14" x14ac:dyDescent="0.25">
      <c r="N213" s="19"/>
    </row>
    <row r="214" spans="14:14" x14ac:dyDescent="0.25">
      <c r="N214" s="19"/>
    </row>
    <row r="215" spans="14:14" x14ac:dyDescent="0.25">
      <c r="N215" s="19"/>
    </row>
    <row r="216" spans="14:14" x14ac:dyDescent="0.25">
      <c r="N216" s="19"/>
    </row>
    <row r="217" spans="14:14" x14ac:dyDescent="0.25">
      <c r="N217" s="19"/>
    </row>
    <row r="218" spans="14:14" x14ac:dyDescent="0.25">
      <c r="N218" s="19"/>
    </row>
    <row r="219" spans="14:14" x14ac:dyDescent="0.25">
      <c r="N219" s="19"/>
    </row>
    <row r="220" spans="14:14" x14ac:dyDescent="0.25">
      <c r="N220" s="19"/>
    </row>
    <row r="221" spans="14:14" x14ac:dyDescent="0.25">
      <c r="N221" s="19"/>
    </row>
    <row r="222" spans="14:14" x14ac:dyDescent="0.25">
      <c r="N222" s="19"/>
    </row>
    <row r="223" spans="14:14" x14ac:dyDescent="0.25">
      <c r="N223" s="19"/>
    </row>
    <row r="224" spans="14:14" x14ac:dyDescent="0.25">
      <c r="N224" s="19"/>
    </row>
    <row r="225" spans="14:14" x14ac:dyDescent="0.25">
      <c r="N225" s="19"/>
    </row>
    <row r="226" spans="14:14" x14ac:dyDescent="0.25">
      <c r="N226" s="19"/>
    </row>
    <row r="227" spans="14:14" x14ac:dyDescent="0.25">
      <c r="N227" s="19"/>
    </row>
    <row r="228" spans="14:14" x14ac:dyDescent="0.25">
      <c r="N228" s="19"/>
    </row>
    <row r="229" spans="14:14" x14ac:dyDescent="0.25">
      <c r="N229" s="19"/>
    </row>
    <row r="230" spans="14:14" x14ac:dyDescent="0.25">
      <c r="N230" s="19"/>
    </row>
    <row r="231" spans="14:14" x14ac:dyDescent="0.25">
      <c r="N231" s="19"/>
    </row>
    <row r="232" spans="14:14" x14ac:dyDescent="0.25">
      <c r="N232" s="19"/>
    </row>
    <row r="233" spans="14:14" x14ac:dyDescent="0.25">
      <c r="N233" s="19"/>
    </row>
    <row r="234" spans="14:14" x14ac:dyDescent="0.25">
      <c r="N234" s="19"/>
    </row>
    <row r="235" spans="14:14" x14ac:dyDescent="0.25">
      <c r="N235" s="19"/>
    </row>
    <row r="236" spans="14:14" x14ac:dyDescent="0.25">
      <c r="N236" s="19"/>
    </row>
    <row r="237" spans="14:14" x14ac:dyDescent="0.25">
      <c r="N237" s="19"/>
    </row>
    <row r="238" spans="14:14" x14ac:dyDescent="0.25">
      <c r="N238" s="19"/>
    </row>
    <row r="239" spans="14:14" x14ac:dyDescent="0.25">
      <c r="N239" s="19"/>
    </row>
    <row r="240" spans="14:14" x14ac:dyDescent="0.25">
      <c r="N240" s="19"/>
    </row>
    <row r="241" spans="14:14" x14ac:dyDescent="0.25">
      <c r="N241" s="19"/>
    </row>
    <row r="242" spans="14:14" x14ac:dyDescent="0.25">
      <c r="N242" s="19"/>
    </row>
    <row r="243" spans="14:14" x14ac:dyDescent="0.25">
      <c r="N243" s="19"/>
    </row>
    <row r="244" spans="14:14" x14ac:dyDescent="0.25">
      <c r="N244" s="19"/>
    </row>
    <row r="245" spans="14:14" x14ac:dyDescent="0.25">
      <c r="N245" s="19"/>
    </row>
    <row r="246" spans="14:14" x14ac:dyDescent="0.25">
      <c r="N246" s="19"/>
    </row>
    <row r="247" spans="14:14" x14ac:dyDescent="0.25">
      <c r="N247" s="19"/>
    </row>
    <row r="248" spans="14:14" x14ac:dyDescent="0.25">
      <c r="N248" s="19"/>
    </row>
    <row r="249" spans="14:14" x14ac:dyDescent="0.25">
      <c r="N249" s="19"/>
    </row>
    <row r="250" spans="14:14" x14ac:dyDescent="0.25">
      <c r="N250" s="19"/>
    </row>
    <row r="251" spans="14:14" x14ac:dyDescent="0.25">
      <c r="N251" s="19"/>
    </row>
    <row r="252" spans="14:14" x14ac:dyDescent="0.25">
      <c r="N252" s="19"/>
    </row>
    <row r="253" spans="14:14" x14ac:dyDescent="0.25">
      <c r="N253" s="19"/>
    </row>
    <row r="254" spans="14:14" x14ac:dyDescent="0.25">
      <c r="N254" s="19"/>
    </row>
    <row r="255" spans="14:14" x14ac:dyDescent="0.25">
      <c r="N255" s="19"/>
    </row>
    <row r="256" spans="14:14" x14ac:dyDescent="0.25">
      <c r="N256" s="19"/>
    </row>
    <row r="257" spans="14:14" x14ac:dyDescent="0.25">
      <c r="N257" s="19"/>
    </row>
    <row r="258" spans="14:14" x14ac:dyDescent="0.25">
      <c r="N258" s="19"/>
    </row>
    <row r="259" spans="14:14" x14ac:dyDescent="0.25">
      <c r="N259" s="19"/>
    </row>
    <row r="260" spans="14:14" x14ac:dyDescent="0.25">
      <c r="N260" s="19"/>
    </row>
    <row r="261" spans="14:14" x14ac:dyDescent="0.25">
      <c r="N261" s="19"/>
    </row>
    <row r="262" spans="14:14" x14ac:dyDescent="0.25">
      <c r="N262" s="19"/>
    </row>
    <row r="263" spans="14:14" x14ac:dyDescent="0.25">
      <c r="N263" s="19"/>
    </row>
    <row r="264" spans="14:14" x14ac:dyDescent="0.25">
      <c r="N264" s="19"/>
    </row>
    <row r="265" spans="14:14" x14ac:dyDescent="0.25">
      <c r="N265" s="19"/>
    </row>
    <row r="266" spans="14:14" x14ac:dyDescent="0.25">
      <c r="N266" s="19"/>
    </row>
    <row r="267" spans="14:14" x14ac:dyDescent="0.25">
      <c r="N267" s="19"/>
    </row>
    <row r="268" spans="14:14" x14ac:dyDescent="0.25">
      <c r="N268" s="19"/>
    </row>
    <row r="269" spans="14:14" x14ac:dyDescent="0.25">
      <c r="N269" s="19"/>
    </row>
    <row r="270" spans="14:14" x14ac:dyDescent="0.25">
      <c r="N270" s="19"/>
    </row>
    <row r="271" spans="14:14" x14ac:dyDescent="0.25">
      <c r="N271" s="19"/>
    </row>
    <row r="272" spans="14:14" x14ac:dyDescent="0.25">
      <c r="N272" s="19"/>
    </row>
    <row r="273" spans="14:14" x14ac:dyDescent="0.25">
      <c r="N273" s="19"/>
    </row>
    <row r="274" spans="14:14" x14ac:dyDescent="0.25">
      <c r="N274" s="19"/>
    </row>
    <row r="275" spans="14:14" x14ac:dyDescent="0.25">
      <c r="N275" s="19"/>
    </row>
    <row r="276" spans="14:14" x14ac:dyDescent="0.25">
      <c r="N276" s="19"/>
    </row>
    <row r="277" spans="14:14" x14ac:dyDescent="0.25">
      <c r="N277" s="19"/>
    </row>
    <row r="278" spans="14:14" x14ac:dyDescent="0.25">
      <c r="N278" s="19"/>
    </row>
    <row r="279" spans="14:14" x14ac:dyDescent="0.25">
      <c r="N279" s="19"/>
    </row>
    <row r="280" spans="14:14" x14ac:dyDescent="0.25">
      <c r="N280" s="19"/>
    </row>
    <row r="281" spans="14:14" x14ac:dyDescent="0.25">
      <c r="N281" s="19"/>
    </row>
    <row r="282" spans="14:14" x14ac:dyDescent="0.25">
      <c r="N282" s="19"/>
    </row>
    <row r="283" spans="14:14" x14ac:dyDescent="0.25">
      <c r="N283" s="19"/>
    </row>
    <row r="284" spans="14:14" x14ac:dyDescent="0.25">
      <c r="N284" s="19"/>
    </row>
    <row r="285" spans="14:14" x14ac:dyDescent="0.25">
      <c r="N285" s="19"/>
    </row>
    <row r="286" spans="14:14" x14ac:dyDescent="0.25">
      <c r="N286" s="19"/>
    </row>
    <row r="287" spans="14:14" x14ac:dyDescent="0.25">
      <c r="N287" s="19"/>
    </row>
    <row r="288" spans="14:14" x14ac:dyDescent="0.25">
      <c r="N288" s="19"/>
    </row>
    <row r="289" spans="14:14" x14ac:dyDescent="0.25">
      <c r="N289" s="19"/>
    </row>
    <row r="290" spans="14:14" x14ac:dyDescent="0.25">
      <c r="N290" s="19"/>
    </row>
    <row r="291" spans="14:14" x14ac:dyDescent="0.25">
      <c r="N291" s="19"/>
    </row>
    <row r="292" spans="14:14" x14ac:dyDescent="0.25">
      <c r="N292" s="19"/>
    </row>
    <row r="293" spans="14:14" x14ac:dyDescent="0.25">
      <c r="N293" s="19"/>
    </row>
    <row r="294" spans="14:14" x14ac:dyDescent="0.25">
      <c r="N294" s="19"/>
    </row>
    <row r="295" spans="14:14" x14ac:dyDescent="0.25">
      <c r="N295" s="19"/>
    </row>
    <row r="296" spans="14:14" x14ac:dyDescent="0.25">
      <c r="N296" s="19"/>
    </row>
    <row r="297" spans="14:14" x14ac:dyDescent="0.25">
      <c r="N297" s="19"/>
    </row>
    <row r="298" spans="14:14" x14ac:dyDescent="0.25">
      <c r="N298" s="19"/>
    </row>
    <row r="299" spans="14:14" x14ac:dyDescent="0.25">
      <c r="N299" s="19"/>
    </row>
    <row r="300" spans="14:14" x14ac:dyDescent="0.25">
      <c r="N300" s="19"/>
    </row>
    <row r="301" spans="14:14" x14ac:dyDescent="0.25">
      <c r="N301" s="19"/>
    </row>
    <row r="302" spans="14:14" x14ac:dyDescent="0.25">
      <c r="N302" s="19"/>
    </row>
    <row r="303" spans="14:14" x14ac:dyDescent="0.25">
      <c r="N303" s="19"/>
    </row>
    <row r="304" spans="14:14" x14ac:dyDescent="0.25">
      <c r="N304" s="19"/>
    </row>
    <row r="305" spans="14:14" x14ac:dyDescent="0.25">
      <c r="N305" s="19"/>
    </row>
    <row r="306" spans="14:14" x14ac:dyDescent="0.25">
      <c r="N306" s="19"/>
    </row>
    <row r="307" spans="14:14" x14ac:dyDescent="0.25">
      <c r="N307" s="19"/>
    </row>
    <row r="308" spans="14:14" x14ac:dyDescent="0.25">
      <c r="N308" s="19"/>
    </row>
    <row r="309" spans="14:14" x14ac:dyDescent="0.25">
      <c r="N309" s="19"/>
    </row>
    <row r="310" spans="14:14" x14ac:dyDescent="0.25">
      <c r="N310" s="19"/>
    </row>
    <row r="311" spans="14:14" x14ac:dyDescent="0.25">
      <c r="N311" s="19"/>
    </row>
    <row r="312" spans="14:14" x14ac:dyDescent="0.25">
      <c r="N312" s="19"/>
    </row>
    <row r="313" spans="14:14" x14ac:dyDescent="0.25">
      <c r="N313" s="19"/>
    </row>
    <row r="314" spans="14:14" x14ac:dyDescent="0.25">
      <c r="N314" s="19"/>
    </row>
    <row r="315" spans="14:14" x14ac:dyDescent="0.25">
      <c r="N315" s="19"/>
    </row>
    <row r="316" spans="14:14" x14ac:dyDescent="0.25">
      <c r="N316" s="19"/>
    </row>
    <row r="317" spans="14:14" x14ac:dyDescent="0.25">
      <c r="N317" s="19"/>
    </row>
    <row r="318" spans="14:14" x14ac:dyDescent="0.25">
      <c r="N318" s="19"/>
    </row>
    <row r="319" spans="14:14" x14ac:dyDescent="0.25">
      <c r="N319" s="19"/>
    </row>
    <row r="320" spans="14:14" x14ac:dyDescent="0.25">
      <c r="N320" s="19"/>
    </row>
    <row r="321" spans="2:14" x14ac:dyDescent="0.25">
      <c r="N321" s="19"/>
    </row>
    <row r="322" spans="2:14" x14ac:dyDescent="0.25">
      <c r="N322" s="19"/>
    </row>
    <row r="323" spans="2:14" x14ac:dyDescent="0.25">
      <c r="N323" s="19"/>
    </row>
    <row r="324" spans="2:14" x14ac:dyDescent="0.25">
      <c r="N324" s="19"/>
    </row>
    <row r="325" spans="2:14" x14ac:dyDescent="0.25">
      <c r="N325" s="19"/>
    </row>
    <row r="326" spans="2:14" x14ac:dyDescent="0.25">
      <c r="N326" s="19"/>
    </row>
    <row r="327" spans="2:14" x14ac:dyDescent="0.25">
      <c r="B327" s="1"/>
      <c r="C327" s="1"/>
      <c r="D327" s="1"/>
      <c r="E327" s="1"/>
      <c r="F327" s="1"/>
      <c r="G327" s="1"/>
      <c r="H327" s="1"/>
      <c r="I327" s="1"/>
      <c r="J327" s="1"/>
      <c r="K327" s="1"/>
      <c r="L327" s="1"/>
      <c r="M327" s="1"/>
      <c r="N327" s="19"/>
    </row>
    <row r="328" spans="2:14" x14ac:dyDescent="0.25">
      <c r="B328" s="1"/>
      <c r="C328" s="1"/>
      <c r="D328" s="1"/>
      <c r="E328" s="1"/>
      <c r="F328" s="1"/>
      <c r="G328" s="1"/>
      <c r="H328" s="1"/>
      <c r="I328" s="1"/>
      <c r="J328" s="1"/>
      <c r="K328" s="1"/>
      <c r="L328" s="1"/>
      <c r="M328" s="1"/>
      <c r="N328" s="19"/>
    </row>
    <row r="329" spans="2:14" x14ac:dyDescent="0.25">
      <c r="B329" s="1"/>
      <c r="C329" s="1"/>
      <c r="D329" s="1"/>
      <c r="E329" s="1"/>
      <c r="F329" s="1"/>
      <c r="G329" s="1"/>
      <c r="H329" s="1"/>
      <c r="I329" s="1"/>
      <c r="J329" s="1"/>
      <c r="K329" s="1"/>
      <c r="L329" s="1"/>
      <c r="M329" s="1"/>
      <c r="N329" s="19"/>
    </row>
    <row r="330" spans="2:14" x14ac:dyDescent="0.25">
      <c r="B330" s="1"/>
      <c r="C330" s="1"/>
      <c r="D330" s="1"/>
      <c r="E330" s="1"/>
      <c r="F330" s="1"/>
      <c r="G330" s="1"/>
      <c r="H330" s="1"/>
      <c r="I330" s="1"/>
      <c r="J330" s="1"/>
      <c r="K330" s="1"/>
      <c r="L330" s="1"/>
      <c r="M330" s="1"/>
      <c r="N330" s="19"/>
    </row>
    <row r="331" spans="2:14" x14ac:dyDescent="0.25">
      <c r="B331" s="1"/>
      <c r="C331" s="1"/>
      <c r="D331" s="1"/>
      <c r="E331" s="1"/>
      <c r="F331" s="1"/>
      <c r="G331" s="1"/>
      <c r="H331" s="1"/>
      <c r="I331" s="1"/>
      <c r="J331" s="1"/>
      <c r="K331" s="1"/>
      <c r="L331" s="1"/>
      <c r="M331" s="1"/>
      <c r="N331" s="19"/>
    </row>
    <row r="332" spans="2:14" x14ac:dyDescent="0.25">
      <c r="B332" s="1"/>
      <c r="C332" s="1"/>
      <c r="D332" s="1"/>
      <c r="E332" s="1"/>
      <c r="F332" s="1"/>
      <c r="G332" s="1"/>
      <c r="H332" s="1"/>
      <c r="I332" s="1"/>
      <c r="J332" s="1"/>
      <c r="K332" s="1"/>
      <c r="L332" s="1"/>
      <c r="M332" s="1"/>
      <c r="N332" s="19"/>
    </row>
    <row r="333" spans="2:14" x14ac:dyDescent="0.25">
      <c r="B333" s="1"/>
      <c r="C333" s="1"/>
      <c r="D333" s="1"/>
      <c r="E333" s="1"/>
      <c r="F333" s="1"/>
      <c r="G333" s="1"/>
      <c r="H333" s="1"/>
      <c r="I333" s="1"/>
      <c r="J333" s="1"/>
      <c r="K333" s="1"/>
      <c r="L333" s="1"/>
      <c r="M333" s="1"/>
      <c r="N333" s="19"/>
    </row>
    <row r="334" spans="2:14" x14ac:dyDescent="0.25">
      <c r="B334" s="1"/>
      <c r="C334" s="1"/>
      <c r="D334" s="1"/>
      <c r="E334" s="1"/>
      <c r="F334" s="1"/>
      <c r="G334" s="1"/>
      <c r="H334" s="1"/>
      <c r="I334" s="1"/>
      <c r="J334" s="1"/>
      <c r="K334" s="1"/>
      <c r="L334" s="1"/>
      <c r="M334" s="1"/>
    </row>
    <row r="335" spans="2:14" x14ac:dyDescent="0.25">
      <c r="B335" s="1"/>
      <c r="C335" s="1"/>
      <c r="D335" s="1"/>
      <c r="E335" s="1"/>
      <c r="F335" s="1"/>
      <c r="G335" s="1"/>
      <c r="H335" s="1"/>
      <c r="I335" s="1"/>
      <c r="J335" s="1"/>
      <c r="K335" s="1"/>
      <c r="L335" s="1"/>
      <c r="M335" s="1"/>
    </row>
    <row r="336" spans="2:14" x14ac:dyDescent="0.25">
      <c r="B336" s="1"/>
      <c r="C336" s="1"/>
      <c r="D336" s="1"/>
      <c r="E336" s="1"/>
      <c r="F336" s="1"/>
      <c r="G336" s="1"/>
      <c r="H336" s="1"/>
      <c r="I336" s="1"/>
      <c r="J336" s="1"/>
      <c r="K336" s="1"/>
      <c r="L336" s="1"/>
      <c r="M336" s="1"/>
    </row>
    <row r="337" spans="2:13" x14ac:dyDescent="0.25">
      <c r="B337" s="1"/>
      <c r="C337" s="1"/>
      <c r="D337" s="1"/>
      <c r="E337" s="1"/>
      <c r="F337" s="1"/>
      <c r="G337" s="1"/>
      <c r="H337" s="1"/>
      <c r="I337" s="1"/>
      <c r="J337" s="1"/>
      <c r="K337" s="1"/>
      <c r="L337" s="1"/>
      <c r="M337" s="1"/>
    </row>
  </sheetData>
  <mergeCells count="1">
    <mergeCell ref="F1:H1"/>
  </mergeCells>
  <pageMargins left="0.75" right="0.75" top="1" bottom="1" header="0.5" footer="0.5"/>
  <pageSetup orientation="portrait"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108040"/>
  </sheetPr>
  <dimension ref="A1:N534"/>
  <sheetViews>
    <sheetView workbookViewId="0">
      <selection activeCell="C22" sqref="C22"/>
    </sheetView>
  </sheetViews>
  <sheetFormatPr defaultColWidth="11" defaultRowHeight="15.75" x14ac:dyDescent="0.25"/>
  <cols>
    <col min="1" max="1" width="25.625" customWidth="1"/>
    <col min="2" max="2" width="15.125" bestFit="1" customWidth="1"/>
    <col min="3" max="9" width="12.5" bestFit="1" customWidth="1"/>
    <col min="10" max="12" width="13.875" customWidth="1"/>
    <col min="13" max="13" width="11" style="124"/>
  </cols>
  <sheetData>
    <row r="1" spans="1:14" ht="18.75" x14ac:dyDescent="0.3">
      <c r="J1" s="1020" t="s">
        <v>154</v>
      </c>
      <c r="K1" s="1020"/>
      <c r="L1" s="1020"/>
    </row>
    <row r="2" spans="1:14" x14ac:dyDescent="0.25">
      <c r="A2" s="2"/>
    </row>
    <row r="3" spans="1:14" x14ac:dyDescent="0.25">
      <c r="A3" s="2"/>
      <c r="B3" s="19"/>
      <c r="C3" s="19"/>
      <c r="D3" s="19"/>
      <c r="E3" s="19"/>
      <c r="F3" s="19"/>
      <c r="G3" s="19"/>
      <c r="H3" s="19"/>
      <c r="I3" s="19"/>
      <c r="J3" s="70" t="s">
        <v>58</v>
      </c>
      <c r="K3" s="70" t="s">
        <v>58</v>
      </c>
      <c r="L3" s="70" t="s">
        <v>58</v>
      </c>
    </row>
    <row r="4" spans="1:14" x14ac:dyDescent="0.25">
      <c r="A4" s="2"/>
      <c r="B4" s="30"/>
      <c r="C4" s="30"/>
      <c r="D4" s="30"/>
      <c r="E4" s="30"/>
      <c r="F4" s="30"/>
      <c r="G4" s="30"/>
      <c r="H4" s="30"/>
      <c r="I4" s="30"/>
      <c r="J4" s="29" t="s">
        <v>55</v>
      </c>
      <c r="K4" s="29" t="s">
        <v>151</v>
      </c>
      <c r="L4" s="29" t="s">
        <v>56</v>
      </c>
    </row>
    <row r="5" spans="1:14" s="60" customFormat="1" ht="18.75" x14ac:dyDescent="0.3">
      <c r="A5" s="80" t="s">
        <v>90</v>
      </c>
      <c r="B5" s="146">
        <v>2009</v>
      </c>
      <c r="C5" s="146">
        <v>2010</v>
      </c>
      <c r="D5" s="146">
        <v>2011</v>
      </c>
      <c r="E5" s="146">
        <v>2012</v>
      </c>
      <c r="F5" s="146">
        <v>2013</v>
      </c>
      <c r="G5" s="146">
        <v>2014</v>
      </c>
      <c r="H5" s="146">
        <v>2015</v>
      </c>
      <c r="I5" s="146">
        <v>2016</v>
      </c>
      <c r="J5" s="146">
        <v>2017</v>
      </c>
      <c r="K5" s="146">
        <v>2018</v>
      </c>
      <c r="L5" s="146">
        <v>2019</v>
      </c>
      <c r="M5" s="126"/>
      <c r="N5" s="2"/>
    </row>
    <row r="6" spans="1:14" x14ac:dyDescent="0.25">
      <c r="A6" s="10" t="s">
        <v>92</v>
      </c>
      <c r="B6" s="31"/>
      <c r="C6" s="31"/>
      <c r="D6" s="31"/>
      <c r="E6" s="31"/>
      <c r="F6" s="31"/>
      <c r="G6" s="31"/>
      <c r="H6" s="31"/>
      <c r="I6" s="31">
        <v>2044984</v>
      </c>
      <c r="J6" s="31">
        <v>2081331</v>
      </c>
      <c r="K6" s="31">
        <v>1253321</v>
      </c>
      <c r="L6" s="31">
        <v>2004250</v>
      </c>
      <c r="M6" s="121"/>
      <c r="N6" s="3"/>
    </row>
    <row r="7" spans="1:14" x14ac:dyDescent="0.25">
      <c r="A7" s="83" t="s">
        <v>88</v>
      </c>
      <c r="B7" s="31"/>
      <c r="C7" s="31"/>
      <c r="D7" s="31"/>
      <c r="E7" s="31"/>
      <c r="F7" s="31"/>
      <c r="G7" s="31"/>
      <c r="H7" s="31"/>
      <c r="I7" s="31"/>
      <c r="J7" s="31"/>
      <c r="K7" s="31"/>
      <c r="L7" s="31"/>
      <c r="M7" s="121"/>
      <c r="N7" s="3"/>
    </row>
    <row r="8" spans="1:14" s="19" customFormat="1" x14ac:dyDescent="0.25">
      <c r="A8" s="81" t="s">
        <v>93</v>
      </c>
      <c r="B8" s="31"/>
      <c r="C8" s="31"/>
      <c r="D8" s="31"/>
      <c r="E8" s="31"/>
      <c r="F8" s="31"/>
      <c r="G8" s="31"/>
      <c r="H8" s="31"/>
      <c r="I8" s="31"/>
      <c r="J8" s="31"/>
      <c r="K8" s="31"/>
      <c r="L8" s="31"/>
      <c r="M8" s="121"/>
      <c r="N8" s="3"/>
    </row>
    <row r="9" spans="1:14" s="19" customFormat="1" x14ac:dyDescent="0.25">
      <c r="A9" s="63" t="s">
        <v>78</v>
      </c>
      <c r="B9" s="31"/>
      <c r="C9" s="31"/>
      <c r="D9" s="31"/>
      <c r="E9" s="31"/>
      <c r="F9" s="31"/>
      <c r="G9" s="31"/>
      <c r="H9" s="31"/>
      <c r="I9" s="31"/>
      <c r="J9" s="31"/>
      <c r="K9" s="31"/>
      <c r="L9" s="31"/>
      <c r="M9" s="121"/>
      <c r="N9" s="3"/>
    </row>
    <row r="10" spans="1:14" s="19" customFormat="1" ht="16.5" thickBot="1" x14ac:dyDescent="0.3">
      <c r="A10" s="38"/>
      <c r="B10" s="99"/>
      <c r="C10" s="99"/>
      <c r="D10" s="99"/>
      <c r="E10" s="99"/>
      <c r="F10" s="99"/>
      <c r="G10" s="99"/>
      <c r="H10" s="99"/>
      <c r="I10" s="99"/>
      <c r="J10" s="99"/>
      <c r="K10" s="99"/>
      <c r="L10" s="99"/>
      <c r="M10" s="126"/>
      <c r="N10" s="2"/>
    </row>
    <row r="11" spans="1:14" x14ac:dyDescent="0.25">
      <c r="A11" s="82" t="s">
        <v>100</v>
      </c>
      <c r="B11" s="31" t="s">
        <v>95</v>
      </c>
      <c r="C11" s="31" t="s">
        <v>95</v>
      </c>
      <c r="D11" s="31" t="s">
        <v>95</v>
      </c>
      <c r="E11" s="31" t="s">
        <v>95</v>
      </c>
      <c r="F11" s="31" t="s">
        <v>95</v>
      </c>
      <c r="G11" s="31" t="s">
        <v>95</v>
      </c>
      <c r="H11" s="31" t="s">
        <v>95</v>
      </c>
      <c r="I11" s="31" t="s">
        <v>95</v>
      </c>
      <c r="J11" s="31" t="s">
        <v>95</v>
      </c>
      <c r="K11" s="31" t="s">
        <v>95</v>
      </c>
      <c r="L11" s="31" t="s">
        <v>95</v>
      </c>
      <c r="M11" s="126"/>
      <c r="N11" s="2"/>
    </row>
    <row r="12" spans="1:14" x14ac:dyDescent="0.25">
      <c r="A12" s="2"/>
      <c r="B12" s="30"/>
      <c r="C12" s="30"/>
      <c r="D12" s="30"/>
      <c r="E12" s="30"/>
      <c r="F12" s="30"/>
      <c r="G12" s="30"/>
      <c r="H12" s="30"/>
      <c r="I12" s="30"/>
      <c r="J12" s="30"/>
      <c r="K12" s="30"/>
      <c r="L12" s="30"/>
      <c r="M12" s="126"/>
      <c r="N12" s="2"/>
    </row>
    <row r="13" spans="1:14" x14ac:dyDescent="0.25">
      <c r="A13" s="75"/>
      <c r="B13" s="31"/>
      <c r="C13" s="31"/>
      <c r="D13" s="31"/>
      <c r="E13" s="31"/>
      <c r="F13" s="31"/>
      <c r="G13" s="31"/>
      <c r="H13" s="31"/>
      <c r="I13" s="31"/>
      <c r="J13" s="31"/>
      <c r="K13" s="31"/>
      <c r="L13" s="31"/>
      <c r="M13" s="126"/>
      <c r="N13" s="2"/>
    </row>
    <row r="14" spans="1:14" ht="18.75" x14ac:dyDescent="0.3">
      <c r="A14" s="80" t="s">
        <v>68</v>
      </c>
      <c r="B14" s="26"/>
      <c r="C14" s="26"/>
      <c r="D14" s="26"/>
      <c r="E14" s="26"/>
      <c r="F14" s="26"/>
      <c r="G14" s="26"/>
      <c r="H14" s="26"/>
      <c r="I14" s="26"/>
      <c r="J14" s="26"/>
      <c r="K14" s="26"/>
      <c r="L14" s="26"/>
    </row>
    <row r="15" spans="1:14" x14ac:dyDescent="0.25">
      <c r="A15" s="10" t="s">
        <v>92</v>
      </c>
      <c r="B15" s="1">
        <v>0</v>
      </c>
      <c r="C15" s="1">
        <v>0</v>
      </c>
      <c r="D15" s="1">
        <v>0</v>
      </c>
      <c r="E15" s="1">
        <v>0</v>
      </c>
      <c r="F15" s="1">
        <v>0</v>
      </c>
      <c r="G15" s="1">
        <v>0</v>
      </c>
      <c r="H15" s="1">
        <v>0</v>
      </c>
      <c r="I15" s="1">
        <v>0</v>
      </c>
      <c r="J15" s="1">
        <v>0</v>
      </c>
      <c r="K15" s="1">
        <v>0</v>
      </c>
      <c r="L15" s="1">
        <v>0</v>
      </c>
    </row>
    <row r="16" spans="1:14" x14ac:dyDescent="0.25">
      <c r="A16" s="83" t="s">
        <v>88</v>
      </c>
      <c r="B16" s="1"/>
      <c r="C16" s="1"/>
      <c r="D16" s="1"/>
      <c r="E16" s="1"/>
      <c r="F16" s="1"/>
      <c r="G16" s="1"/>
      <c r="H16" s="1"/>
      <c r="I16" s="1"/>
      <c r="J16" s="1"/>
      <c r="K16" s="1"/>
      <c r="L16" s="1"/>
    </row>
    <row r="17" spans="1:14" x14ac:dyDescent="0.25">
      <c r="A17" s="81" t="s">
        <v>93</v>
      </c>
      <c r="B17" s="1"/>
      <c r="C17" s="1"/>
      <c r="D17" s="1"/>
      <c r="E17" s="1"/>
      <c r="F17" s="1"/>
      <c r="G17" s="1"/>
      <c r="H17" s="1"/>
      <c r="I17" s="1"/>
      <c r="J17" s="1"/>
      <c r="K17" s="1"/>
      <c r="L17" s="1"/>
    </row>
    <row r="18" spans="1:14" x14ac:dyDescent="0.25">
      <c r="A18" s="63" t="s">
        <v>78</v>
      </c>
      <c r="B18" s="1"/>
      <c r="C18" s="1"/>
      <c r="D18" s="1"/>
      <c r="E18" s="1"/>
      <c r="F18" s="1"/>
      <c r="G18" s="1"/>
      <c r="H18" s="1"/>
      <c r="I18" s="1"/>
      <c r="J18" s="1"/>
      <c r="K18" s="1"/>
      <c r="L18" s="1"/>
    </row>
    <row r="19" spans="1:14" x14ac:dyDescent="0.25">
      <c r="A19" s="108" t="s">
        <v>129</v>
      </c>
      <c r="B19" s="1">
        <v>0</v>
      </c>
      <c r="C19" s="1">
        <v>0</v>
      </c>
      <c r="D19" s="1">
        <v>0</v>
      </c>
      <c r="E19" s="1">
        <v>0</v>
      </c>
      <c r="F19" s="1">
        <v>0</v>
      </c>
      <c r="G19" s="1">
        <v>0</v>
      </c>
      <c r="H19" s="1">
        <v>0</v>
      </c>
      <c r="I19" s="1">
        <v>0</v>
      </c>
      <c r="J19" s="1">
        <v>3332538</v>
      </c>
      <c r="K19" s="1">
        <v>2287956</v>
      </c>
      <c r="L19" s="1">
        <v>2246915</v>
      </c>
    </row>
    <row r="20" spans="1:14" x14ac:dyDescent="0.25">
      <c r="A20" s="82" t="s">
        <v>109</v>
      </c>
      <c r="B20" s="1">
        <f t="shared" ref="B20:L20" si="0">SUM(B15:B19)</f>
        <v>0</v>
      </c>
      <c r="C20" s="1">
        <f t="shared" si="0"/>
        <v>0</v>
      </c>
      <c r="D20" s="1">
        <f t="shared" si="0"/>
        <v>0</v>
      </c>
      <c r="E20" s="1">
        <f t="shared" si="0"/>
        <v>0</v>
      </c>
      <c r="F20" s="1">
        <f t="shared" si="0"/>
        <v>0</v>
      </c>
      <c r="G20" s="1">
        <f t="shared" si="0"/>
        <v>0</v>
      </c>
      <c r="H20" s="1">
        <f t="shared" si="0"/>
        <v>0</v>
      </c>
      <c r="I20" s="1">
        <f t="shared" si="0"/>
        <v>0</v>
      </c>
      <c r="J20" s="1">
        <f t="shared" si="0"/>
        <v>3332538</v>
      </c>
      <c r="K20" s="1">
        <f t="shared" si="0"/>
        <v>2287956</v>
      </c>
      <c r="L20" s="1">
        <f t="shared" si="0"/>
        <v>2246915</v>
      </c>
    </row>
    <row r="21" spans="1:14" x14ac:dyDescent="0.25">
      <c r="A21" s="124"/>
      <c r="B21" s="124"/>
      <c r="C21" s="124"/>
      <c r="D21" s="124"/>
      <c r="E21" s="124"/>
      <c r="F21" s="124"/>
      <c r="G21" s="124"/>
      <c r="H21" s="124"/>
      <c r="I21" s="124"/>
      <c r="J21" s="124"/>
      <c r="K21" s="124"/>
      <c r="L21" s="124"/>
    </row>
    <row r="24" spans="1:14" x14ac:dyDescent="0.25">
      <c r="B24" s="1"/>
      <c r="C24" s="1"/>
      <c r="D24" s="1"/>
      <c r="E24" s="1"/>
      <c r="F24" s="1"/>
      <c r="G24" s="1"/>
      <c r="H24" s="1"/>
      <c r="I24" s="1"/>
      <c r="J24" s="1"/>
      <c r="K24" s="1"/>
      <c r="L24" s="1"/>
      <c r="M24" s="120"/>
      <c r="N24" s="1"/>
    </row>
    <row r="25" spans="1:14" x14ac:dyDescent="0.25">
      <c r="A25" s="208"/>
      <c r="B25" s="93"/>
      <c r="C25" s="93"/>
      <c r="D25" s="93"/>
      <c r="E25" s="93"/>
      <c r="F25" s="93"/>
      <c r="G25" s="93"/>
      <c r="H25" s="93"/>
      <c r="I25" s="93"/>
      <c r="J25" s="93"/>
      <c r="K25" s="93"/>
      <c r="L25" s="93"/>
      <c r="M25" s="120"/>
      <c r="N25" s="1"/>
    </row>
    <row r="26" spans="1:14" x14ac:dyDescent="0.25">
      <c r="A26" s="201"/>
      <c r="B26" s="93"/>
      <c r="C26" s="93"/>
      <c r="D26" s="93"/>
      <c r="E26" s="93"/>
      <c r="F26" s="93"/>
      <c r="G26" s="93"/>
      <c r="H26" s="93"/>
      <c r="I26" s="93"/>
      <c r="J26" s="93"/>
      <c r="K26" s="93"/>
      <c r="L26" s="93"/>
      <c r="M26" s="120"/>
      <c r="N26" s="1"/>
    </row>
    <row r="27" spans="1:14" x14ac:dyDescent="0.25">
      <c r="A27" s="201"/>
      <c r="B27" s="93"/>
      <c r="C27" s="93"/>
      <c r="D27" s="93"/>
      <c r="E27" s="93"/>
      <c r="F27" s="93"/>
      <c r="G27" s="93"/>
      <c r="H27" s="93"/>
      <c r="I27" s="93"/>
      <c r="J27" s="93"/>
      <c r="K27" s="93"/>
      <c r="L27" s="93"/>
      <c r="M27" s="120"/>
      <c r="N27" s="1"/>
    </row>
    <row r="28" spans="1:14" x14ac:dyDescent="0.25">
      <c r="A28" s="201"/>
      <c r="B28" s="93"/>
      <c r="C28" s="93"/>
      <c r="D28" s="93"/>
      <c r="E28" s="93"/>
      <c r="F28" s="93"/>
      <c r="G28" s="93"/>
      <c r="H28" s="93"/>
      <c r="I28" s="93"/>
      <c r="J28" s="93"/>
      <c r="K28" s="93"/>
      <c r="L28" s="93"/>
      <c r="M28" s="120"/>
      <c r="N28" s="1"/>
    </row>
    <row r="29" spans="1:14" x14ac:dyDescent="0.25">
      <c r="A29" s="201"/>
      <c r="B29" s="93"/>
      <c r="C29" s="93"/>
      <c r="D29" s="93"/>
      <c r="E29" s="93"/>
      <c r="F29" s="93"/>
      <c r="G29" s="93"/>
      <c r="H29" s="93"/>
      <c r="I29" s="93"/>
      <c r="J29" s="93"/>
      <c r="K29" s="93"/>
      <c r="L29" s="93"/>
      <c r="M29" s="120"/>
      <c r="N29" s="1"/>
    </row>
    <row r="30" spans="1:14" x14ac:dyDescent="0.25">
      <c r="A30" s="114"/>
      <c r="B30" s="93"/>
      <c r="C30" s="93"/>
      <c r="D30" s="93"/>
      <c r="E30" s="93"/>
      <c r="F30" s="93"/>
      <c r="G30" s="93"/>
      <c r="H30" s="93"/>
      <c r="I30" s="93"/>
      <c r="J30" s="93"/>
      <c r="K30" s="93"/>
      <c r="L30" s="93"/>
      <c r="M30" s="120"/>
      <c r="N30" s="1"/>
    </row>
    <row r="31" spans="1:14" x14ac:dyDescent="0.25">
      <c r="A31" s="199"/>
      <c r="B31" s="93"/>
      <c r="C31" s="93"/>
      <c r="D31" s="93"/>
      <c r="E31" s="93"/>
      <c r="F31" s="93"/>
      <c r="G31" s="93"/>
      <c r="H31" s="93"/>
      <c r="I31" s="93"/>
      <c r="J31" s="93"/>
      <c r="K31" s="93"/>
      <c r="L31" s="93"/>
      <c r="M31" s="120"/>
      <c r="N31" s="1"/>
    </row>
    <row r="32" spans="1:14" x14ac:dyDescent="0.25">
      <c r="A32" s="205"/>
      <c r="B32" s="93"/>
      <c r="C32" s="193"/>
      <c r="D32" s="193"/>
      <c r="E32" s="193"/>
      <c r="F32" s="193"/>
      <c r="G32" s="193"/>
      <c r="H32" s="193"/>
      <c r="I32" s="193"/>
      <c r="J32" s="193"/>
      <c r="K32" s="193"/>
      <c r="L32" s="193"/>
      <c r="M32" s="120"/>
      <c r="N32" s="1"/>
    </row>
    <row r="33" spans="1:14" x14ac:dyDescent="0.25">
      <c r="A33" s="210"/>
      <c r="B33" s="93"/>
      <c r="C33" s="93"/>
      <c r="D33" s="93"/>
      <c r="E33" s="93"/>
      <c r="F33" s="93"/>
      <c r="G33" s="93"/>
      <c r="H33" s="93"/>
      <c r="I33" s="93"/>
      <c r="J33" s="93"/>
      <c r="K33" s="93"/>
      <c r="L33" s="193"/>
      <c r="M33" s="120"/>
      <c r="N33" s="1"/>
    </row>
    <row r="34" spans="1:14" x14ac:dyDescent="0.25">
      <c r="A34" s="114"/>
      <c r="B34" s="93"/>
      <c r="C34" s="93"/>
      <c r="D34" s="93"/>
      <c r="E34" s="93"/>
      <c r="F34" s="93"/>
      <c r="G34" s="93"/>
      <c r="H34" s="93"/>
      <c r="I34" s="93"/>
      <c r="J34" s="93"/>
      <c r="K34" s="93"/>
      <c r="L34" s="93"/>
      <c r="M34" s="120"/>
      <c r="N34" s="1"/>
    </row>
    <row r="35" spans="1:14" x14ac:dyDescent="0.25">
      <c r="A35" s="199"/>
      <c r="B35" s="93"/>
      <c r="C35" s="93"/>
      <c r="D35" s="93"/>
      <c r="E35" s="93"/>
      <c r="F35" s="93"/>
      <c r="G35" s="93"/>
      <c r="H35" s="93"/>
      <c r="I35" s="93"/>
      <c r="J35" s="93"/>
      <c r="K35" s="93"/>
      <c r="L35" s="93"/>
      <c r="M35" s="120"/>
      <c r="N35" s="1"/>
    </row>
    <row r="36" spans="1:14" x14ac:dyDescent="0.25">
      <c r="A36" s="199"/>
      <c r="B36" s="93"/>
      <c r="C36" s="93"/>
      <c r="D36" s="93"/>
      <c r="E36" s="93"/>
      <c r="F36" s="93"/>
      <c r="G36" s="93"/>
      <c r="H36" s="93"/>
      <c r="I36" s="93"/>
      <c r="J36" s="93"/>
      <c r="K36" s="93"/>
      <c r="L36" s="93"/>
      <c r="M36" s="120"/>
      <c r="N36" s="1"/>
    </row>
    <row r="37" spans="1:14" x14ac:dyDescent="0.25">
      <c r="A37" s="199"/>
      <c r="B37" s="93"/>
      <c r="C37" s="93"/>
      <c r="D37" s="93"/>
      <c r="E37" s="93"/>
      <c r="F37" s="93"/>
      <c r="G37" s="93"/>
      <c r="H37" s="93"/>
      <c r="I37" s="93"/>
      <c r="J37" s="93"/>
      <c r="K37" s="93"/>
      <c r="L37" s="93"/>
      <c r="M37" s="120"/>
      <c r="N37" s="1"/>
    </row>
    <row r="38" spans="1:14" x14ac:dyDescent="0.25">
      <c r="A38" s="114"/>
      <c r="B38" s="114"/>
      <c r="C38" s="114"/>
      <c r="D38" s="114"/>
      <c r="E38" s="114"/>
      <c r="F38" s="114"/>
      <c r="G38" s="114"/>
      <c r="H38" s="114"/>
      <c r="I38" s="114"/>
      <c r="J38" s="114"/>
      <c r="K38" s="114"/>
      <c r="L38" s="114"/>
      <c r="M38" s="120"/>
      <c r="N38" s="1"/>
    </row>
    <row r="39" spans="1:14" x14ac:dyDescent="0.25">
      <c r="A39" s="114"/>
      <c r="B39" s="114"/>
      <c r="C39" s="114"/>
      <c r="D39" s="114"/>
      <c r="E39" s="114"/>
      <c r="F39" s="114"/>
      <c r="G39" s="114"/>
      <c r="H39" s="114"/>
      <c r="I39" s="114"/>
      <c r="J39" s="114"/>
      <c r="K39" s="114"/>
      <c r="L39" s="114"/>
      <c r="M39" s="120"/>
      <c r="N39" s="1"/>
    </row>
    <row r="40" spans="1:14" x14ac:dyDescent="0.25">
      <c r="A40" s="114"/>
      <c r="B40" s="114"/>
      <c r="C40" s="114"/>
      <c r="D40" s="114"/>
      <c r="E40" s="114"/>
      <c r="F40" s="114"/>
      <c r="G40" s="114"/>
      <c r="H40" s="114"/>
      <c r="I40" s="114"/>
      <c r="J40" s="114"/>
      <c r="K40" s="114"/>
      <c r="L40" s="114"/>
      <c r="M40" s="120"/>
      <c r="N40" s="1"/>
    </row>
    <row r="41" spans="1:14" x14ac:dyDescent="0.25">
      <c r="A41" s="114"/>
      <c r="B41" s="114"/>
      <c r="C41" s="114"/>
      <c r="D41" s="114"/>
      <c r="E41" s="114"/>
      <c r="F41" s="114"/>
      <c r="G41" s="114"/>
      <c r="H41" s="114"/>
      <c r="I41" s="114"/>
      <c r="J41" s="114"/>
      <c r="K41" s="114"/>
      <c r="L41" s="114"/>
      <c r="M41" s="120"/>
      <c r="N41" s="1"/>
    </row>
    <row r="42" spans="1:14" x14ac:dyDescent="0.25">
      <c r="A42" s="114"/>
      <c r="B42" s="114"/>
      <c r="C42" s="114"/>
      <c r="D42" s="114"/>
      <c r="E42" s="114"/>
      <c r="F42" s="114"/>
      <c r="G42" s="114"/>
      <c r="H42" s="114"/>
      <c r="I42" s="114"/>
      <c r="J42" s="114"/>
      <c r="K42" s="114"/>
      <c r="L42" s="114"/>
      <c r="M42" s="120"/>
      <c r="N42" s="1"/>
    </row>
    <row r="43" spans="1:14" x14ac:dyDescent="0.25">
      <c r="A43" s="114"/>
      <c r="B43" s="114"/>
      <c r="C43" s="114"/>
      <c r="D43" s="114"/>
      <c r="E43" s="114"/>
      <c r="F43" s="114"/>
      <c r="G43" s="114"/>
      <c r="H43" s="114"/>
      <c r="I43" s="114"/>
      <c r="J43" s="114"/>
      <c r="K43" s="114"/>
      <c r="L43" s="114"/>
      <c r="M43" s="120"/>
      <c r="N43" s="1"/>
    </row>
    <row r="44" spans="1:14" x14ac:dyDescent="0.25">
      <c r="A44" s="114"/>
      <c r="B44" s="114"/>
      <c r="C44" s="114"/>
      <c r="D44" s="114"/>
      <c r="E44" s="114"/>
      <c r="F44" s="114"/>
      <c r="G44" s="114"/>
      <c r="H44" s="114"/>
      <c r="I44" s="114"/>
      <c r="J44" s="114"/>
      <c r="K44" s="114"/>
      <c r="L44" s="114"/>
      <c r="M44" s="120"/>
      <c r="N44" s="1"/>
    </row>
    <row r="45" spans="1:14" x14ac:dyDescent="0.25">
      <c r="A45" s="199"/>
      <c r="B45" s="93"/>
      <c r="C45" s="93"/>
      <c r="D45" s="93"/>
      <c r="E45" s="93"/>
      <c r="F45" s="93"/>
      <c r="G45" s="93"/>
      <c r="H45" s="93"/>
      <c r="I45" s="93"/>
      <c r="J45" s="93"/>
      <c r="K45" s="93"/>
      <c r="L45" s="93"/>
      <c r="M45" s="120"/>
      <c r="N45" s="1"/>
    </row>
    <row r="46" spans="1:14" x14ac:dyDescent="0.25">
      <c r="A46" s="199"/>
      <c r="B46" s="93"/>
      <c r="C46" s="93"/>
      <c r="D46" s="93"/>
      <c r="E46" s="93"/>
      <c r="F46" s="93"/>
      <c r="G46" s="93"/>
      <c r="H46" s="93"/>
      <c r="I46" s="93"/>
      <c r="J46" s="93"/>
      <c r="K46" s="93"/>
      <c r="L46" s="93"/>
      <c r="M46" s="120"/>
      <c r="N46" s="1"/>
    </row>
    <row r="47" spans="1:14" x14ac:dyDescent="0.25">
      <c r="A47" s="199"/>
      <c r="B47" s="93"/>
      <c r="C47" s="93"/>
      <c r="D47" s="93"/>
      <c r="E47" s="93"/>
      <c r="F47" s="93"/>
      <c r="G47" s="93"/>
      <c r="H47" s="93"/>
      <c r="I47" s="93"/>
      <c r="J47" s="93"/>
      <c r="K47" s="93"/>
      <c r="L47" s="93"/>
      <c r="M47" s="120"/>
      <c r="N47" s="1"/>
    </row>
    <row r="48" spans="1:14" x14ac:dyDescent="0.25">
      <c r="A48" s="199"/>
      <c r="B48" s="93"/>
      <c r="C48" s="93"/>
      <c r="D48" s="93"/>
      <c r="E48" s="93"/>
      <c r="F48" s="93"/>
      <c r="G48" s="93"/>
      <c r="H48" s="93"/>
      <c r="I48" s="93"/>
      <c r="J48" s="93"/>
      <c r="K48" s="93"/>
      <c r="L48" s="93"/>
      <c r="M48" s="120"/>
      <c r="N48" s="1"/>
    </row>
    <row r="49" spans="1:14" x14ac:dyDescent="0.25">
      <c r="A49" s="114"/>
      <c r="B49" s="93"/>
      <c r="C49" s="93"/>
      <c r="D49" s="93"/>
      <c r="E49" s="93"/>
      <c r="F49" s="93"/>
      <c r="G49" s="93"/>
      <c r="H49" s="93"/>
      <c r="I49" s="93"/>
      <c r="J49" s="93"/>
      <c r="K49" s="93"/>
      <c r="L49" s="93"/>
      <c r="M49" s="120"/>
      <c r="N49" s="1"/>
    </row>
    <row r="50" spans="1:14" x14ac:dyDescent="0.25">
      <c r="A50" s="114"/>
      <c r="B50" s="93"/>
      <c r="C50" s="93"/>
      <c r="D50" s="93"/>
      <c r="E50" s="93"/>
      <c r="F50" s="93"/>
      <c r="G50" s="93"/>
      <c r="H50" s="93"/>
      <c r="I50" s="93"/>
      <c r="J50" s="93"/>
      <c r="K50" s="93"/>
      <c r="L50" s="93"/>
      <c r="M50" s="120"/>
      <c r="N50" s="1"/>
    </row>
    <row r="51" spans="1:14" x14ac:dyDescent="0.25">
      <c r="A51" s="217"/>
      <c r="B51" s="93"/>
      <c r="C51" s="93"/>
      <c r="D51" s="93"/>
      <c r="E51" s="93"/>
      <c r="F51" s="93"/>
      <c r="G51" s="93"/>
      <c r="H51" s="93"/>
      <c r="I51" s="93"/>
      <c r="J51" s="93"/>
      <c r="K51" s="93"/>
      <c r="L51" s="93"/>
      <c r="M51" s="120"/>
      <c r="N51" s="1"/>
    </row>
    <row r="52" spans="1:14" x14ac:dyDescent="0.25">
      <c r="A52" s="114"/>
      <c r="B52" s="93"/>
      <c r="C52" s="93"/>
      <c r="D52" s="93"/>
      <c r="E52" s="93"/>
      <c r="F52" s="93"/>
      <c r="G52" s="93"/>
      <c r="H52" s="93"/>
      <c r="I52" s="93"/>
      <c r="J52" s="93"/>
      <c r="K52" s="93"/>
      <c r="L52" s="93"/>
      <c r="M52" s="120"/>
      <c r="N52" s="1"/>
    </row>
    <row r="53" spans="1:14" x14ac:dyDescent="0.25">
      <c r="A53" s="199"/>
      <c r="B53" s="93"/>
      <c r="C53" s="93"/>
      <c r="D53" s="93"/>
      <c r="E53" s="93"/>
      <c r="F53" s="93"/>
      <c r="G53" s="93"/>
      <c r="H53" s="93"/>
      <c r="I53" s="93"/>
      <c r="J53" s="93"/>
      <c r="K53" s="93"/>
      <c r="L53" s="93"/>
      <c r="M53" s="120"/>
      <c r="N53" s="1"/>
    </row>
    <row r="54" spans="1:14" x14ac:dyDescent="0.25">
      <c r="A54" s="114"/>
      <c r="B54" s="93"/>
      <c r="C54" s="93"/>
      <c r="D54" s="93"/>
      <c r="E54" s="93"/>
      <c r="F54" s="93"/>
      <c r="G54" s="93"/>
      <c r="H54" s="93"/>
      <c r="I54" s="93"/>
      <c r="J54" s="93"/>
      <c r="K54" s="93"/>
      <c r="L54" s="93"/>
      <c r="M54" s="120"/>
      <c r="N54" s="1"/>
    </row>
    <row r="55" spans="1:14" x14ac:dyDescent="0.25">
      <c r="A55" s="199"/>
      <c r="B55" s="93"/>
      <c r="C55" s="93"/>
      <c r="D55" s="93"/>
      <c r="E55" s="93"/>
      <c r="F55" s="93"/>
      <c r="G55" s="93"/>
      <c r="H55" s="93"/>
      <c r="I55" s="93"/>
      <c r="J55" s="93"/>
      <c r="K55" s="93"/>
      <c r="L55" s="93"/>
      <c r="M55" s="120"/>
      <c r="N55" s="1"/>
    </row>
    <row r="56" spans="1:14" x14ac:dyDescent="0.25">
      <c r="A56" s="114"/>
      <c r="B56" s="93"/>
      <c r="C56" s="93"/>
      <c r="D56" s="93"/>
      <c r="E56" s="93"/>
      <c r="F56" s="93"/>
      <c r="G56" s="93"/>
      <c r="H56" s="93"/>
      <c r="I56" s="93"/>
      <c r="J56" s="93"/>
      <c r="K56" s="93"/>
      <c r="L56" s="93"/>
      <c r="M56" s="120"/>
      <c r="N56" s="1"/>
    </row>
    <row r="57" spans="1:14" x14ac:dyDescent="0.25">
      <c r="A57" s="114"/>
      <c r="B57" s="93"/>
      <c r="C57" s="93"/>
      <c r="D57" s="93"/>
      <c r="E57" s="93"/>
      <c r="F57" s="93"/>
      <c r="G57" s="93"/>
      <c r="H57" s="93"/>
      <c r="I57" s="93"/>
      <c r="J57" s="93"/>
      <c r="K57" s="93"/>
      <c r="L57" s="93"/>
      <c r="M57" s="120"/>
      <c r="N57" s="1"/>
    </row>
    <row r="58" spans="1:14" x14ac:dyDescent="0.25">
      <c r="A58" s="114"/>
      <c r="B58" s="93"/>
      <c r="C58" s="93"/>
      <c r="D58" s="93"/>
      <c r="E58" s="93"/>
      <c r="F58" s="93"/>
      <c r="G58" s="93"/>
      <c r="H58" s="93"/>
      <c r="I58" s="93"/>
      <c r="J58" s="93"/>
      <c r="K58" s="93"/>
      <c r="L58" s="93"/>
      <c r="M58" s="120"/>
      <c r="N58" s="1"/>
    </row>
    <row r="59" spans="1:14" x14ac:dyDescent="0.25">
      <c r="A59" s="199"/>
      <c r="B59" s="125"/>
      <c r="C59" s="125"/>
      <c r="D59" s="125"/>
      <c r="E59" s="125"/>
      <c r="F59" s="125"/>
      <c r="G59" s="125"/>
      <c r="H59" s="125"/>
      <c r="I59" s="125"/>
      <c r="J59" s="125"/>
      <c r="K59" s="125"/>
      <c r="L59" s="125"/>
      <c r="M59" s="120"/>
      <c r="N59" s="1"/>
    </row>
    <row r="60" spans="1:14" x14ac:dyDescent="0.25">
      <c r="A60" s="199"/>
      <c r="B60" s="114"/>
      <c r="C60" s="114"/>
      <c r="D60" s="114"/>
      <c r="E60" s="114"/>
      <c r="F60" s="114"/>
      <c r="G60" s="114"/>
      <c r="H60" s="114"/>
      <c r="I60" s="114"/>
      <c r="J60" s="114"/>
      <c r="K60" s="114"/>
      <c r="L60" s="114"/>
    </row>
    <row r="61" spans="1:14" x14ac:dyDescent="0.25">
      <c r="A61" s="199"/>
      <c r="B61" s="93"/>
      <c r="C61" s="93"/>
      <c r="D61" s="93"/>
      <c r="E61" s="93"/>
      <c r="F61" s="93"/>
      <c r="G61" s="93"/>
      <c r="H61" s="93"/>
      <c r="I61" s="93"/>
      <c r="J61" s="93"/>
      <c r="K61" s="93"/>
      <c r="L61" s="93"/>
      <c r="M61" s="120"/>
      <c r="N61" s="1"/>
    </row>
    <row r="62" spans="1:14" x14ac:dyDescent="0.25">
      <c r="A62" s="199"/>
      <c r="B62" s="200"/>
      <c r="C62" s="200"/>
      <c r="D62" s="200"/>
      <c r="E62" s="200"/>
      <c r="F62" s="200"/>
      <c r="G62" s="200"/>
      <c r="H62" s="200"/>
      <c r="I62" s="200"/>
      <c r="J62" s="200"/>
      <c r="K62" s="200"/>
      <c r="L62" s="200"/>
      <c r="M62" s="120"/>
      <c r="N62" s="1"/>
    </row>
    <row r="63" spans="1:14" x14ac:dyDescent="0.25">
      <c r="A63" s="201"/>
      <c r="B63" s="202"/>
      <c r="C63" s="202"/>
      <c r="D63" s="202"/>
      <c r="E63" s="202"/>
      <c r="F63" s="202"/>
      <c r="G63" s="202"/>
      <c r="H63" s="202"/>
      <c r="I63" s="202"/>
      <c r="J63" s="202"/>
      <c r="K63" s="202"/>
      <c r="L63" s="202"/>
      <c r="M63" s="120"/>
      <c r="N63" s="1"/>
    </row>
    <row r="64" spans="1:14" x14ac:dyDescent="0.25">
      <c r="A64" s="201"/>
      <c r="B64" s="202"/>
      <c r="C64" s="202"/>
      <c r="D64" s="202"/>
      <c r="E64" s="202"/>
      <c r="F64" s="202"/>
      <c r="G64" s="202"/>
      <c r="H64" s="202"/>
      <c r="I64" s="202"/>
      <c r="J64" s="202"/>
      <c r="K64" s="202"/>
      <c r="L64" s="202"/>
      <c r="M64" s="120"/>
      <c r="N64" s="1"/>
    </row>
    <row r="65" spans="1:14" x14ac:dyDescent="0.25">
      <c r="A65" s="201"/>
      <c r="B65" s="202"/>
      <c r="C65" s="202"/>
      <c r="D65" s="202"/>
      <c r="E65" s="202"/>
      <c r="F65" s="202"/>
      <c r="G65" s="202"/>
      <c r="H65" s="202"/>
      <c r="I65" s="202"/>
      <c r="J65" s="202"/>
      <c r="K65" s="202"/>
      <c r="L65" s="202"/>
      <c r="M65" s="120"/>
      <c r="N65" s="1"/>
    </row>
    <row r="66" spans="1:14" x14ac:dyDescent="0.25">
      <c r="A66" s="201"/>
      <c r="B66" s="202"/>
      <c r="C66" s="202"/>
      <c r="D66" s="202"/>
      <c r="E66" s="202"/>
      <c r="F66" s="202"/>
      <c r="G66" s="202"/>
      <c r="H66" s="202"/>
      <c r="I66" s="202"/>
      <c r="J66" s="202"/>
      <c r="K66" s="202"/>
      <c r="L66" s="202"/>
      <c r="M66" s="120"/>
      <c r="N66" s="1"/>
    </row>
    <row r="67" spans="1:14" s="17" customFormat="1" x14ac:dyDescent="0.25">
      <c r="A67" s="203"/>
      <c r="B67" s="204"/>
      <c r="C67" s="204"/>
      <c r="D67" s="204"/>
      <c r="E67" s="204"/>
      <c r="F67" s="204"/>
      <c r="G67" s="204"/>
      <c r="H67" s="204"/>
      <c r="I67" s="204"/>
      <c r="J67" s="204"/>
      <c r="K67" s="204"/>
      <c r="L67" s="204"/>
      <c r="M67" s="128"/>
      <c r="N67" s="32"/>
    </row>
    <row r="68" spans="1:14" x14ac:dyDescent="0.25">
      <c r="A68" s="205"/>
      <c r="B68" s="200"/>
      <c r="C68" s="140"/>
      <c r="D68" s="140"/>
      <c r="E68" s="140"/>
      <c r="F68" s="140"/>
      <c r="G68" s="140"/>
      <c r="H68" s="140"/>
      <c r="I68" s="140"/>
      <c r="J68" s="140"/>
      <c r="K68" s="140"/>
      <c r="L68" s="140"/>
      <c r="M68" s="120"/>
      <c r="N68" s="1"/>
    </row>
    <row r="69" spans="1:14" x14ac:dyDescent="0.25">
      <c r="A69" s="141"/>
      <c r="B69" s="200"/>
      <c r="C69" s="140"/>
      <c r="D69" s="140"/>
      <c r="E69" s="140"/>
      <c r="F69" s="140"/>
      <c r="G69" s="140"/>
      <c r="H69" s="140"/>
      <c r="I69" s="140"/>
      <c r="J69" s="140"/>
      <c r="K69" s="140"/>
      <c r="L69" s="140"/>
      <c r="M69" s="120"/>
      <c r="N69" s="1"/>
    </row>
    <row r="70" spans="1:14" x14ac:dyDescent="0.25">
      <c r="A70" s="114"/>
      <c r="B70" s="93"/>
      <c r="C70" s="93"/>
      <c r="D70" s="93"/>
      <c r="E70" s="93"/>
      <c r="F70" s="93"/>
      <c r="G70" s="93"/>
      <c r="H70" s="93"/>
      <c r="I70" s="93"/>
      <c r="J70" s="93"/>
      <c r="K70" s="93"/>
      <c r="L70" s="93"/>
      <c r="M70" s="120"/>
      <c r="N70" s="1"/>
    </row>
    <row r="71" spans="1:14" ht="18.75" x14ac:dyDescent="0.3">
      <c r="A71" s="206"/>
      <c r="B71" s="93"/>
      <c r="C71" s="93"/>
      <c r="D71" s="93"/>
      <c r="E71" s="93"/>
      <c r="F71" s="93"/>
      <c r="G71" s="93"/>
      <c r="H71" s="93"/>
      <c r="I71" s="93"/>
      <c r="J71" s="93"/>
      <c r="K71" s="93"/>
      <c r="L71" s="93"/>
      <c r="M71" s="120"/>
      <c r="N71" s="1"/>
    </row>
    <row r="72" spans="1:14" x14ac:dyDescent="0.25">
      <c r="A72" s="116"/>
      <c r="B72" s="207"/>
      <c r="C72" s="207"/>
      <c r="D72" s="207"/>
      <c r="E72" s="207"/>
      <c r="F72" s="207"/>
      <c r="G72" s="207"/>
      <c r="H72" s="207"/>
      <c r="I72" s="207"/>
      <c r="J72" s="207"/>
      <c r="K72" s="207"/>
      <c r="L72" s="207"/>
      <c r="M72" s="120"/>
      <c r="N72" s="1"/>
    </row>
    <row r="73" spans="1:14" x14ac:dyDescent="0.25">
      <c r="A73" s="114"/>
      <c r="B73" s="93"/>
      <c r="C73" s="93"/>
      <c r="D73" s="93"/>
      <c r="E73" s="93"/>
      <c r="F73" s="93"/>
      <c r="G73" s="93"/>
      <c r="H73" s="93"/>
      <c r="I73" s="93"/>
      <c r="J73" s="93"/>
      <c r="K73" s="93"/>
      <c r="L73" s="93"/>
      <c r="M73" s="120"/>
      <c r="N73" s="1"/>
    </row>
    <row r="74" spans="1:14" x14ac:dyDescent="0.25">
      <c r="A74" s="114"/>
      <c r="B74" s="93"/>
      <c r="C74" s="93"/>
      <c r="D74" s="93"/>
      <c r="E74" s="93"/>
      <c r="F74" s="93"/>
      <c r="G74" s="93"/>
      <c r="H74" s="93"/>
      <c r="I74" s="93"/>
      <c r="J74" s="93"/>
      <c r="K74" s="93"/>
      <c r="L74" s="93"/>
      <c r="M74" s="120"/>
      <c r="N74" s="1"/>
    </row>
    <row r="75" spans="1:14" x14ac:dyDescent="0.25">
      <c r="A75" s="201"/>
      <c r="B75" s="93"/>
      <c r="C75" s="93"/>
      <c r="D75" s="93"/>
      <c r="E75" s="93"/>
      <c r="F75" s="93"/>
      <c r="G75" s="93"/>
      <c r="H75" s="93"/>
      <c r="I75" s="93"/>
      <c r="J75" s="93"/>
      <c r="K75" s="93"/>
      <c r="L75" s="93"/>
      <c r="M75" s="120"/>
      <c r="N75" s="1"/>
    </row>
    <row r="76" spans="1:14" x14ac:dyDescent="0.25">
      <c r="A76" s="201"/>
      <c r="B76" s="93"/>
      <c r="C76" s="93"/>
      <c r="D76" s="93"/>
      <c r="E76" s="93"/>
      <c r="F76" s="93"/>
      <c r="G76" s="93"/>
      <c r="H76" s="93"/>
      <c r="I76" s="93"/>
      <c r="J76" s="93"/>
      <c r="K76" s="93"/>
      <c r="L76" s="93"/>
      <c r="M76" s="120"/>
      <c r="N76" s="1"/>
    </row>
    <row r="77" spans="1:14" x14ac:dyDescent="0.25">
      <c r="A77" s="201"/>
      <c r="B77" s="93"/>
      <c r="C77" s="93"/>
      <c r="D77" s="93"/>
      <c r="E77" s="93"/>
      <c r="F77" s="93"/>
      <c r="G77" s="93"/>
      <c r="H77" s="93"/>
      <c r="I77" s="93"/>
      <c r="J77" s="93"/>
      <c r="K77" s="93"/>
      <c r="L77" s="93"/>
      <c r="M77" s="120"/>
      <c r="N77" s="1"/>
    </row>
    <row r="78" spans="1:14" x14ac:dyDescent="0.25">
      <c r="A78" s="201"/>
      <c r="B78" s="93"/>
      <c r="C78" s="93"/>
      <c r="D78" s="93"/>
      <c r="E78" s="93"/>
      <c r="F78" s="93"/>
      <c r="G78" s="93"/>
      <c r="H78" s="93"/>
      <c r="I78" s="93"/>
      <c r="J78" s="93"/>
      <c r="K78" s="93"/>
      <c r="L78" s="93"/>
      <c r="M78" s="120"/>
      <c r="N78" s="1"/>
    </row>
    <row r="79" spans="1:14" x14ac:dyDescent="0.25">
      <c r="A79" s="199"/>
      <c r="B79" s="93"/>
      <c r="C79" s="93"/>
      <c r="D79" s="93"/>
      <c r="E79" s="93"/>
      <c r="F79" s="93"/>
      <c r="G79" s="93"/>
      <c r="H79" s="93"/>
      <c r="I79" s="93"/>
      <c r="J79" s="93"/>
      <c r="K79" s="93"/>
      <c r="L79" s="93"/>
      <c r="M79" s="120"/>
      <c r="N79" s="1"/>
    </row>
    <row r="80" spans="1:14" x14ac:dyDescent="0.25">
      <c r="A80" s="114"/>
      <c r="B80" s="93"/>
      <c r="C80" s="93"/>
      <c r="D80" s="93"/>
      <c r="E80" s="93"/>
      <c r="F80" s="93"/>
      <c r="G80" s="93"/>
      <c r="H80" s="93"/>
      <c r="I80" s="93"/>
      <c r="J80" s="93"/>
      <c r="K80" s="93"/>
      <c r="L80" s="93"/>
      <c r="M80" s="120"/>
      <c r="N80" s="1"/>
    </row>
    <row r="81" spans="1:14" x14ac:dyDescent="0.25">
      <c r="A81" s="114"/>
      <c r="B81" s="93"/>
      <c r="C81" s="93"/>
      <c r="D81" s="93"/>
      <c r="E81" s="93"/>
      <c r="F81" s="93"/>
      <c r="G81" s="93"/>
      <c r="H81" s="93"/>
      <c r="I81" s="93"/>
      <c r="J81" s="93"/>
      <c r="K81" s="93"/>
      <c r="L81" s="93"/>
      <c r="M81" s="120"/>
      <c r="N81" s="1"/>
    </row>
    <row r="82" spans="1:14" x14ac:dyDescent="0.25">
      <c r="A82" s="114"/>
      <c r="B82" s="112"/>
      <c r="C82" s="112"/>
      <c r="D82" s="112"/>
      <c r="E82" s="112"/>
      <c r="F82" s="112"/>
      <c r="G82" s="112"/>
      <c r="H82" s="112"/>
      <c r="I82" s="112"/>
      <c r="J82" s="112"/>
      <c r="K82" s="112"/>
      <c r="L82" s="112"/>
      <c r="M82" s="120"/>
      <c r="N82" s="1"/>
    </row>
    <row r="83" spans="1:14" x14ac:dyDescent="0.25">
      <c r="A83" s="114"/>
      <c r="B83" s="112"/>
      <c r="C83" s="112"/>
      <c r="D83" s="112"/>
      <c r="E83" s="112"/>
      <c r="F83" s="112"/>
      <c r="G83" s="112"/>
      <c r="H83" s="112"/>
      <c r="I83" s="112"/>
      <c r="J83" s="112"/>
      <c r="K83" s="112"/>
      <c r="L83" s="112"/>
      <c r="M83" s="120"/>
      <c r="N83" s="1"/>
    </row>
    <row r="84" spans="1:14" x14ac:dyDescent="0.25">
      <c r="A84" s="114"/>
      <c r="B84" s="93"/>
      <c r="C84" s="93"/>
      <c r="D84" s="93"/>
      <c r="E84" s="93"/>
      <c r="F84" s="93"/>
      <c r="G84" s="93"/>
      <c r="H84" s="93"/>
      <c r="I84" s="93"/>
      <c r="J84" s="93"/>
      <c r="K84" s="93"/>
      <c r="L84" s="93"/>
      <c r="M84" s="120"/>
      <c r="N84" s="1"/>
    </row>
    <row r="85" spans="1:14" x14ac:dyDescent="0.25">
      <c r="A85" s="114"/>
      <c r="B85" s="93"/>
      <c r="C85" s="93"/>
      <c r="D85" s="93"/>
      <c r="E85" s="93"/>
      <c r="F85" s="93"/>
      <c r="G85" s="93"/>
      <c r="H85" s="93"/>
      <c r="I85" s="93"/>
      <c r="J85" s="93"/>
      <c r="K85" s="93"/>
      <c r="L85" s="93"/>
      <c r="M85" s="120"/>
      <c r="N85" s="1"/>
    </row>
    <row r="86" spans="1:14" x14ac:dyDescent="0.25">
      <c r="A86" s="114"/>
      <c r="B86" s="93"/>
      <c r="C86" s="93"/>
      <c r="D86" s="93"/>
      <c r="E86" s="93"/>
      <c r="F86" s="93"/>
      <c r="G86" s="93"/>
      <c r="H86" s="93"/>
      <c r="I86" s="93"/>
      <c r="J86" s="93"/>
      <c r="K86" s="93"/>
      <c r="L86" s="93"/>
      <c r="M86" s="120"/>
      <c r="N86" s="1"/>
    </row>
    <row r="87" spans="1:14" x14ac:dyDescent="0.25">
      <c r="A87" s="114"/>
      <c r="B87" s="93"/>
      <c r="C87" s="93"/>
      <c r="D87" s="93"/>
      <c r="E87" s="93"/>
      <c r="F87" s="93"/>
      <c r="G87" s="93"/>
      <c r="H87" s="93"/>
      <c r="I87" s="93"/>
      <c r="J87" s="93"/>
      <c r="K87" s="93"/>
      <c r="L87" s="93"/>
      <c r="M87" s="120"/>
      <c r="N87" s="1"/>
    </row>
    <row r="88" spans="1:14" x14ac:dyDescent="0.25">
      <c r="A88" s="114"/>
      <c r="B88" s="93"/>
      <c r="C88" s="93"/>
      <c r="D88" s="93"/>
      <c r="E88" s="93"/>
      <c r="F88" s="93"/>
      <c r="G88" s="93"/>
      <c r="H88" s="93"/>
      <c r="I88" s="93"/>
      <c r="J88" s="93"/>
      <c r="K88" s="93"/>
      <c r="L88" s="93"/>
      <c r="M88" s="120"/>
      <c r="N88" s="1"/>
    </row>
    <row r="89" spans="1:14" x14ac:dyDescent="0.25">
      <c r="A89" s="114"/>
      <c r="B89" s="93"/>
      <c r="C89" s="93"/>
      <c r="D89" s="93"/>
      <c r="E89" s="93"/>
      <c r="F89" s="93"/>
      <c r="G89" s="93"/>
      <c r="H89" s="93"/>
      <c r="I89" s="93"/>
      <c r="J89" s="93"/>
      <c r="K89" s="93"/>
      <c r="L89" s="93"/>
      <c r="M89" s="120"/>
      <c r="N89" s="1"/>
    </row>
    <row r="90" spans="1:14" x14ac:dyDescent="0.25">
      <c r="A90" s="114"/>
      <c r="B90" s="93"/>
      <c r="C90" s="93"/>
      <c r="D90" s="93"/>
      <c r="E90" s="93"/>
      <c r="F90" s="93"/>
      <c r="G90" s="93"/>
      <c r="H90" s="93"/>
      <c r="I90" s="93"/>
      <c r="J90" s="93"/>
      <c r="K90" s="93"/>
      <c r="L90" s="93"/>
      <c r="M90" s="120"/>
      <c r="N90" s="1"/>
    </row>
    <row r="91" spans="1:14" x14ac:dyDescent="0.25">
      <c r="A91" s="114"/>
      <c r="B91" s="93"/>
      <c r="C91" s="93"/>
      <c r="D91" s="93"/>
      <c r="E91" s="93"/>
      <c r="F91" s="93"/>
      <c r="G91" s="93"/>
      <c r="H91" s="93"/>
      <c r="I91" s="93"/>
      <c r="J91" s="93"/>
      <c r="K91" s="93"/>
      <c r="L91" s="93"/>
      <c r="M91" s="120"/>
      <c r="N91" s="1"/>
    </row>
    <row r="92" spans="1:14" x14ac:dyDescent="0.25">
      <c r="A92" s="114"/>
      <c r="B92" s="93"/>
      <c r="C92" s="93"/>
      <c r="D92" s="93"/>
      <c r="E92" s="93"/>
      <c r="F92" s="93"/>
      <c r="G92" s="93"/>
      <c r="H92" s="93"/>
      <c r="I92" s="93"/>
      <c r="J92" s="93"/>
      <c r="K92" s="93"/>
      <c r="L92" s="93"/>
      <c r="M92" s="120"/>
      <c r="N92" s="1"/>
    </row>
    <row r="93" spans="1:14" x14ac:dyDescent="0.25">
      <c r="A93" s="114"/>
      <c r="B93" s="93"/>
      <c r="C93" s="93"/>
      <c r="D93" s="93"/>
      <c r="E93" s="93"/>
      <c r="F93" s="93"/>
      <c r="G93" s="93"/>
      <c r="H93" s="93"/>
      <c r="I93" s="93"/>
      <c r="J93" s="93"/>
      <c r="K93" s="93"/>
      <c r="L93" s="93"/>
      <c r="M93" s="120"/>
      <c r="N93" s="1"/>
    </row>
    <row r="94" spans="1:14" x14ac:dyDescent="0.25">
      <c r="A94" s="114"/>
      <c r="B94" s="93"/>
      <c r="C94" s="93"/>
      <c r="D94" s="93"/>
      <c r="E94" s="93"/>
      <c r="F94" s="93"/>
      <c r="G94" s="93"/>
      <c r="H94" s="93"/>
      <c r="I94" s="93"/>
      <c r="J94" s="93"/>
      <c r="K94" s="93"/>
      <c r="L94" s="93"/>
      <c r="M94" s="120"/>
      <c r="N94" s="1"/>
    </row>
    <row r="95" spans="1:14" x14ac:dyDescent="0.25">
      <c r="A95" s="114"/>
      <c r="B95" s="93"/>
      <c r="C95" s="93"/>
      <c r="D95" s="93"/>
      <c r="E95" s="93"/>
      <c r="F95" s="93"/>
      <c r="G95" s="93"/>
      <c r="H95" s="93"/>
      <c r="I95" s="93"/>
      <c r="J95" s="93"/>
      <c r="K95" s="93"/>
      <c r="L95" s="93"/>
      <c r="M95" s="120"/>
      <c r="N95" s="1"/>
    </row>
    <row r="96" spans="1:14" x14ac:dyDescent="0.25">
      <c r="A96" s="114"/>
      <c r="B96" s="93"/>
      <c r="C96" s="93"/>
      <c r="D96" s="93"/>
      <c r="E96" s="93"/>
      <c r="F96" s="93"/>
      <c r="G96" s="93"/>
      <c r="H96" s="93"/>
      <c r="I96" s="93"/>
      <c r="J96" s="93"/>
      <c r="K96" s="93"/>
      <c r="L96" s="93"/>
      <c r="M96" s="120"/>
      <c r="N96" s="1"/>
    </row>
    <row r="97" spans="1:14" x14ac:dyDescent="0.25">
      <c r="A97" s="114"/>
      <c r="B97" s="93"/>
      <c r="C97" s="93"/>
      <c r="D97" s="93"/>
      <c r="E97" s="93"/>
      <c r="F97" s="93"/>
      <c r="G97" s="93"/>
      <c r="H97" s="93"/>
      <c r="I97" s="93"/>
      <c r="J97" s="93"/>
      <c r="K97" s="93"/>
      <c r="L97" s="93"/>
      <c r="M97" s="120"/>
      <c r="N97" s="1"/>
    </row>
    <row r="98" spans="1:14" x14ac:dyDescent="0.25">
      <c r="A98" s="114"/>
      <c r="B98" s="93"/>
      <c r="C98" s="93"/>
      <c r="D98" s="93"/>
      <c r="E98" s="93"/>
      <c r="F98" s="93"/>
      <c r="G98" s="93"/>
      <c r="H98" s="93"/>
      <c r="I98" s="93"/>
      <c r="J98" s="93"/>
      <c r="K98" s="93"/>
      <c r="L98" s="93"/>
      <c r="M98" s="120"/>
      <c r="N98" s="1"/>
    </row>
    <row r="99" spans="1:14" x14ac:dyDescent="0.25">
      <c r="A99" s="114"/>
      <c r="B99" s="93"/>
      <c r="C99" s="93"/>
      <c r="D99" s="93"/>
      <c r="E99" s="93"/>
      <c r="F99" s="93"/>
      <c r="G99" s="93"/>
      <c r="H99" s="93"/>
      <c r="I99" s="93"/>
      <c r="J99" s="93"/>
      <c r="K99" s="93"/>
      <c r="L99" s="93"/>
      <c r="M99" s="120"/>
      <c r="N99" s="1"/>
    </row>
    <row r="100" spans="1:14" x14ac:dyDescent="0.25">
      <c r="A100" s="114"/>
      <c r="B100" s="93"/>
      <c r="C100" s="93"/>
      <c r="D100" s="93"/>
      <c r="E100" s="93"/>
      <c r="F100" s="93"/>
      <c r="G100" s="93"/>
      <c r="H100" s="93"/>
      <c r="I100" s="93"/>
      <c r="J100" s="93"/>
      <c r="K100" s="93"/>
      <c r="L100" s="93"/>
      <c r="M100" s="120"/>
      <c r="N100" s="1"/>
    </row>
    <row r="101" spans="1:14" x14ac:dyDescent="0.25">
      <c r="A101" s="114"/>
      <c r="B101" s="93"/>
      <c r="C101" s="93"/>
      <c r="D101" s="93"/>
      <c r="E101" s="93"/>
      <c r="F101" s="93"/>
      <c r="G101" s="93"/>
      <c r="H101" s="93"/>
      <c r="I101" s="93"/>
      <c r="J101" s="93"/>
      <c r="K101" s="93"/>
      <c r="L101" s="93"/>
      <c r="M101" s="120"/>
      <c r="N101" s="1"/>
    </row>
    <row r="102" spans="1:14" x14ac:dyDescent="0.25">
      <c r="A102" s="114"/>
      <c r="B102" s="93"/>
      <c r="C102" s="93"/>
      <c r="D102" s="93"/>
      <c r="E102" s="93"/>
      <c r="F102" s="93"/>
      <c r="G102" s="93"/>
      <c r="H102" s="93"/>
      <c r="I102" s="93"/>
      <c r="J102" s="93"/>
      <c r="K102" s="93"/>
      <c r="L102" s="93"/>
      <c r="M102" s="120"/>
      <c r="N102" s="1"/>
    </row>
    <row r="103" spans="1:14" x14ac:dyDescent="0.25">
      <c r="A103" s="114"/>
      <c r="B103" s="93"/>
      <c r="C103" s="93"/>
      <c r="D103" s="93"/>
      <c r="E103" s="93"/>
      <c r="F103" s="93"/>
      <c r="G103" s="93"/>
      <c r="H103" s="93"/>
      <c r="I103" s="93"/>
      <c r="J103" s="93"/>
      <c r="K103" s="93"/>
      <c r="L103" s="93"/>
      <c r="M103" s="120"/>
      <c r="N103" s="1"/>
    </row>
    <row r="104" spans="1:14" x14ac:dyDescent="0.25">
      <c r="A104" s="114"/>
      <c r="B104" s="93"/>
      <c r="C104" s="93"/>
      <c r="D104" s="93"/>
      <c r="E104" s="93"/>
      <c r="F104" s="93"/>
      <c r="G104" s="93"/>
      <c r="H104" s="93"/>
      <c r="I104" s="93"/>
      <c r="J104" s="93"/>
      <c r="K104" s="93"/>
      <c r="L104" s="93"/>
      <c r="M104" s="120"/>
      <c r="N104" s="1"/>
    </row>
    <row r="105" spans="1:14" x14ac:dyDescent="0.25">
      <c r="A105" s="114"/>
      <c r="B105" s="93"/>
      <c r="C105" s="93"/>
      <c r="D105" s="93"/>
      <c r="E105" s="93"/>
      <c r="F105" s="93"/>
      <c r="G105" s="93"/>
      <c r="H105" s="93"/>
      <c r="I105" s="93"/>
      <c r="J105" s="93"/>
      <c r="K105" s="93"/>
      <c r="L105" s="93"/>
      <c r="M105" s="120"/>
      <c r="N105" s="1"/>
    </row>
    <row r="106" spans="1:14" x14ac:dyDescent="0.25">
      <c r="A106" s="114"/>
      <c r="B106" s="93"/>
      <c r="C106" s="93"/>
      <c r="D106" s="93"/>
      <c r="E106" s="93"/>
      <c r="F106" s="93"/>
      <c r="G106" s="93"/>
      <c r="H106" s="93"/>
      <c r="I106" s="93"/>
      <c r="J106" s="93"/>
      <c r="K106" s="93"/>
      <c r="L106" s="93"/>
      <c r="M106" s="120"/>
      <c r="N106" s="1"/>
    </row>
    <row r="107" spans="1:14" x14ac:dyDescent="0.25">
      <c r="A107" s="114"/>
      <c r="B107" s="93"/>
      <c r="C107" s="93"/>
      <c r="D107" s="93"/>
      <c r="E107" s="93"/>
      <c r="F107" s="93"/>
      <c r="G107" s="93"/>
      <c r="H107" s="93"/>
      <c r="I107" s="93"/>
      <c r="J107" s="93"/>
      <c r="K107" s="93"/>
      <c r="L107" s="93"/>
      <c r="M107" s="120"/>
      <c r="N107" s="1"/>
    </row>
    <row r="108" spans="1:14" x14ac:dyDescent="0.25">
      <c r="A108" s="114"/>
      <c r="B108" s="93"/>
      <c r="C108" s="93"/>
      <c r="D108" s="93"/>
      <c r="E108" s="93"/>
      <c r="F108" s="93"/>
      <c r="G108" s="93"/>
      <c r="H108" s="93"/>
      <c r="I108" s="93"/>
      <c r="J108" s="93"/>
      <c r="K108" s="93"/>
      <c r="L108" s="93"/>
      <c r="M108" s="120"/>
      <c r="N108" s="1"/>
    </row>
    <row r="109" spans="1:14" x14ac:dyDescent="0.25">
      <c r="A109" s="114"/>
      <c r="B109" s="93"/>
      <c r="C109" s="93"/>
      <c r="D109" s="93"/>
      <c r="E109" s="93"/>
      <c r="F109" s="93"/>
      <c r="G109" s="93"/>
      <c r="H109" s="93"/>
      <c r="I109" s="93"/>
      <c r="J109" s="93"/>
      <c r="K109" s="93"/>
      <c r="L109" s="93"/>
      <c r="M109" s="120"/>
      <c r="N109" s="1"/>
    </row>
    <row r="110" spans="1:14" x14ac:dyDescent="0.25">
      <c r="A110" s="114"/>
      <c r="B110" s="93"/>
      <c r="C110" s="93"/>
      <c r="D110" s="93"/>
      <c r="E110" s="93"/>
      <c r="F110" s="93"/>
      <c r="G110" s="93"/>
      <c r="H110" s="93"/>
      <c r="I110" s="93"/>
      <c r="J110" s="93"/>
      <c r="K110" s="93"/>
      <c r="L110" s="93"/>
      <c r="M110" s="120"/>
      <c r="N110" s="1"/>
    </row>
    <row r="111" spans="1:14" x14ac:dyDescent="0.25">
      <c r="A111" s="114"/>
      <c r="B111" s="93"/>
      <c r="C111" s="93"/>
      <c r="D111" s="93"/>
      <c r="E111" s="93"/>
      <c r="F111" s="93"/>
      <c r="G111" s="93"/>
      <c r="H111" s="93"/>
      <c r="I111" s="93"/>
      <c r="J111" s="93"/>
      <c r="K111" s="93"/>
      <c r="L111" s="93"/>
      <c r="M111" s="120"/>
      <c r="N111" s="1"/>
    </row>
    <row r="112" spans="1:14" x14ac:dyDescent="0.25">
      <c r="A112" s="114"/>
      <c r="B112" s="93"/>
      <c r="C112" s="93"/>
      <c r="D112" s="93"/>
      <c r="E112" s="93"/>
      <c r="F112" s="93"/>
      <c r="G112" s="93"/>
      <c r="H112" s="93"/>
      <c r="I112" s="93"/>
      <c r="J112" s="93"/>
      <c r="K112" s="93"/>
      <c r="L112" s="93"/>
      <c r="M112" s="120"/>
      <c r="N112" s="1"/>
    </row>
    <row r="113" spans="1:14" x14ac:dyDescent="0.25">
      <c r="A113" s="114"/>
      <c r="B113" s="93"/>
      <c r="C113" s="93"/>
      <c r="D113" s="93"/>
      <c r="E113" s="93"/>
      <c r="F113" s="93"/>
      <c r="G113" s="93"/>
      <c r="H113" s="93"/>
      <c r="I113" s="93"/>
      <c r="J113" s="93"/>
      <c r="K113" s="93"/>
      <c r="L113" s="93"/>
      <c r="M113" s="120"/>
      <c r="N113" s="1"/>
    </row>
    <row r="114" spans="1:14" x14ac:dyDescent="0.25">
      <c r="A114" s="114"/>
      <c r="B114" s="93"/>
      <c r="C114" s="93"/>
      <c r="D114" s="93"/>
      <c r="E114" s="93"/>
      <c r="F114" s="93"/>
      <c r="G114" s="93"/>
      <c r="H114" s="93"/>
      <c r="I114" s="93"/>
      <c r="J114" s="93"/>
      <c r="K114" s="93"/>
      <c r="L114" s="93"/>
      <c r="M114" s="120"/>
      <c r="N114" s="1"/>
    </row>
    <row r="115" spans="1:14" x14ac:dyDescent="0.25">
      <c r="A115" s="114"/>
      <c r="B115" s="93"/>
      <c r="C115" s="93"/>
      <c r="D115" s="93"/>
      <c r="E115" s="93"/>
      <c r="F115" s="93"/>
      <c r="G115" s="93"/>
      <c r="H115" s="93"/>
      <c r="I115" s="93"/>
      <c r="J115" s="93"/>
      <c r="K115" s="93"/>
      <c r="L115" s="93"/>
      <c r="M115" s="120"/>
      <c r="N115" s="1"/>
    </row>
    <row r="116" spans="1:14" x14ac:dyDescent="0.25">
      <c r="A116" s="114"/>
      <c r="B116" s="93"/>
      <c r="C116" s="93"/>
      <c r="D116" s="93"/>
      <c r="E116" s="93"/>
      <c r="F116" s="93"/>
      <c r="G116" s="93"/>
      <c r="H116" s="93"/>
      <c r="I116" s="93"/>
      <c r="J116" s="93"/>
      <c r="K116" s="93"/>
      <c r="L116" s="93"/>
      <c r="M116" s="120"/>
      <c r="N116" s="1"/>
    </row>
    <row r="117" spans="1:14" x14ac:dyDescent="0.25">
      <c r="A117" s="114"/>
      <c r="B117" s="93"/>
      <c r="C117" s="93"/>
      <c r="D117" s="93"/>
      <c r="E117" s="93"/>
      <c r="F117" s="93"/>
      <c r="G117" s="93"/>
      <c r="H117" s="93"/>
      <c r="I117" s="93"/>
      <c r="J117" s="93"/>
      <c r="K117" s="93"/>
      <c r="L117" s="93"/>
      <c r="M117" s="120"/>
      <c r="N117" s="1"/>
    </row>
    <row r="118" spans="1:14" x14ac:dyDescent="0.25">
      <c r="A118" s="114"/>
      <c r="B118" s="93"/>
      <c r="C118" s="93"/>
      <c r="D118" s="93"/>
      <c r="E118" s="93"/>
      <c r="F118" s="93"/>
      <c r="G118" s="93"/>
      <c r="H118" s="93"/>
      <c r="I118" s="93"/>
      <c r="J118" s="93"/>
      <c r="K118" s="93"/>
      <c r="L118" s="93"/>
      <c r="M118" s="120"/>
      <c r="N118" s="1"/>
    </row>
    <row r="119" spans="1:14" x14ac:dyDescent="0.25">
      <c r="A119" s="114"/>
      <c r="B119" s="93"/>
      <c r="C119" s="93"/>
      <c r="D119" s="93"/>
      <c r="E119" s="93"/>
      <c r="F119" s="93"/>
      <c r="G119" s="93"/>
      <c r="H119" s="93"/>
      <c r="I119" s="93"/>
      <c r="J119" s="93"/>
      <c r="K119" s="93"/>
      <c r="L119" s="93"/>
      <c r="M119" s="120"/>
      <c r="N119" s="1"/>
    </row>
    <row r="120" spans="1:14" x14ac:dyDescent="0.25">
      <c r="A120" s="114"/>
      <c r="B120" s="93"/>
      <c r="C120" s="93"/>
      <c r="D120" s="93"/>
      <c r="E120" s="93"/>
      <c r="F120" s="93"/>
      <c r="G120" s="93"/>
      <c r="H120" s="93"/>
      <c r="I120" s="93"/>
      <c r="J120" s="93"/>
      <c r="K120" s="93"/>
      <c r="L120" s="93"/>
      <c r="M120" s="120"/>
      <c r="N120" s="1"/>
    </row>
    <row r="121" spans="1:14" x14ac:dyDescent="0.25">
      <c r="A121" s="114"/>
      <c r="B121" s="93"/>
      <c r="C121" s="93"/>
      <c r="D121" s="93"/>
      <c r="E121" s="93"/>
      <c r="F121" s="93"/>
      <c r="G121" s="93"/>
      <c r="H121" s="93"/>
      <c r="I121" s="93"/>
      <c r="J121" s="93"/>
      <c r="K121" s="93"/>
      <c r="L121" s="93"/>
      <c r="M121" s="120"/>
      <c r="N121" s="1"/>
    </row>
    <row r="122" spans="1:14" x14ac:dyDescent="0.25">
      <c r="A122" s="114"/>
      <c r="B122" s="93"/>
      <c r="C122" s="93"/>
      <c r="D122" s="93"/>
      <c r="E122" s="93"/>
      <c r="F122" s="93"/>
      <c r="G122" s="93"/>
      <c r="H122" s="93"/>
      <c r="I122" s="93"/>
      <c r="J122" s="93"/>
      <c r="K122" s="93"/>
      <c r="L122" s="93"/>
      <c r="M122" s="120"/>
      <c r="N122" s="1"/>
    </row>
    <row r="123" spans="1:14" x14ac:dyDescent="0.25">
      <c r="A123" s="114"/>
      <c r="B123" s="93"/>
      <c r="C123" s="93"/>
      <c r="D123" s="93"/>
      <c r="E123" s="93"/>
      <c r="F123" s="93"/>
      <c r="G123" s="93"/>
      <c r="H123" s="93"/>
      <c r="I123" s="93"/>
      <c r="J123" s="93"/>
      <c r="K123" s="93"/>
      <c r="L123" s="93"/>
      <c r="M123" s="120"/>
      <c r="N123" s="1"/>
    </row>
    <row r="124" spans="1:14" x14ac:dyDescent="0.25">
      <c r="A124" s="114"/>
      <c r="B124" s="93"/>
      <c r="C124" s="93"/>
      <c r="D124" s="93"/>
      <c r="E124" s="93"/>
      <c r="F124" s="93"/>
      <c r="G124" s="93"/>
      <c r="H124" s="93"/>
      <c r="I124" s="93"/>
      <c r="J124" s="93"/>
      <c r="K124" s="93"/>
      <c r="L124" s="93"/>
      <c r="M124" s="120"/>
      <c r="N124" s="1"/>
    </row>
    <row r="125" spans="1:14" x14ac:dyDescent="0.25">
      <c r="A125" s="114"/>
      <c r="B125" s="93"/>
      <c r="C125" s="93"/>
      <c r="D125" s="93"/>
      <c r="E125" s="93"/>
      <c r="F125" s="93"/>
      <c r="G125" s="93"/>
      <c r="H125" s="93"/>
      <c r="I125" s="93"/>
      <c r="J125" s="93"/>
      <c r="K125" s="93"/>
      <c r="L125" s="93"/>
      <c r="M125" s="120"/>
      <c r="N125" s="1"/>
    </row>
    <row r="126" spans="1:14" x14ac:dyDescent="0.25">
      <c r="A126" s="114"/>
      <c r="B126" s="93"/>
      <c r="C126" s="93"/>
      <c r="D126" s="93"/>
      <c r="E126" s="93"/>
      <c r="F126" s="93"/>
      <c r="G126" s="93"/>
      <c r="H126" s="93"/>
      <c r="I126" s="93"/>
      <c r="J126" s="93"/>
      <c r="K126" s="93"/>
      <c r="L126" s="93"/>
      <c r="M126" s="120"/>
      <c r="N126" s="1"/>
    </row>
    <row r="127" spans="1:14" x14ac:dyDescent="0.25">
      <c r="A127" s="114"/>
      <c r="B127" s="93"/>
      <c r="C127" s="93"/>
      <c r="D127" s="93"/>
      <c r="E127" s="93"/>
      <c r="F127" s="93"/>
      <c r="G127" s="93"/>
      <c r="H127" s="93"/>
      <c r="I127" s="93"/>
      <c r="J127" s="93"/>
      <c r="K127" s="93"/>
      <c r="L127" s="93"/>
      <c r="M127" s="120"/>
      <c r="N127" s="1"/>
    </row>
    <row r="128" spans="1:14" x14ac:dyDescent="0.25">
      <c r="A128" s="114"/>
      <c r="B128" s="93"/>
      <c r="C128" s="93"/>
      <c r="D128" s="93"/>
      <c r="E128" s="93"/>
      <c r="F128" s="93"/>
      <c r="G128" s="93"/>
      <c r="H128" s="93"/>
      <c r="I128" s="93"/>
      <c r="J128" s="93"/>
      <c r="K128" s="93"/>
      <c r="L128" s="93"/>
      <c r="M128" s="120"/>
      <c r="N128" s="1"/>
    </row>
    <row r="129" spans="1:14" x14ac:dyDescent="0.25">
      <c r="A129" s="114"/>
      <c r="B129" s="93"/>
      <c r="C129" s="93"/>
      <c r="D129" s="93"/>
      <c r="E129" s="93"/>
      <c r="F129" s="93"/>
      <c r="G129" s="93"/>
      <c r="H129" s="93"/>
      <c r="I129" s="93"/>
      <c r="J129" s="93"/>
      <c r="K129" s="93"/>
      <c r="L129" s="93"/>
      <c r="M129" s="120"/>
      <c r="N129" s="1"/>
    </row>
    <row r="130" spans="1:14" x14ac:dyDescent="0.25">
      <c r="A130" s="114"/>
      <c r="B130" s="93"/>
      <c r="C130" s="93"/>
      <c r="D130" s="93"/>
      <c r="E130" s="93"/>
      <c r="F130" s="93"/>
      <c r="G130" s="93"/>
      <c r="H130" s="93"/>
      <c r="I130" s="93"/>
      <c r="J130" s="93"/>
      <c r="K130" s="93"/>
      <c r="L130" s="93"/>
      <c r="M130" s="120"/>
      <c r="N130" s="1"/>
    </row>
    <row r="131" spans="1:14" x14ac:dyDescent="0.25">
      <c r="A131" s="114"/>
      <c r="B131" s="93"/>
      <c r="C131" s="93"/>
      <c r="D131" s="93"/>
      <c r="E131" s="93"/>
      <c r="F131" s="93"/>
      <c r="G131" s="93"/>
      <c r="H131" s="93"/>
      <c r="I131" s="93"/>
      <c r="J131" s="93"/>
      <c r="K131" s="93"/>
      <c r="L131" s="93"/>
      <c r="M131" s="120"/>
      <c r="N131" s="1"/>
    </row>
    <row r="132" spans="1:14" x14ac:dyDescent="0.25">
      <c r="A132" s="114"/>
      <c r="B132" s="93"/>
      <c r="C132" s="93"/>
      <c r="D132" s="93"/>
      <c r="E132" s="93"/>
      <c r="F132" s="93"/>
      <c r="G132" s="93"/>
      <c r="H132" s="93"/>
      <c r="I132" s="93"/>
      <c r="J132" s="93"/>
      <c r="K132" s="93"/>
      <c r="L132" s="93"/>
      <c r="M132" s="120"/>
      <c r="N132" s="1"/>
    </row>
    <row r="133" spans="1:14" x14ac:dyDescent="0.25">
      <c r="A133" s="114"/>
      <c r="B133" s="93"/>
      <c r="C133" s="93"/>
      <c r="D133" s="93"/>
      <c r="E133" s="93"/>
      <c r="F133" s="93"/>
      <c r="G133" s="93"/>
      <c r="H133" s="93"/>
      <c r="I133" s="93"/>
      <c r="J133" s="93"/>
      <c r="K133" s="93"/>
      <c r="L133" s="93"/>
      <c r="M133" s="120"/>
      <c r="N133" s="1"/>
    </row>
    <row r="134" spans="1:14" x14ac:dyDescent="0.25">
      <c r="A134" s="114"/>
      <c r="B134" s="93"/>
      <c r="C134" s="93"/>
      <c r="D134" s="93"/>
      <c r="E134" s="93"/>
      <c r="F134" s="93"/>
      <c r="G134" s="93"/>
      <c r="H134" s="93"/>
      <c r="I134" s="93"/>
      <c r="J134" s="93"/>
      <c r="K134" s="93"/>
      <c r="L134" s="93"/>
      <c r="M134" s="120"/>
      <c r="N134" s="1"/>
    </row>
    <row r="135" spans="1:14" x14ac:dyDescent="0.25">
      <c r="A135" s="114"/>
      <c r="B135" s="93"/>
      <c r="C135" s="93"/>
      <c r="D135" s="93"/>
      <c r="E135" s="93"/>
      <c r="F135" s="93"/>
      <c r="G135" s="93"/>
      <c r="H135" s="93"/>
      <c r="I135" s="93"/>
      <c r="J135" s="93"/>
      <c r="K135" s="93"/>
      <c r="L135" s="93"/>
      <c r="M135" s="120"/>
      <c r="N135" s="1"/>
    </row>
    <row r="136" spans="1:14" x14ac:dyDescent="0.25">
      <c r="A136" s="114"/>
      <c r="B136" s="93"/>
      <c r="C136" s="93"/>
      <c r="D136" s="93"/>
      <c r="E136" s="93"/>
      <c r="F136" s="93"/>
      <c r="G136" s="93"/>
      <c r="H136" s="93"/>
      <c r="I136" s="93"/>
      <c r="J136" s="93"/>
      <c r="K136" s="93"/>
      <c r="L136" s="93"/>
      <c r="M136" s="120"/>
      <c r="N136" s="1"/>
    </row>
    <row r="137" spans="1:14" x14ac:dyDescent="0.25">
      <c r="A137" s="114"/>
      <c r="B137" s="93"/>
      <c r="C137" s="93"/>
      <c r="D137" s="93"/>
      <c r="E137" s="93"/>
      <c r="F137" s="93"/>
      <c r="G137" s="93"/>
      <c r="H137" s="93"/>
      <c r="I137" s="93"/>
      <c r="J137" s="93"/>
      <c r="K137" s="93"/>
      <c r="L137" s="93"/>
      <c r="M137" s="120"/>
      <c r="N137" s="1"/>
    </row>
    <row r="138" spans="1:14" x14ac:dyDescent="0.25">
      <c r="A138" s="114"/>
      <c r="B138" s="93"/>
      <c r="C138" s="93"/>
      <c r="D138" s="93"/>
      <c r="E138" s="93"/>
      <c r="F138" s="93"/>
      <c r="G138" s="93"/>
      <c r="H138" s="93"/>
      <c r="I138" s="93"/>
      <c r="J138" s="93"/>
      <c r="K138" s="93"/>
      <c r="L138" s="93"/>
      <c r="M138" s="120"/>
      <c r="N138" s="1"/>
    </row>
    <row r="139" spans="1:14" x14ac:dyDescent="0.25">
      <c r="A139" s="114"/>
      <c r="B139" s="93"/>
      <c r="C139" s="93"/>
      <c r="D139" s="93"/>
      <c r="E139" s="93"/>
      <c r="F139" s="93"/>
      <c r="G139" s="93"/>
      <c r="H139" s="93"/>
      <c r="I139" s="93"/>
      <c r="J139" s="93"/>
      <c r="K139" s="93"/>
      <c r="L139" s="93"/>
      <c r="M139" s="120"/>
      <c r="N139" s="1"/>
    </row>
    <row r="140" spans="1:14" x14ac:dyDescent="0.25">
      <c r="A140" s="114"/>
      <c r="B140" s="93"/>
      <c r="C140" s="93"/>
      <c r="D140" s="93"/>
      <c r="E140" s="93"/>
      <c r="F140" s="93"/>
      <c r="G140" s="93"/>
      <c r="H140" s="93"/>
      <c r="I140" s="93"/>
      <c r="J140" s="93"/>
      <c r="K140" s="93"/>
      <c r="L140" s="93"/>
      <c r="M140" s="120"/>
      <c r="N140" s="1"/>
    </row>
    <row r="141" spans="1:14" x14ac:dyDescent="0.25">
      <c r="A141" s="114"/>
      <c r="B141" s="93"/>
      <c r="C141" s="93"/>
      <c r="D141" s="93"/>
      <c r="E141" s="93"/>
      <c r="F141" s="93"/>
      <c r="G141" s="93"/>
      <c r="H141" s="93"/>
      <c r="I141" s="93"/>
      <c r="J141" s="93"/>
      <c r="K141" s="93"/>
      <c r="L141" s="93"/>
      <c r="M141" s="120"/>
      <c r="N141" s="1"/>
    </row>
    <row r="142" spans="1:14" x14ac:dyDescent="0.25">
      <c r="A142" s="114"/>
      <c r="B142" s="93"/>
      <c r="C142" s="93"/>
      <c r="D142" s="93"/>
      <c r="E142" s="93"/>
      <c r="F142" s="93"/>
      <c r="G142" s="93"/>
      <c r="H142" s="93"/>
      <c r="I142" s="93"/>
      <c r="J142" s="93"/>
      <c r="K142" s="93"/>
      <c r="L142" s="93"/>
      <c r="M142" s="120"/>
      <c r="N142" s="1"/>
    </row>
    <row r="143" spans="1:14" x14ac:dyDescent="0.25">
      <c r="A143" s="114"/>
      <c r="B143" s="93"/>
      <c r="C143" s="93"/>
      <c r="D143" s="93"/>
      <c r="E143" s="93"/>
      <c r="F143" s="93"/>
      <c r="G143" s="93"/>
      <c r="H143" s="93"/>
      <c r="I143" s="93"/>
      <c r="J143" s="93"/>
      <c r="K143" s="93"/>
      <c r="L143" s="93"/>
      <c r="M143" s="120"/>
      <c r="N143" s="1"/>
    </row>
    <row r="144" spans="1:14" x14ac:dyDescent="0.25">
      <c r="A144" s="114"/>
      <c r="B144" s="93"/>
      <c r="C144" s="93"/>
      <c r="D144" s="93"/>
      <c r="E144" s="93"/>
      <c r="F144" s="93"/>
      <c r="G144" s="93"/>
      <c r="H144" s="93"/>
      <c r="I144" s="93"/>
      <c r="J144" s="93"/>
      <c r="K144" s="93"/>
      <c r="L144" s="93"/>
      <c r="M144" s="120"/>
      <c r="N144" s="1"/>
    </row>
    <row r="145" spans="1:14" x14ac:dyDescent="0.25">
      <c r="A145" s="114"/>
      <c r="B145" s="93"/>
      <c r="C145" s="93"/>
      <c r="D145" s="93"/>
      <c r="E145" s="93"/>
      <c r="F145" s="93"/>
      <c r="G145" s="93"/>
      <c r="H145" s="93"/>
      <c r="I145" s="93"/>
      <c r="J145" s="93"/>
      <c r="K145" s="93"/>
      <c r="L145" s="93"/>
      <c r="M145" s="120"/>
      <c r="N145" s="1"/>
    </row>
    <row r="146" spans="1:14" x14ac:dyDescent="0.25">
      <c r="A146" s="114"/>
      <c r="B146" s="93"/>
      <c r="C146" s="93"/>
      <c r="D146" s="93"/>
      <c r="E146" s="93"/>
      <c r="F146" s="93"/>
      <c r="G146" s="93"/>
      <c r="H146" s="93"/>
      <c r="I146" s="93"/>
      <c r="J146" s="93"/>
      <c r="K146" s="93"/>
      <c r="L146" s="93"/>
      <c r="M146" s="120"/>
      <c r="N146" s="1"/>
    </row>
    <row r="147" spans="1:14" x14ac:dyDescent="0.25">
      <c r="A147" s="114"/>
      <c r="B147" s="93"/>
      <c r="C147" s="93"/>
      <c r="D147" s="93"/>
      <c r="E147" s="93"/>
      <c r="F147" s="93"/>
      <c r="G147" s="93"/>
      <c r="H147" s="93"/>
      <c r="I147" s="93"/>
      <c r="J147" s="93"/>
      <c r="K147" s="93"/>
      <c r="L147" s="93"/>
      <c r="M147" s="120"/>
      <c r="N147" s="1"/>
    </row>
    <row r="148" spans="1:14" x14ac:dyDescent="0.25">
      <c r="A148" s="114"/>
      <c r="B148" s="93"/>
      <c r="C148" s="93"/>
      <c r="D148" s="93"/>
      <c r="E148" s="93"/>
      <c r="F148" s="93"/>
      <c r="G148" s="93"/>
      <c r="H148" s="93"/>
      <c r="I148" s="93"/>
      <c r="J148" s="93"/>
      <c r="K148" s="93"/>
      <c r="L148" s="93"/>
      <c r="M148" s="120"/>
      <c r="N148" s="1"/>
    </row>
    <row r="149" spans="1:14" x14ac:dyDescent="0.25">
      <c r="A149" s="114"/>
      <c r="B149" s="93"/>
      <c r="C149" s="93"/>
      <c r="D149" s="93"/>
      <c r="E149" s="93"/>
      <c r="F149" s="93"/>
      <c r="G149" s="93"/>
      <c r="H149" s="93"/>
      <c r="I149" s="93"/>
      <c r="J149" s="93"/>
      <c r="K149" s="93"/>
      <c r="L149" s="93"/>
      <c r="M149" s="120"/>
      <c r="N149" s="1"/>
    </row>
    <row r="150" spans="1:14" x14ac:dyDescent="0.25">
      <c r="A150" s="114"/>
      <c r="B150" s="93"/>
      <c r="C150" s="93"/>
      <c r="D150" s="93"/>
      <c r="E150" s="93"/>
      <c r="F150" s="93"/>
      <c r="G150" s="93"/>
      <c r="H150" s="93"/>
      <c r="I150" s="93"/>
      <c r="J150" s="93"/>
      <c r="K150" s="93"/>
      <c r="L150" s="93"/>
      <c r="M150" s="120"/>
      <c r="N150" s="1"/>
    </row>
    <row r="151" spans="1:14" x14ac:dyDescent="0.25">
      <c r="A151" s="114"/>
      <c r="B151" s="93"/>
      <c r="C151" s="93"/>
      <c r="D151" s="93"/>
      <c r="E151" s="93"/>
      <c r="F151" s="93"/>
      <c r="G151" s="93"/>
      <c r="H151" s="93"/>
      <c r="I151" s="93"/>
      <c r="J151" s="93"/>
      <c r="K151" s="93"/>
      <c r="L151" s="93"/>
      <c r="M151" s="120"/>
      <c r="N151" s="1"/>
    </row>
    <row r="152" spans="1:14" x14ac:dyDescent="0.25">
      <c r="A152" s="114"/>
      <c r="B152" s="93"/>
      <c r="C152" s="93"/>
      <c r="D152" s="93"/>
      <c r="E152" s="93"/>
      <c r="F152" s="93"/>
      <c r="G152" s="93"/>
      <c r="H152" s="93"/>
      <c r="I152" s="93"/>
      <c r="J152" s="93"/>
      <c r="K152" s="93"/>
      <c r="L152" s="93"/>
      <c r="M152" s="120"/>
      <c r="N152" s="1"/>
    </row>
    <row r="153" spans="1:14" x14ac:dyDescent="0.25">
      <c r="A153" s="114"/>
      <c r="B153" s="93"/>
      <c r="C153" s="93"/>
      <c r="D153" s="93"/>
      <c r="E153" s="93"/>
      <c r="F153" s="93"/>
      <c r="G153" s="93"/>
      <c r="H153" s="93"/>
      <c r="I153" s="93"/>
      <c r="J153" s="93"/>
      <c r="K153" s="93"/>
      <c r="L153" s="93"/>
      <c r="M153" s="120"/>
      <c r="N153" s="1"/>
    </row>
    <row r="154" spans="1:14" x14ac:dyDescent="0.25">
      <c r="A154" s="114"/>
      <c r="B154" s="93"/>
      <c r="C154" s="93"/>
      <c r="D154" s="93"/>
      <c r="E154" s="93"/>
      <c r="F154" s="93"/>
      <c r="G154" s="93"/>
      <c r="H154" s="93"/>
      <c r="I154" s="93"/>
      <c r="J154" s="93"/>
      <c r="K154" s="93"/>
      <c r="L154" s="93"/>
      <c r="M154" s="120"/>
      <c r="N154" s="1"/>
    </row>
    <row r="155" spans="1:14" x14ac:dyDescent="0.25">
      <c r="A155" s="114"/>
      <c r="B155" s="93"/>
      <c r="C155" s="93"/>
      <c r="D155" s="93"/>
      <c r="E155" s="93"/>
      <c r="F155" s="93"/>
      <c r="G155" s="93"/>
      <c r="H155" s="93"/>
      <c r="I155" s="93"/>
      <c r="J155" s="93"/>
      <c r="K155" s="93"/>
      <c r="L155" s="93"/>
      <c r="M155" s="120"/>
      <c r="N155" s="1"/>
    </row>
    <row r="156" spans="1:14" x14ac:dyDescent="0.25">
      <c r="A156" s="114"/>
      <c r="B156" s="93"/>
      <c r="C156" s="93"/>
      <c r="D156" s="93"/>
      <c r="E156" s="93"/>
      <c r="F156" s="93"/>
      <c r="G156" s="93"/>
      <c r="H156" s="93"/>
      <c r="I156" s="93"/>
      <c r="J156" s="93"/>
      <c r="K156" s="93"/>
      <c r="L156" s="93"/>
      <c r="M156" s="120"/>
      <c r="N156" s="1"/>
    </row>
    <row r="157" spans="1:14" x14ac:dyDescent="0.25">
      <c r="A157" s="114"/>
      <c r="B157" s="93"/>
      <c r="C157" s="93"/>
      <c r="D157" s="93"/>
      <c r="E157" s="93"/>
      <c r="F157" s="93"/>
      <c r="G157" s="93"/>
      <c r="H157" s="93"/>
      <c r="I157" s="93"/>
      <c r="J157" s="93"/>
      <c r="K157" s="93"/>
      <c r="L157" s="93"/>
      <c r="M157" s="120"/>
      <c r="N157" s="1"/>
    </row>
    <row r="158" spans="1:14" x14ac:dyDescent="0.25">
      <c r="A158" s="114"/>
      <c r="B158" s="93"/>
      <c r="C158" s="93"/>
      <c r="D158" s="93"/>
      <c r="E158" s="93"/>
      <c r="F158" s="93"/>
      <c r="G158" s="93"/>
      <c r="H158" s="93"/>
      <c r="I158" s="93"/>
      <c r="J158" s="93"/>
      <c r="K158" s="93"/>
      <c r="L158" s="93"/>
      <c r="M158" s="120"/>
      <c r="N158" s="1"/>
    </row>
    <row r="159" spans="1:14" x14ac:dyDescent="0.25">
      <c r="A159" s="114"/>
      <c r="B159" s="93"/>
      <c r="C159" s="93"/>
      <c r="D159" s="93"/>
      <c r="E159" s="93"/>
      <c r="F159" s="93"/>
      <c r="G159" s="93"/>
      <c r="H159" s="93"/>
      <c r="I159" s="93"/>
      <c r="J159" s="93"/>
      <c r="K159" s="93"/>
      <c r="L159" s="93"/>
      <c r="M159" s="120"/>
      <c r="N159" s="1"/>
    </row>
    <row r="160" spans="1:14" x14ac:dyDescent="0.25">
      <c r="A160" s="114"/>
      <c r="B160" s="93"/>
      <c r="C160" s="93"/>
      <c r="D160" s="93"/>
      <c r="E160" s="93"/>
      <c r="F160" s="93"/>
      <c r="G160" s="93"/>
      <c r="H160" s="93"/>
      <c r="I160" s="93"/>
      <c r="J160" s="93"/>
      <c r="K160" s="93"/>
      <c r="L160" s="93"/>
      <c r="M160" s="120"/>
      <c r="N160" s="1"/>
    </row>
    <row r="161" spans="1:14" x14ac:dyDescent="0.25">
      <c r="A161" s="114"/>
      <c r="B161" s="93"/>
      <c r="C161" s="93"/>
      <c r="D161" s="93"/>
      <c r="E161" s="93"/>
      <c r="F161" s="93"/>
      <c r="G161" s="93"/>
      <c r="H161" s="93"/>
      <c r="I161" s="93"/>
      <c r="J161" s="93"/>
      <c r="K161" s="93"/>
      <c r="L161" s="93"/>
      <c r="M161" s="120"/>
      <c r="N161" s="1"/>
    </row>
    <row r="162" spans="1:14" x14ac:dyDescent="0.25">
      <c r="A162" s="114"/>
      <c r="B162" s="93"/>
      <c r="C162" s="93"/>
      <c r="D162" s="93"/>
      <c r="E162" s="93"/>
      <c r="F162" s="93"/>
      <c r="G162" s="93"/>
      <c r="H162" s="93"/>
      <c r="I162" s="93"/>
      <c r="J162" s="93"/>
      <c r="K162" s="93"/>
      <c r="L162" s="93"/>
      <c r="M162" s="120"/>
      <c r="N162" s="1"/>
    </row>
    <row r="163" spans="1:14" x14ac:dyDescent="0.25">
      <c r="A163" s="114"/>
      <c r="B163" s="93"/>
      <c r="C163" s="93"/>
      <c r="D163" s="93"/>
      <c r="E163" s="93"/>
      <c r="F163" s="93"/>
      <c r="G163" s="93"/>
      <c r="H163" s="93"/>
      <c r="I163" s="93"/>
      <c r="J163" s="93"/>
      <c r="K163" s="93"/>
      <c r="L163" s="93"/>
      <c r="M163" s="120"/>
      <c r="N163" s="1"/>
    </row>
    <row r="164" spans="1:14" x14ac:dyDescent="0.25">
      <c r="A164" s="114"/>
      <c r="B164" s="93"/>
      <c r="C164" s="93"/>
      <c r="D164" s="93"/>
      <c r="E164" s="93"/>
      <c r="F164" s="93"/>
      <c r="G164" s="93"/>
      <c r="H164" s="93"/>
      <c r="I164" s="93"/>
      <c r="J164" s="93"/>
      <c r="K164" s="93"/>
      <c r="L164" s="93"/>
      <c r="M164" s="120"/>
      <c r="N164" s="1"/>
    </row>
    <row r="165" spans="1:14" x14ac:dyDescent="0.25">
      <c r="A165" s="114"/>
      <c r="B165" s="93"/>
      <c r="C165" s="93"/>
      <c r="D165" s="93"/>
      <c r="E165" s="93"/>
      <c r="F165" s="93"/>
      <c r="G165" s="93"/>
      <c r="H165" s="93"/>
      <c r="I165" s="93"/>
      <c r="J165" s="93"/>
      <c r="K165" s="93"/>
      <c r="L165" s="93"/>
      <c r="M165" s="120"/>
      <c r="N165" s="1"/>
    </row>
    <row r="166" spans="1:14" x14ac:dyDescent="0.25">
      <c r="A166" s="114"/>
      <c r="B166" s="93"/>
      <c r="C166" s="93"/>
      <c r="D166" s="93"/>
      <c r="E166" s="93"/>
      <c r="F166" s="93"/>
      <c r="G166" s="93"/>
      <c r="H166" s="93"/>
      <c r="I166" s="93"/>
      <c r="J166" s="93"/>
      <c r="K166" s="93"/>
      <c r="L166" s="93"/>
      <c r="M166" s="120"/>
      <c r="N166" s="1"/>
    </row>
    <row r="167" spans="1:14" x14ac:dyDescent="0.25">
      <c r="A167" s="114"/>
      <c r="B167" s="93"/>
      <c r="C167" s="93"/>
      <c r="D167" s="93"/>
      <c r="E167" s="93"/>
      <c r="F167" s="93"/>
      <c r="G167" s="93"/>
      <c r="H167" s="93"/>
      <c r="I167" s="93"/>
      <c r="J167" s="93"/>
      <c r="K167" s="93"/>
      <c r="L167" s="93"/>
      <c r="M167" s="120"/>
      <c r="N167" s="1"/>
    </row>
    <row r="168" spans="1:14" x14ac:dyDescent="0.25">
      <c r="A168" s="114"/>
      <c r="B168" s="93"/>
      <c r="C168" s="93"/>
      <c r="D168" s="93"/>
      <c r="E168" s="93"/>
      <c r="F168" s="93"/>
      <c r="G168" s="93"/>
      <c r="H168" s="93"/>
      <c r="I168" s="93"/>
      <c r="J168" s="93"/>
      <c r="K168" s="93"/>
      <c r="L168" s="93"/>
      <c r="M168" s="120"/>
      <c r="N168" s="1"/>
    </row>
    <row r="169" spans="1:14" x14ac:dyDescent="0.25">
      <c r="A169" s="114"/>
      <c r="B169" s="93"/>
      <c r="C169" s="93"/>
      <c r="D169" s="93"/>
      <c r="E169" s="93"/>
      <c r="F169" s="93"/>
      <c r="G169" s="93"/>
      <c r="H169" s="93"/>
      <c r="I169" s="93"/>
      <c r="J169" s="93"/>
      <c r="K169" s="93"/>
      <c r="L169" s="93"/>
      <c r="M169" s="120"/>
      <c r="N169" s="1"/>
    </row>
    <row r="170" spans="1:14" x14ac:dyDescent="0.25">
      <c r="A170" s="114"/>
      <c r="B170" s="93"/>
      <c r="C170" s="93"/>
      <c r="D170" s="93"/>
      <c r="E170" s="93"/>
      <c r="F170" s="93"/>
      <c r="G170" s="93"/>
      <c r="H170" s="93"/>
      <c r="I170" s="93"/>
      <c r="J170" s="93"/>
      <c r="K170" s="93"/>
      <c r="L170" s="93"/>
      <c r="M170" s="120"/>
      <c r="N170" s="1"/>
    </row>
    <row r="171" spans="1:14" x14ac:dyDescent="0.25">
      <c r="A171" s="114"/>
      <c r="B171" s="93"/>
      <c r="C171" s="93"/>
      <c r="D171" s="93"/>
      <c r="E171" s="93"/>
      <c r="F171" s="93"/>
      <c r="G171" s="93"/>
      <c r="H171" s="93"/>
      <c r="I171" s="93"/>
      <c r="J171" s="93"/>
      <c r="K171" s="93"/>
      <c r="L171" s="93"/>
      <c r="M171" s="120"/>
      <c r="N171" s="1"/>
    </row>
    <row r="172" spans="1:14" x14ac:dyDescent="0.25">
      <c r="A172" s="114"/>
      <c r="B172" s="93"/>
      <c r="C172" s="93"/>
      <c r="D172" s="93"/>
      <c r="E172" s="93"/>
      <c r="F172" s="93"/>
      <c r="G172" s="93"/>
      <c r="H172" s="93"/>
      <c r="I172" s="93"/>
      <c r="J172" s="93"/>
      <c r="K172" s="93"/>
      <c r="L172" s="93"/>
      <c r="M172" s="120"/>
      <c r="N172" s="1"/>
    </row>
    <row r="173" spans="1:14" x14ac:dyDescent="0.25">
      <c r="A173" s="114"/>
      <c r="B173" s="93"/>
      <c r="C173" s="93"/>
      <c r="D173" s="93"/>
      <c r="E173" s="93"/>
      <c r="F173" s="93"/>
      <c r="G173" s="93"/>
      <c r="H173" s="93"/>
      <c r="I173" s="93"/>
      <c r="J173" s="93"/>
      <c r="K173" s="93"/>
      <c r="L173" s="93"/>
      <c r="M173" s="120"/>
      <c r="N173" s="1"/>
    </row>
    <row r="174" spans="1:14" x14ac:dyDescent="0.25">
      <c r="A174" s="114"/>
      <c r="B174" s="93"/>
      <c r="C174" s="93"/>
      <c r="D174" s="93"/>
      <c r="E174" s="93"/>
      <c r="F174" s="93"/>
      <c r="G174" s="93"/>
      <c r="H174" s="93"/>
      <c r="I174" s="93"/>
      <c r="J174" s="93"/>
      <c r="K174" s="93"/>
      <c r="L174" s="93"/>
      <c r="M174" s="120"/>
      <c r="N174" s="1"/>
    </row>
    <row r="175" spans="1:14" x14ac:dyDescent="0.25">
      <c r="A175" s="114"/>
      <c r="B175" s="114"/>
      <c r="C175" s="114"/>
      <c r="D175" s="114"/>
      <c r="E175" s="114"/>
      <c r="F175" s="114"/>
      <c r="G175" s="114"/>
      <c r="H175" s="114"/>
      <c r="I175" s="114"/>
      <c r="J175" s="114"/>
      <c r="K175" s="114"/>
      <c r="L175" s="114"/>
    </row>
    <row r="176" spans="1:14" x14ac:dyDescent="0.25">
      <c r="A176" s="114"/>
      <c r="B176" s="114"/>
      <c r="C176" s="114"/>
      <c r="D176" s="114"/>
      <c r="E176" s="114"/>
      <c r="F176" s="114"/>
      <c r="G176" s="114"/>
      <c r="H176" s="114"/>
      <c r="I176" s="114"/>
      <c r="J176" s="114"/>
      <c r="K176" s="114"/>
      <c r="L176" s="114"/>
    </row>
    <row r="177" spans="1:12" x14ac:dyDescent="0.25">
      <c r="A177" s="114"/>
      <c r="B177" s="114"/>
      <c r="C177" s="114"/>
      <c r="D177" s="114"/>
      <c r="E177" s="114"/>
      <c r="F177" s="114"/>
      <c r="G177" s="114"/>
      <c r="H177" s="114"/>
      <c r="I177" s="114"/>
      <c r="J177" s="114"/>
      <c r="K177" s="114"/>
      <c r="L177" s="114"/>
    </row>
    <row r="178" spans="1:12" x14ac:dyDescent="0.25">
      <c r="A178" s="114"/>
      <c r="B178" s="114"/>
      <c r="C178" s="114"/>
      <c r="D178" s="114"/>
      <c r="E178" s="114"/>
      <c r="F178" s="114"/>
      <c r="G178" s="114"/>
      <c r="H178" s="114"/>
      <c r="I178" s="114"/>
      <c r="J178" s="114"/>
      <c r="K178" s="114"/>
      <c r="L178" s="114"/>
    </row>
    <row r="179" spans="1:12" x14ac:dyDescent="0.25">
      <c r="A179" s="114"/>
      <c r="B179" s="114"/>
      <c r="C179" s="114"/>
      <c r="D179" s="114"/>
      <c r="E179" s="114"/>
      <c r="F179" s="114"/>
      <c r="G179" s="114"/>
      <c r="H179" s="114"/>
      <c r="I179" s="114"/>
      <c r="J179" s="114"/>
      <c r="K179" s="114"/>
      <c r="L179" s="114"/>
    </row>
    <row r="180" spans="1:12" x14ac:dyDescent="0.25">
      <c r="A180" s="114"/>
      <c r="B180" s="114"/>
      <c r="C180" s="114"/>
      <c r="D180" s="114"/>
      <c r="E180" s="114"/>
      <c r="F180" s="114"/>
      <c r="G180" s="114"/>
      <c r="H180" s="114"/>
      <c r="I180" s="114"/>
      <c r="J180" s="114"/>
      <c r="K180" s="114"/>
      <c r="L180" s="114"/>
    </row>
    <row r="181" spans="1:12" x14ac:dyDescent="0.25">
      <c r="A181" s="114"/>
      <c r="B181" s="114"/>
      <c r="C181" s="114"/>
      <c r="D181" s="114"/>
      <c r="E181" s="114"/>
      <c r="F181" s="114"/>
      <c r="G181" s="114"/>
      <c r="H181" s="114"/>
      <c r="I181" s="114"/>
      <c r="J181" s="114"/>
      <c r="K181" s="114"/>
      <c r="L181" s="114"/>
    </row>
    <row r="182" spans="1:12" x14ac:dyDescent="0.25">
      <c r="A182" s="114"/>
      <c r="B182" s="114"/>
      <c r="C182" s="114"/>
      <c r="D182" s="114"/>
      <c r="E182" s="114"/>
      <c r="F182" s="114"/>
      <c r="G182" s="114"/>
      <c r="H182" s="114"/>
      <c r="I182" s="114"/>
      <c r="J182" s="114"/>
      <c r="K182" s="114"/>
      <c r="L182" s="114"/>
    </row>
    <row r="183" spans="1:12" x14ac:dyDescent="0.25">
      <c r="A183" s="114"/>
      <c r="B183" s="114"/>
      <c r="C183" s="114"/>
      <c r="D183" s="114"/>
      <c r="E183" s="114"/>
      <c r="F183" s="114"/>
      <c r="G183" s="114"/>
      <c r="H183" s="114"/>
      <c r="I183" s="114"/>
      <c r="J183" s="114"/>
      <c r="K183" s="114"/>
      <c r="L183" s="114"/>
    </row>
    <row r="184" spans="1:12" x14ac:dyDescent="0.25">
      <c r="A184" s="114"/>
      <c r="B184" s="114"/>
      <c r="C184" s="114"/>
      <c r="D184" s="114"/>
      <c r="E184" s="114"/>
      <c r="F184" s="114"/>
      <c r="G184" s="114"/>
      <c r="H184" s="114"/>
      <c r="I184" s="114"/>
      <c r="J184" s="114"/>
      <c r="K184" s="114"/>
      <c r="L184" s="114"/>
    </row>
    <row r="185" spans="1:12" x14ac:dyDescent="0.25">
      <c r="A185" s="114"/>
      <c r="B185" s="114"/>
      <c r="C185" s="114"/>
      <c r="D185" s="114"/>
      <c r="E185" s="114"/>
      <c r="F185" s="114"/>
      <c r="G185" s="114"/>
      <c r="H185" s="114"/>
      <c r="I185" s="114"/>
      <c r="J185" s="114"/>
      <c r="K185" s="114"/>
      <c r="L185" s="114"/>
    </row>
    <row r="186" spans="1:12" x14ac:dyDescent="0.25">
      <c r="A186" s="114"/>
      <c r="B186" s="114"/>
      <c r="C186" s="114"/>
      <c r="D186" s="114"/>
      <c r="E186" s="114"/>
      <c r="F186" s="114"/>
      <c r="G186" s="114"/>
      <c r="H186" s="114"/>
      <c r="I186" s="114"/>
      <c r="J186" s="114"/>
      <c r="K186" s="114"/>
      <c r="L186" s="114"/>
    </row>
    <row r="187" spans="1:12" x14ac:dyDescent="0.25">
      <c r="A187" s="114"/>
      <c r="B187" s="114"/>
      <c r="C187" s="114"/>
      <c r="D187" s="114"/>
      <c r="E187" s="114"/>
      <c r="F187" s="114"/>
      <c r="G187" s="114"/>
      <c r="H187" s="114"/>
      <c r="I187" s="114"/>
      <c r="J187" s="114"/>
      <c r="K187" s="114"/>
      <c r="L187" s="114"/>
    </row>
    <row r="188" spans="1:12" x14ac:dyDescent="0.25">
      <c r="A188" s="114"/>
      <c r="B188" s="114"/>
      <c r="C188" s="114"/>
      <c r="D188" s="114"/>
      <c r="E188" s="114"/>
      <c r="F188" s="114"/>
      <c r="G188" s="114"/>
      <c r="H188" s="114"/>
      <c r="I188" s="114"/>
      <c r="J188" s="114"/>
      <c r="K188" s="114"/>
      <c r="L188" s="114"/>
    </row>
    <row r="189" spans="1:12" x14ac:dyDescent="0.25">
      <c r="A189" s="114"/>
      <c r="B189" s="114"/>
      <c r="C189" s="114"/>
      <c r="D189" s="114"/>
      <c r="E189" s="114"/>
      <c r="F189" s="114"/>
      <c r="G189" s="114"/>
      <c r="H189" s="114"/>
      <c r="I189" s="114"/>
      <c r="J189" s="114"/>
      <c r="K189" s="114"/>
      <c r="L189" s="114"/>
    </row>
    <row r="190" spans="1:12" x14ac:dyDescent="0.25">
      <c r="A190" s="114"/>
      <c r="B190" s="114"/>
      <c r="C190" s="114"/>
      <c r="D190" s="114"/>
      <c r="E190" s="114"/>
      <c r="F190" s="114"/>
      <c r="G190" s="114"/>
      <c r="H190" s="114"/>
      <c r="I190" s="114"/>
      <c r="J190" s="114"/>
      <c r="K190" s="114"/>
      <c r="L190" s="114"/>
    </row>
    <row r="191" spans="1:12" x14ac:dyDescent="0.25">
      <c r="A191" s="114"/>
      <c r="B191" s="114"/>
      <c r="C191" s="114"/>
      <c r="D191" s="114"/>
      <c r="E191" s="114"/>
      <c r="F191" s="114"/>
      <c r="G191" s="114"/>
      <c r="H191" s="114"/>
      <c r="I191" s="114"/>
      <c r="J191" s="114"/>
      <c r="K191" s="114"/>
      <c r="L191" s="114"/>
    </row>
    <row r="192" spans="1:12" x14ac:dyDescent="0.25">
      <c r="A192" s="114"/>
      <c r="B192" s="114"/>
      <c r="C192" s="114"/>
      <c r="D192" s="114"/>
      <c r="E192" s="114"/>
      <c r="F192" s="114"/>
      <c r="G192" s="114"/>
      <c r="H192" s="114"/>
      <c r="I192" s="114"/>
      <c r="J192" s="114"/>
      <c r="K192" s="114"/>
      <c r="L192" s="114"/>
    </row>
    <row r="193" spans="1:12" x14ac:dyDescent="0.25">
      <c r="A193" s="114"/>
      <c r="B193" s="114"/>
      <c r="C193" s="114"/>
      <c r="D193" s="114"/>
      <c r="E193" s="114"/>
      <c r="F193" s="114"/>
      <c r="G193" s="114"/>
      <c r="H193" s="114"/>
      <c r="I193" s="114"/>
      <c r="J193" s="114"/>
      <c r="K193" s="114"/>
      <c r="L193" s="114"/>
    </row>
    <row r="194" spans="1:12" x14ac:dyDescent="0.25">
      <c r="A194" s="114"/>
      <c r="B194" s="114"/>
      <c r="C194" s="114"/>
      <c r="D194" s="114"/>
      <c r="E194" s="114"/>
      <c r="F194" s="114"/>
      <c r="G194" s="114"/>
      <c r="H194" s="114"/>
      <c r="I194" s="114"/>
      <c r="J194" s="114"/>
      <c r="K194" s="114"/>
      <c r="L194" s="114"/>
    </row>
    <row r="195" spans="1:12" x14ac:dyDescent="0.25">
      <c r="A195" s="114"/>
      <c r="B195" s="114"/>
      <c r="C195" s="114"/>
      <c r="D195" s="114"/>
      <c r="E195" s="114"/>
      <c r="F195" s="114"/>
      <c r="G195" s="114"/>
      <c r="H195" s="114"/>
      <c r="I195" s="114"/>
      <c r="J195" s="114"/>
      <c r="K195" s="114"/>
      <c r="L195" s="114"/>
    </row>
    <row r="196" spans="1:12" x14ac:dyDescent="0.25">
      <c r="A196" s="114"/>
      <c r="B196" s="114"/>
      <c r="C196" s="114"/>
      <c r="D196" s="114"/>
      <c r="E196" s="114"/>
      <c r="F196" s="114"/>
      <c r="G196" s="114"/>
      <c r="H196" s="114"/>
      <c r="I196" s="114"/>
      <c r="J196" s="114"/>
      <c r="K196" s="114"/>
      <c r="L196" s="114"/>
    </row>
    <row r="197" spans="1:12" x14ac:dyDescent="0.25">
      <c r="A197" s="114"/>
      <c r="B197" s="114"/>
      <c r="C197" s="114"/>
      <c r="D197" s="114"/>
      <c r="E197" s="114"/>
      <c r="F197" s="114"/>
      <c r="G197" s="114"/>
      <c r="H197" s="114"/>
      <c r="I197" s="114"/>
      <c r="J197" s="114"/>
      <c r="K197" s="114"/>
      <c r="L197" s="114"/>
    </row>
    <row r="198" spans="1:12" x14ac:dyDescent="0.25">
      <c r="A198" s="114"/>
      <c r="B198" s="114"/>
      <c r="C198" s="114"/>
      <c r="D198" s="114"/>
      <c r="E198" s="114"/>
      <c r="F198" s="114"/>
      <c r="G198" s="114"/>
      <c r="H198" s="114"/>
      <c r="I198" s="114"/>
      <c r="J198" s="114"/>
      <c r="K198" s="114"/>
      <c r="L198" s="114"/>
    </row>
    <row r="199" spans="1:12" x14ac:dyDescent="0.25">
      <c r="A199" s="114"/>
      <c r="B199" s="114"/>
      <c r="C199" s="114"/>
      <c r="D199" s="114"/>
      <c r="E199" s="114"/>
      <c r="F199" s="114"/>
      <c r="G199" s="114"/>
      <c r="H199" s="114"/>
      <c r="I199" s="114"/>
      <c r="J199" s="114"/>
      <c r="K199" s="114"/>
      <c r="L199" s="114"/>
    </row>
    <row r="200" spans="1:12" x14ac:dyDescent="0.25">
      <c r="A200" s="114"/>
      <c r="B200" s="114"/>
      <c r="C200" s="114"/>
      <c r="D200" s="114"/>
      <c r="E200" s="114"/>
      <c r="F200" s="114"/>
      <c r="G200" s="114"/>
      <c r="H200" s="114"/>
      <c r="I200" s="114"/>
      <c r="J200" s="114"/>
      <c r="K200" s="114"/>
      <c r="L200" s="114"/>
    </row>
    <row r="201" spans="1:12" x14ac:dyDescent="0.25">
      <c r="A201" s="114"/>
      <c r="B201" s="114"/>
      <c r="C201" s="114"/>
      <c r="D201" s="114"/>
      <c r="E201" s="114"/>
      <c r="F201" s="114"/>
      <c r="G201" s="114"/>
      <c r="H201" s="114"/>
      <c r="I201" s="114"/>
      <c r="J201" s="114"/>
      <c r="K201" s="114"/>
      <c r="L201" s="114"/>
    </row>
    <row r="202" spans="1:12" x14ac:dyDescent="0.25">
      <c r="A202" s="114"/>
      <c r="B202" s="114"/>
      <c r="C202" s="114"/>
      <c r="D202" s="114"/>
      <c r="E202" s="114"/>
      <c r="F202" s="114"/>
      <c r="G202" s="114"/>
      <c r="H202" s="114"/>
      <c r="I202" s="114"/>
      <c r="J202" s="114"/>
      <c r="K202" s="114"/>
      <c r="L202" s="114"/>
    </row>
    <row r="203" spans="1:12" x14ac:dyDescent="0.25">
      <c r="A203" s="114"/>
      <c r="B203" s="114"/>
      <c r="C203" s="114"/>
      <c r="D203" s="114"/>
      <c r="E203" s="114"/>
      <c r="F203" s="114"/>
      <c r="G203" s="114"/>
      <c r="H203" s="114"/>
      <c r="I203" s="114"/>
      <c r="J203" s="114"/>
      <c r="K203" s="114"/>
      <c r="L203" s="114"/>
    </row>
    <row r="204" spans="1:12" x14ac:dyDescent="0.25">
      <c r="A204" s="114"/>
      <c r="B204" s="114"/>
      <c r="C204" s="114"/>
      <c r="D204" s="114"/>
      <c r="E204" s="114"/>
      <c r="F204" s="114"/>
      <c r="G204" s="114"/>
      <c r="H204" s="114"/>
      <c r="I204" s="114"/>
      <c r="J204" s="114"/>
      <c r="K204" s="114"/>
      <c r="L204" s="114"/>
    </row>
    <row r="205" spans="1:12" x14ac:dyDescent="0.25">
      <c r="A205" s="114"/>
      <c r="B205" s="114"/>
      <c r="C205" s="114"/>
      <c r="D205" s="114"/>
      <c r="E205" s="114"/>
      <c r="F205" s="114"/>
      <c r="G205" s="114"/>
      <c r="H205" s="114"/>
      <c r="I205" s="114"/>
      <c r="J205" s="114"/>
      <c r="K205" s="114"/>
      <c r="L205" s="114"/>
    </row>
    <row r="206" spans="1:12" x14ac:dyDescent="0.25">
      <c r="A206" s="114"/>
      <c r="B206" s="114"/>
      <c r="C206" s="114"/>
      <c r="D206" s="114"/>
      <c r="E206" s="114"/>
      <c r="F206" s="114"/>
      <c r="G206" s="114"/>
      <c r="H206" s="114"/>
      <c r="I206" s="114"/>
      <c r="J206" s="114"/>
      <c r="K206" s="114"/>
      <c r="L206" s="114"/>
    </row>
    <row r="207" spans="1:12" x14ac:dyDescent="0.25">
      <c r="A207" s="114"/>
      <c r="B207" s="114"/>
      <c r="C207" s="114"/>
      <c r="D207" s="114"/>
      <c r="E207" s="114"/>
      <c r="F207" s="114"/>
      <c r="G207" s="114"/>
      <c r="H207" s="114"/>
      <c r="I207" s="114"/>
      <c r="J207" s="114"/>
      <c r="K207" s="114"/>
      <c r="L207" s="114"/>
    </row>
    <row r="208" spans="1:12" x14ac:dyDescent="0.25">
      <c r="A208" s="114"/>
      <c r="B208" s="114"/>
      <c r="C208" s="114"/>
      <c r="D208" s="114"/>
      <c r="E208" s="114"/>
      <c r="F208" s="114"/>
      <c r="G208" s="114"/>
      <c r="H208" s="114"/>
      <c r="I208" s="114"/>
      <c r="J208" s="114"/>
      <c r="K208" s="114"/>
      <c r="L208" s="114"/>
    </row>
    <row r="209" spans="1:12" x14ac:dyDescent="0.25">
      <c r="A209" s="114"/>
      <c r="B209" s="114"/>
      <c r="C209" s="114"/>
      <c r="D209" s="114"/>
      <c r="E209" s="114"/>
      <c r="F209" s="114"/>
      <c r="G209" s="114"/>
      <c r="H209" s="114"/>
      <c r="I209" s="114"/>
      <c r="J209" s="114"/>
      <c r="K209" s="114"/>
      <c r="L209" s="114"/>
    </row>
    <row r="210" spans="1:12" x14ac:dyDescent="0.25">
      <c r="A210" s="114"/>
      <c r="B210" s="114"/>
      <c r="C210" s="114"/>
      <c r="D210" s="114"/>
      <c r="E210" s="114"/>
      <c r="F210" s="114"/>
      <c r="G210" s="114"/>
      <c r="H210" s="114"/>
      <c r="I210" s="114"/>
      <c r="J210" s="114"/>
      <c r="K210" s="114"/>
      <c r="L210" s="114"/>
    </row>
    <row r="211" spans="1:12" x14ac:dyDescent="0.25">
      <c r="A211" s="114"/>
      <c r="B211" s="114"/>
      <c r="C211" s="114"/>
      <c r="D211" s="114"/>
      <c r="E211" s="114"/>
      <c r="F211" s="114"/>
      <c r="G211" s="114"/>
      <c r="H211" s="114"/>
      <c r="I211" s="114"/>
      <c r="J211" s="114"/>
      <c r="K211" s="114"/>
      <c r="L211" s="114"/>
    </row>
    <row r="212" spans="1:12" x14ac:dyDescent="0.25">
      <c r="A212" s="114"/>
      <c r="B212" s="114"/>
      <c r="C212" s="114"/>
      <c r="D212" s="114"/>
      <c r="E212" s="114"/>
      <c r="F212" s="114"/>
      <c r="G212" s="114"/>
      <c r="H212" s="114"/>
      <c r="I212" s="114"/>
      <c r="J212" s="114"/>
      <c r="K212" s="114"/>
      <c r="L212" s="114"/>
    </row>
    <row r="213" spans="1:12" x14ac:dyDescent="0.25">
      <c r="A213" s="114"/>
      <c r="B213" s="114"/>
      <c r="C213" s="114"/>
      <c r="D213" s="114"/>
      <c r="E213" s="114"/>
      <c r="F213" s="114"/>
      <c r="G213" s="114"/>
      <c r="H213" s="114"/>
      <c r="I213" s="114"/>
      <c r="J213" s="114"/>
      <c r="K213" s="114"/>
      <c r="L213" s="114"/>
    </row>
    <row r="214" spans="1:12" x14ac:dyDescent="0.25">
      <c r="A214" s="114"/>
      <c r="B214" s="114"/>
      <c r="C214" s="114"/>
      <c r="D214" s="114"/>
      <c r="E214" s="114"/>
      <c r="F214" s="114"/>
      <c r="G214" s="114"/>
      <c r="H214" s="114"/>
      <c r="I214" s="114"/>
      <c r="J214" s="114"/>
      <c r="K214" s="114"/>
      <c r="L214" s="114"/>
    </row>
    <row r="215" spans="1:12" x14ac:dyDescent="0.25">
      <c r="A215" s="114"/>
      <c r="B215" s="114"/>
      <c r="C215" s="114"/>
      <c r="D215" s="114"/>
      <c r="E215" s="114"/>
      <c r="F215" s="114"/>
      <c r="G215" s="114"/>
      <c r="H215" s="114"/>
      <c r="I215" s="114"/>
      <c r="J215" s="114"/>
      <c r="K215" s="114"/>
      <c r="L215" s="114"/>
    </row>
    <row r="216" spans="1:12" x14ac:dyDescent="0.25">
      <c r="A216" s="114"/>
      <c r="B216" s="114"/>
      <c r="C216" s="114"/>
      <c r="D216" s="114"/>
      <c r="E216" s="114"/>
      <c r="F216" s="114"/>
      <c r="G216" s="114"/>
      <c r="H216" s="114"/>
      <c r="I216" s="114"/>
      <c r="J216" s="114"/>
      <c r="K216" s="114"/>
      <c r="L216" s="114"/>
    </row>
    <row r="217" spans="1:12" x14ac:dyDescent="0.25">
      <c r="A217" s="114"/>
      <c r="B217" s="114"/>
      <c r="C217" s="114"/>
      <c r="D217" s="114"/>
      <c r="E217" s="114"/>
      <c r="F217" s="114"/>
      <c r="G217" s="114"/>
      <c r="H217" s="114"/>
      <c r="I217" s="114"/>
      <c r="J217" s="114"/>
      <c r="K217" s="114"/>
      <c r="L217" s="114"/>
    </row>
    <row r="218" spans="1:12" x14ac:dyDescent="0.25">
      <c r="A218" s="114"/>
      <c r="B218" s="114"/>
      <c r="C218" s="114"/>
      <c r="D218" s="114"/>
      <c r="E218" s="114"/>
      <c r="F218" s="114"/>
      <c r="G218" s="114"/>
      <c r="H218" s="114"/>
      <c r="I218" s="114"/>
      <c r="J218" s="114"/>
      <c r="K218" s="114"/>
      <c r="L218" s="114"/>
    </row>
    <row r="219" spans="1:12" x14ac:dyDescent="0.25">
      <c r="A219" s="114"/>
      <c r="B219" s="114"/>
      <c r="C219" s="114"/>
      <c r="D219" s="114"/>
      <c r="E219" s="114"/>
      <c r="F219" s="114"/>
      <c r="G219" s="114"/>
      <c r="H219" s="114"/>
      <c r="I219" s="114"/>
      <c r="J219" s="114"/>
      <c r="K219" s="114"/>
      <c r="L219" s="114"/>
    </row>
    <row r="220" spans="1:12" x14ac:dyDescent="0.25">
      <c r="A220" s="114"/>
      <c r="B220" s="114"/>
      <c r="C220" s="114"/>
      <c r="D220" s="114"/>
      <c r="E220" s="114"/>
      <c r="F220" s="114"/>
      <c r="G220" s="114"/>
      <c r="H220" s="114"/>
      <c r="I220" s="114"/>
      <c r="J220" s="114"/>
      <c r="K220" s="114"/>
      <c r="L220" s="114"/>
    </row>
    <row r="221" spans="1:12" x14ac:dyDescent="0.25">
      <c r="A221" s="114"/>
      <c r="B221" s="114"/>
      <c r="C221" s="114"/>
      <c r="D221" s="114"/>
      <c r="E221" s="114"/>
      <c r="F221" s="114"/>
      <c r="G221" s="114"/>
      <c r="H221" s="114"/>
      <c r="I221" s="114"/>
      <c r="J221" s="114"/>
      <c r="K221" s="114"/>
      <c r="L221" s="114"/>
    </row>
    <row r="222" spans="1:12" x14ac:dyDescent="0.25">
      <c r="A222" s="114"/>
      <c r="B222" s="114"/>
      <c r="C222" s="114"/>
      <c r="D222" s="114"/>
      <c r="E222" s="114"/>
      <c r="F222" s="114"/>
      <c r="G222" s="114"/>
      <c r="H222" s="114"/>
      <c r="I222" s="114"/>
      <c r="J222" s="114"/>
      <c r="K222" s="114"/>
      <c r="L222" s="114"/>
    </row>
    <row r="223" spans="1:12" x14ac:dyDescent="0.25">
      <c r="A223" s="114"/>
      <c r="B223" s="114"/>
      <c r="C223" s="114"/>
      <c r="D223" s="114"/>
      <c r="E223" s="114"/>
      <c r="F223" s="114"/>
      <c r="G223" s="114"/>
      <c r="H223" s="114"/>
      <c r="I223" s="114"/>
      <c r="J223" s="114"/>
      <c r="K223" s="114"/>
      <c r="L223" s="114"/>
    </row>
    <row r="224" spans="1:12" x14ac:dyDescent="0.25">
      <c r="A224" s="114"/>
      <c r="B224" s="114"/>
      <c r="C224" s="114"/>
      <c r="D224" s="114"/>
      <c r="E224" s="114"/>
      <c r="F224" s="114"/>
      <c r="G224" s="114"/>
      <c r="H224" s="114"/>
      <c r="I224" s="114"/>
      <c r="J224" s="114"/>
      <c r="K224" s="114"/>
      <c r="L224" s="114"/>
    </row>
    <row r="225" spans="1:12" x14ac:dyDescent="0.25">
      <c r="A225" s="114"/>
      <c r="B225" s="114"/>
      <c r="C225" s="114"/>
      <c r="D225" s="114"/>
      <c r="E225" s="114"/>
      <c r="F225" s="114"/>
      <c r="G225" s="114"/>
      <c r="H225" s="114"/>
      <c r="I225" s="114"/>
      <c r="J225" s="114"/>
      <c r="K225" s="114"/>
      <c r="L225" s="114"/>
    </row>
    <row r="226" spans="1:12" x14ac:dyDescent="0.25">
      <c r="A226" s="114"/>
      <c r="B226" s="114"/>
      <c r="C226" s="114"/>
      <c r="D226" s="114"/>
      <c r="E226" s="114"/>
      <c r="F226" s="114"/>
      <c r="G226" s="114"/>
      <c r="H226" s="114"/>
      <c r="I226" s="114"/>
      <c r="J226" s="114"/>
      <c r="K226" s="114"/>
      <c r="L226" s="114"/>
    </row>
    <row r="227" spans="1:12" x14ac:dyDescent="0.25">
      <c r="A227" s="114"/>
      <c r="B227" s="114"/>
      <c r="C227" s="114"/>
      <c r="D227" s="114"/>
      <c r="E227" s="114"/>
      <c r="F227" s="114"/>
      <c r="G227" s="114"/>
      <c r="H227" s="114"/>
      <c r="I227" s="114"/>
      <c r="J227" s="114"/>
      <c r="K227" s="114"/>
      <c r="L227" s="114"/>
    </row>
    <row r="228" spans="1:12" x14ac:dyDescent="0.25">
      <c r="A228" s="114"/>
      <c r="B228" s="114"/>
      <c r="C228" s="114"/>
      <c r="D228" s="114"/>
      <c r="E228" s="114"/>
      <c r="F228" s="114"/>
      <c r="G228" s="114"/>
      <c r="H228" s="114"/>
      <c r="I228" s="114"/>
      <c r="J228" s="114"/>
      <c r="K228" s="114"/>
      <c r="L228" s="114"/>
    </row>
    <row r="229" spans="1:12" x14ac:dyDescent="0.25">
      <c r="A229" s="114"/>
      <c r="B229" s="114"/>
      <c r="C229" s="114"/>
      <c r="D229" s="114"/>
      <c r="E229" s="114"/>
      <c r="F229" s="114"/>
      <c r="G229" s="114"/>
      <c r="H229" s="114"/>
      <c r="I229" s="114"/>
      <c r="J229" s="114"/>
      <c r="K229" s="114"/>
      <c r="L229" s="114"/>
    </row>
    <row r="230" spans="1:12" x14ac:dyDescent="0.25">
      <c r="A230" s="114"/>
      <c r="B230" s="114"/>
      <c r="C230" s="114"/>
      <c r="D230" s="114"/>
      <c r="E230" s="114"/>
      <c r="F230" s="114"/>
      <c r="G230" s="114"/>
      <c r="H230" s="114"/>
      <c r="I230" s="114"/>
      <c r="J230" s="114"/>
      <c r="K230" s="114"/>
      <c r="L230" s="114"/>
    </row>
    <row r="231" spans="1:12" x14ac:dyDescent="0.25">
      <c r="A231" s="114"/>
      <c r="B231" s="114"/>
      <c r="C231" s="114"/>
      <c r="D231" s="114"/>
      <c r="E231" s="114"/>
      <c r="F231" s="114"/>
      <c r="G231" s="114"/>
      <c r="H231" s="114"/>
      <c r="I231" s="114"/>
      <c r="J231" s="114"/>
      <c r="K231" s="114"/>
      <c r="L231" s="114"/>
    </row>
    <row r="232" spans="1:12" x14ac:dyDescent="0.25">
      <c r="A232" s="114"/>
      <c r="B232" s="114"/>
      <c r="C232" s="114"/>
      <c r="D232" s="114"/>
      <c r="E232" s="114"/>
      <c r="F232" s="114"/>
      <c r="G232" s="114"/>
      <c r="H232" s="114"/>
      <c r="I232" s="114"/>
      <c r="J232" s="114"/>
      <c r="K232" s="114"/>
      <c r="L232" s="114"/>
    </row>
    <row r="233" spans="1:12" x14ac:dyDescent="0.25">
      <c r="A233" s="114"/>
      <c r="B233" s="114"/>
      <c r="C233" s="114"/>
      <c r="D233" s="114"/>
      <c r="E233" s="114"/>
      <c r="F233" s="114"/>
      <c r="G233" s="114"/>
      <c r="H233" s="114"/>
      <c r="I233" s="114"/>
      <c r="J233" s="114"/>
      <c r="K233" s="114"/>
      <c r="L233" s="114"/>
    </row>
    <row r="234" spans="1:12" x14ac:dyDescent="0.25">
      <c r="A234" s="114"/>
      <c r="B234" s="114"/>
      <c r="C234" s="114"/>
      <c r="D234" s="114"/>
      <c r="E234" s="114"/>
      <c r="F234" s="114"/>
      <c r="G234" s="114"/>
      <c r="H234" s="114"/>
      <c r="I234" s="114"/>
      <c r="J234" s="114"/>
      <c r="K234" s="114"/>
      <c r="L234" s="114"/>
    </row>
    <row r="235" spans="1:12" x14ac:dyDescent="0.25">
      <c r="A235" s="114"/>
      <c r="B235" s="114"/>
      <c r="C235" s="114"/>
      <c r="D235" s="114"/>
      <c r="E235" s="114"/>
      <c r="F235" s="114"/>
      <c r="G235" s="114"/>
      <c r="H235" s="114"/>
      <c r="I235" s="114"/>
      <c r="J235" s="114"/>
      <c r="K235" s="114"/>
      <c r="L235" s="114"/>
    </row>
    <row r="236" spans="1:12" x14ac:dyDescent="0.25">
      <c r="A236" s="114"/>
      <c r="B236" s="114"/>
      <c r="C236" s="114"/>
      <c r="D236" s="114"/>
      <c r="E236" s="114"/>
      <c r="F236" s="114"/>
      <c r="G236" s="114"/>
      <c r="H236" s="114"/>
      <c r="I236" s="114"/>
      <c r="J236" s="114"/>
      <c r="K236" s="114"/>
      <c r="L236" s="114"/>
    </row>
    <row r="237" spans="1:12" x14ac:dyDescent="0.25">
      <c r="A237" s="114"/>
      <c r="B237" s="114"/>
      <c r="C237" s="114"/>
      <c r="D237" s="114"/>
      <c r="E237" s="114"/>
      <c r="F237" s="114"/>
      <c r="G237" s="114"/>
      <c r="H237" s="114"/>
      <c r="I237" s="114"/>
      <c r="J237" s="114"/>
      <c r="K237" s="114"/>
      <c r="L237" s="114"/>
    </row>
    <row r="238" spans="1:12" x14ac:dyDescent="0.25">
      <c r="A238" s="114"/>
      <c r="B238" s="114"/>
      <c r="C238" s="114"/>
      <c r="D238" s="114"/>
      <c r="E238" s="114"/>
      <c r="F238" s="114"/>
      <c r="G238" s="114"/>
      <c r="H238" s="114"/>
      <c r="I238" s="114"/>
      <c r="J238" s="114"/>
      <c r="K238" s="114"/>
      <c r="L238" s="114"/>
    </row>
    <row r="239" spans="1:12" x14ac:dyDescent="0.25">
      <c r="A239" s="114"/>
      <c r="B239" s="114"/>
      <c r="C239" s="114"/>
      <c r="D239" s="114"/>
      <c r="E239" s="114"/>
      <c r="F239" s="114"/>
      <c r="G239" s="114"/>
      <c r="H239" s="114"/>
      <c r="I239" s="114"/>
      <c r="J239" s="114"/>
      <c r="K239" s="114"/>
      <c r="L239" s="114"/>
    </row>
    <row r="240" spans="1:12" x14ac:dyDescent="0.25">
      <c r="A240" s="114"/>
      <c r="B240" s="114"/>
      <c r="C240" s="114"/>
      <c r="D240" s="114"/>
      <c r="E240" s="114"/>
      <c r="F240" s="114"/>
      <c r="G240" s="114"/>
      <c r="H240" s="114"/>
      <c r="I240" s="114"/>
      <c r="J240" s="114"/>
      <c r="K240" s="114"/>
      <c r="L240" s="114"/>
    </row>
    <row r="241" spans="1:12" x14ac:dyDescent="0.25">
      <c r="A241" s="114"/>
      <c r="B241" s="114"/>
      <c r="C241" s="114"/>
      <c r="D241" s="114"/>
      <c r="E241" s="114"/>
      <c r="F241" s="114"/>
      <c r="G241" s="114"/>
      <c r="H241" s="114"/>
      <c r="I241" s="114"/>
      <c r="J241" s="114"/>
      <c r="K241" s="114"/>
      <c r="L241" s="114"/>
    </row>
    <row r="242" spans="1:12" x14ac:dyDescent="0.25">
      <c r="A242" s="114"/>
      <c r="B242" s="114"/>
      <c r="C242" s="114"/>
      <c r="D242" s="114"/>
      <c r="E242" s="114"/>
      <c r="F242" s="114"/>
      <c r="G242" s="114"/>
      <c r="H242" s="114"/>
      <c r="I242" s="114"/>
      <c r="J242" s="114"/>
      <c r="K242" s="114"/>
      <c r="L242" s="114"/>
    </row>
    <row r="243" spans="1:12" x14ac:dyDescent="0.25">
      <c r="A243" s="114"/>
      <c r="B243" s="114"/>
      <c r="C243" s="114"/>
      <c r="D243" s="114"/>
      <c r="E243" s="114"/>
      <c r="F243" s="114"/>
      <c r="G243" s="114"/>
      <c r="H243" s="114"/>
      <c r="I243" s="114"/>
      <c r="J243" s="114"/>
      <c r="K243" s="114"/>
      <c r="L243" s="114"/>
    </row>
    <row r="244" spans="1:12" x14ac:dyDescent="0.25">
      <c r="A244" s="114"/>
      <c r="B244" s="114"/>
      <c r="C244" s="114"/>
      <c r="D244" s="114"/>
      <c r="E244" s="114"/>
      <c r="F244" s="114"/>
      <c r="G244" s="114"/>
      <c r="H244" s="114"/>
      <c r="I244" s="114"/>
      <c r="J244" s="114"/>
      <c r="K244" s="114"/>
      <c r="L244" s="114"/>
    </row>
    <row r="245" spans="1:12" x14ac:dyDescent="0.25">
      <c r="A245" s="114"/>
      <c r="B245" s="114"/>
      <c r="C245" s="114"/>
      <c r="D245" s="114"/>
      <c r="E245" s="114"/>
      <c r="F245" s="114"/>
      <c r="G245" s="114"/>
      <c r="H245" s="114"/>
      <c r="I245" s="114"/>
      <c r="J245" s="114"/>
      <c r="K245" s="114"/>
      <c r="L245" s="114"/>
    </row>
    <row r="246" spans="1:12" x14ac:dyDescent="0.25">
      <c r="A246" s="114"/>
      <c r="B246" s="114"/>
      <c r="C246" s="114"/>
      <c r="D246" s="114"/>
      <c r="E246" s="114"/>
      <c r="F246" s="114"/>
      <c r="G246" s="114"/>
      <c r="H246" s="114"/>
      <c r="I246" s="114"/>
      <c r="J246" s="114"/>
      <c r="K246" s="114"/>
      <c r="L246" s="114"/>
    </row>
    <row r="247" spans="1:12" x14ac:dyDescent="0.25">
      <c r="A247" s="114"/>
      <c r="B247" s="114"/>
      <c r="C247" s="114"/>
      <c r="D247" s="114"/>
      <c r="E247" s="114"/>
      <c r="F247" s="114"/>
      <c r="G247" s="114"/>
      <c r="H247" s="114"/>
      <c r="I247" s="114"/>
      <c r="J247" s="114"/>
      <c r="K247" s="114"/>
      <c r="L247" s="114"/>
    </row>
    <row r="248" spans="1:12" x14ac:dyDescent="0.25">
      <c r="A248" s="114"/>
      <c r="B248" s="114"/>
      <c r="C248" s="114"/>
      <c r="D248" s="114"/>
      <c r="E248" s="114"/>
      <c r="F248" s="114"/>
      <c r="G248" s="114"/>
      <c r="H248" s="114"/>
      <c r="I248" s="114"/>
      <c r="J248" s="114"/>
      <c r="K248" s="114"/>
      <c r="L248" s="114"/>
    </row>
    <row r="249" spans="1:12" x14ac:dyDescent="0.25">
      <c r="A249" s="114"/>
      <c r="B249" s="114"/>
      <c r="C249" s="114"/>
      <c r="D249" s="114"/>
      <c r="E249" s="114"/>
      <c r="F249" s="114"/>
      <c r="G249" s="114"/>
      <c r="H249" s="114"/>
      <c r="I249" s="114"/>
      <c r="J249" s="114"/>
      <c r="K249" s="114"/>
      <c r="L249" s="114"/>
    </row>
    <row r="250" spans="1:12" x14ac:dyDescent="0.25">
      <c r="A250" s="114"/>
      <c r="B250" s="114"/>
      <c r="C250" s="114"/>
      <c r="D250" s="114"/>
      <c r="E250" s="114"/>
      <c r="F250" s="114"/>
      <c r="G250" s="114"/>
      <c r="H250" s="114"/>
      <c r="I250" s="114"/>
      <c r="J250" s="114"/>
      <c r="K250" s="114"/>
      <c r="L250" s="114"/>
    </row>
    <row r="251" spans="1:12" x14ac:dyDescent="0.25">
      <c r="A251" s="114"/>
      <c r="B251" s="114"/>
      <c r="C251" s="114"/>
      <c r="D251" s="114"/>
      <c r="E251" s="114"/>
      <c r="F251" s="114"/>
      <c r="G251" s="114"/>
      <c r="H251" s="114"/>
      <c r="I251" s="114"/>
      <c r="J251" s="114"/>
      <c r="K251" s="114"/>
      <c r="L251" s="114"/>
    </row>
    <row r="252" spans="1:12" x14ac:dyDescent="0.25">
      <c r="A252" s="114"/>
      <c r="B252" s="114"/>
      <c r="C252" s="114"/>
      <c r="D252" s="114"/>
      <c r="E252" s="114"/>
      <c r="F252" s="114"/>
      <c r="G252" s="114"/>
      <c r="H252" s="114"/>
      <c r="I252" s="114"/>
      <c r="J252" s="114"/>
      <c r="K252" s="114"/>
      <c r="L252" s="114"/>
    </row>
    <row r="253" spans="1:12" x14ac:dyDescent="0.25">
      <c r="A253" s="114"/>
      <c r="B253" s="114"/>
      <c r="C253" s="114"/>
      <c r="D253" s="114"/>
      <c r="E253" s="114"/>
      <c r="F253" s="114"/>
      <c r="G253" s="114"/>
      <c r="H253" s="114"/>
      <c r="I253" s="114"/>
      <c r="J253" s="114"/>
      <c r="K253" s="114"/>
      <c r="L253" s="114"/>
    </row>
    <row r="254" spans="1:12" x14ac:dyDescent="0.25">
      <c r="A254" s="114"/>
      <c r="B254" s="114"/>
      <c r="C254" s="114"/>
      <c r="D254" s="114"/>
      <c r="E254" s="114"/>
      <c r="F254" s="114"/>
      <c r="G254" s="114"/>
      <c r="H254" s="114"/>
      <c r="I254" s="114"/>
      <c r="J254" s="114"/>
      <c r="K254" s="114"/>
      <c r="L254" s="114"/>
    </row>
    <row r="255" spans="1:12" x14ac:dyDescent="0.25">
      <c r="A255" s="114"/>
      <c r="B255" s="114"/>
      <c r="C255" s="114"/>
      <c r="D255" s="114"/>
      <c r="E255" s="114"/>
      <c r="F255" s="114"/>
      <c r="G255" s="114"/>
      <c r="H255" s="114"/>
      <c r="I255" s="114"/>
      <c r="J255" s="114"/>
      <c r="K255" s="114"/>
      <c r="L255" s="114"/>
    </row>
    <row r="256" spans="1:12" x14ac:dyDescent="0.25">
      <c r="A256" s="114"/>
      <c r="B256" s="114"/>
      <c r="C256" s="114"/>
      <c r="D256" s="114"/>
      <c r="E256" s="114"/>
      <c r="F256" s="114"/>
      <c r="G256" s="114"/>
      <c r="H256" s="114"/>
      <c r="I256" s="114"/>
      <c r="J256" s="114"/>
      <c r="K256" s="114"/>
      <c r="L256" s="114"/>
    </row>
    <row r="257" spans="1:12" x14ac:dyDescent="0.25">
      <c r="A257" s="114"/>
      <c r="B257" s="114"/>
      <c r="C257" s="114"/>
      <c r="D257" s="114"/>
      <c r="E257" s="114"/>
      <c r="F257" s="114"/>
      <c r="G257" s="114"/>
      <c r="H257" s="114"/>
      <c r="I257" s="114"/>
      <c r="J257" s="114"/>
      <c r="K257" s="114"/>
      <c r="L257" s="114"/>
    </row>
    <row r="258" spans="1:12" x14ac:dyDescent="0.25">
      <c r="A258" s="114"/>
      <c r="B258" s="114"/>
      <c r="C258" s="114"/>
      <c r="D258" s="114"/>
      <c r="E258" s="114"/>
      <c r="F258" s="114"/>
      <c r="G258" s="114"/>
      <c r="H258" s="114"/>
      <c r="I258" s="114"/>
      <c r="J258" s="114"/>
      <c r="K258" s="114"/>
      <c r="L258" s="114"/>
    </row>
    <row r="259" spans="1:12" x14ac:dyDescent="0.25">
      <c r="A259" s="114"/>
      <c r="B259" s="114"/>
      <c r="C259" s="114"/>
      <c r="D259" s="114"/>
      <c r="E259" s="114"/>
      <c r="F259" s="114"/>
      <c r="G259" s="114"/>
      <c r="H259" s="114"/>
      <c r="I259" s="114"/>
      <c r="J259" s="114"/>
      <c r="K259" s="114"/>
      <c r="L259" s="114"/>
    </row>
    <row r="260" spans="1:12" x14ac:dyDescent="0.25">
      <c r="A260" s="114"/>
      <c r="B260" s="114"/>
      <c r="C260" s="114"/>
      <c r="D260" s="114"/>
      <c r="E260" s="114"/>
      <c r="F260" s="114"/>
      <c r="G260" s="114"/>
      <c r="H260" s="114"/>
      <c r="I260" s="114"/>
      <c r="J260" s="114"/>
      <c r="K260" s="114"/>
      <c r="L260" s="114"/>
    </row>
    <row r="261" spans="1:12" x14ac:dyDescent="0.25">
      <c r="A261" s="114"/>
      <c r="B261" s="114"/>
      <c r="C261" s="114"/>
      <c r="D261" s="114"/>
      <c r="E261" s="114"/>
      <c r="F261" s="114"/>
      <c r="G261" s="114"/>
      <c r="H261" s="114"/>
      <c r="I261" s="114"/>
      <c r="J261" s="114"/>
      <c r="K261" s="114"/>
      <c r="L261" s="114"/>
    </row>
    <row r="262" spans="1:12" x14ac:dyDescent="0.25">
      <c r="A262" s="114"/>
      <c r="B262" s="114"/>
      <c r="C262" s="114"/>
      <c r="D262" s="114"/>
      <c r="E262" s="114"/>
      <c r="F262" s="114"/>
      <c r="G262" s="114"/>
      <c r="H262" s="114"/>
      <c r="I262" s="114"/>
      <c r="J262" s="114"/>
      <c r="K262" s="114"/>
      <c r="L262" s="114"/>
    </row>
    <row r="263" spans="1:12" x14ac:dyDescent="0.25">
      <c r="A263" s="114"/>
      <c r="B263" s="114"/>
      <c r="C263" s="114"/>
      <c r="D263" s="114"/>
      <c r="E263" s="114"/>
      <c r="F263" s="114"/>
      <c r="G263" s="114"/>
      <c r="H263" s="114"/>
      <c r="I263" s="114"/>
      <c r="J263" s="114"/>
      <c r="K263" s="114"/>
      <c r="L263" s="114"/>
    </row>
    <row r="264" spans="1:12" x14ac:dyDescent="0.25">
      <c r="A264" s="114"/>
      <c r="B264" s="114"/>
      <c r="C264" s="114"/>
      <c r="D264" s="114"/>
      <c r="E264" s="114"/>
      <c r="F264" s="114"/>
      <c r="G264" s="114"/>
      <c r="H264" s="114"/>
      <c r="I264" s="114"/>
      <c r="J264" s="114"/>
      <c r="K264" s="114"/>
      <c r="L264" s="114"/>
    </row>
    <row r="265" spans="1:12" x14ac:dyDescent="0.25">
      <c r="A265" s="114"/>
      <c r="B265" s="114"/>
      <c r="C265" s="114"/>
      <c r="D265" s="114"/>
      <c r="E265" s="114"/>
      <c r="F265" s="114"/>
      <c r="G265" s="114"/>
      <c r="H265" s="114"/>
      <c r="I265" s="114"/>
      <c r="J265" s="114"/>
      <c r="K265" s="114"/>
      <c r="L265" s="114"/>
    </row>
    <row r="266" spans="1:12" x14ac:dyDescent="0.25">
      <c r="A266" s="114"/>
      <c r="B266" s="114"/>
      <c r="C266" s="114"/>
      <c r="D266" s="114"/>
      <c r="E266" s="114"/>
      <c r="F266" s="114"/>
      <c r="G266" s="114"/>
      <c r="H266" s="114"/>
      <c r="I266" s="114"/>
      <c r="J266" s="114"/>
      <c r="K266" s="114"/>
      <c r="L266" s="114"/>
    </row>
    <row r="267" spans="1:12" x14ac:dyDescent="0.25">
      <c r="A267" s="114"/>
      <c r="B267" s="114"/>
      <c r="C267" s="114"/>
      <c r="D267" s="114"/>
      <c r="E267" s="114"/>
      <c r="F267" s="114"/>
      <c r="G267" s="114"/>
      <c r="H267" s="114"/>
      <c r="I267" s="114"/>
      <c r="J267" s="114"/>
      <c r="K267" s="114"/>
      <c r="L267" s="114"/>
    </row>
    <row r="268" spans="1:12" x14ac:dyDescent="0.25">
      <c r="A268" s="114"/>
      <c r="B268" s="114"/>
      <c r="C268" s="114"/>
      <c r="D268" s="114"/>
      <c r="E268" s="114"/>
      <c r="F268" s="114"/>
      <c r="G268" s="114"/>
      <c r="H268" s="114"/>
      <c r="I268" s="114"/>
      <c r="J268" s="114"/>
      <c r="K268" s="114"/>
      <c r="L268" s="114"/>
    </row>
    <row r="269" spans="1:12" x14ac:dyDescent="0.25">
      <c r="A269" s="114"/>
      <c r="B269" s="114"/>
      <c r="C269" s="114"/>
      <c r="D269" s="114"/>
      <c r="E269" s="114"/>
      <c r="F269" s="114"/>
      <c r="G269" s="114"/>
      <c r="H269" s="114"/>
      <c r="I269" s="114"/>
      <c r="J269" s="114"/>
      <c r="K269" s="114"/>
      <c r="L269" s="114"/>
    </row>
    <row r="270" spans="1:12" x14ac:dyDescent="0.25">
      <c r="A270" s="114"/>
      <c r="B270" s="114"/>
      <c r="C270" s="114"/>
      <c r="D270" s="114"/>
      <c r="E270" s="114"/>
      <c r="F270" s="114"/>
      <c r="G270" s="114"/>
      <c r="H270" s="114"/>
      <c r="I270" s="114"/>
      <c r="J270" s="114"/>
      <c r="K270" s="114"/>
      <c r="L270" s="114"/>
    </row>
    <row r="271" spans="1:12" x14ac:dyDescent="0.25">
      <c r="A271" s="114"/>
      <c r="B271" s="114"/>
      <c r="C271" s="114"/>
      <c r="D271" s="114"/>
      <c r="E271" s="114"/>
      <c r="F271" s="114"/>
      <c r="G271" s="114"/>
      <c r="H271" s="114"/>
      <c r="I271" s="114"/>
      <c r="J271" s="114"/>
      <c r="K271" s="114"/>
      <c r="L271" s="114"/>
    </row>
    <row r="272" spans="1:12" x14ac:dyDescent="0.25">
      <c r="A272" s="114"/>
      <c r="B272" s="114"/>
      <c r="C272" s="114"/>
      <c r="D272" s="114"/>
      <c r="E272" s="114"/>
      <c r="F272" s="114"/>
      <c r="G272" s="114"/>
      <c r="H272" s="114"/>
      <c r="I272" s="114"/>
      <c r="J272" s="114"/>
      <c r="K272" s="114"/>
      <c r="L272" s="114"/>
    </row>
    <row r="273" spans="1:12" x14ac:dyDescent="0.25">
      <c r="A273" s="114"/>
      <c r="B273" s="114"/>
      <c r="C273" s="114"/>
      <c r="D273" s="114"/>
      <c r="E273" s="114"/>
      <c r="F273" s="114"/>
      <c r="G273" s="114"/>
      <c r="H273" s="114"/>
      <c r="I273" s="114"/>
      <c r="J273" s="114"/>
      <c r="K273" s="114"/>
      <c r="L273" s="114"/>
    </row>
    <row r="274" spans="1:12" x14ac:dyDescent="0.25">
      <c r="A274" s="114"/>
      <c r="B274" s="114"/>
      <c r="C274" s="114"/>
      <c r="D274" s="114"/>
      <c r="E274" s="114"/>
      <c r="F274" s="114"/>
      <c r="G274" s="114"/>
      <c r="H274" s="114"/>
      <c r="I274" s="114"/>
      <c r="J274" s="114"/>
      <c r="K274" s="114"/>
      <c r="L274" s="114"/>
    </row>
    <row r="275" spans="1:12" x14ac:dyDescent="0.25">
      <c r="A275" s="114"/>
      <c r="B275" s="114"/>
      <c r="C275" s="114"/>
      <c r="D275" s="114"/>
      <c r="E275" s="114"/>
      <c r="F275" s="114"/>
      <c r="G275" s="114"/>
      <c r="H275" s="114"/>
      <c r="I275" s="114"/>
      <c r="J275" s="114"/>
      <c r="K275" s="114"/>
      <c r="L275" s="114"/>
    </row>
    <row r="276" spans="1:12" x14ac:dyDescent="0.25">
      <c r="A276" s="114"/>
      <c r="B276" s="114"/>
      <c r="C276" s="114"/>
      <c r="D276" s="114"/>
      <c r="E276" s="114"/>
      <c r="F276" s="114"/>
      <c r="G276" s="114"/>
      <c r="H276" s="114"/>
      <c r="I276" s="114"/>
      <c r="J276" s="114"/>
      <c r="K276" s="114"/>
      <c r="L276" s="114"/>
    </row>
    <row r="277" spans="1:12" x14ac:dyDescent="0.25">
      <c r="A277" s="114"/>
      <c r="B277" s="114"/>
      <c r="C277" s="114"/>
      <c r="D277" s="114"/>
      <c r="E277" s="114"/>
      <c r="F277" s="114"/>
      <c r="G277" s="114"/>
      <c r="H277" s="114"/>
      <c r="I277" s="114"/>
      <c r="J277" s="114"/>
      <c r="K277" s="114"/>
      <c r="L277" s="114"/>
    </row>
    <row r="278" spans="1:12" x14ac:dyDescent="0.25">
      <c r="A278" s="114"/>
      <c r="B278" s="114"/>
      <c r="C278" s="114"/>
      <c r="D278" s="114"/>
      <c r="E278" s="114"/>
      <c r="F278" s="114"/>
      <c r="G278" s="114"/>
      <c r="H278" s="114"/>
      <c r="I278" s="114"/>
      <c r="J278" s="114"/>
      <c r="K278" s="114"/>
      <c r="L278" s="114"/>
    </row>
    <row r="279" spans="1:12" x14ac:dyDescent="0.25">
      <c r="A279" s="114"/>
      <c r="B279" s="114"/>
      <c r="C279" s="114"/>
      <c r="D279" s="114"/>
      <c r="E279" s="114"/>
      <c r="F279" s="114"/>
      <c r="G279" s="114"/>
      <c r="H279" s="114"/>
      <c r="I279" s="114"/>
      <c r="J279" s="114"/>
      <c r="K279" s="114"/>
      <c r="L279" s="114"/>
    </row>
    <row r="280" spans="1:12" x14ac:dyDescent="0.25">
      <c r="A280" s="114"/>
      <c r="B280" s="114"/>
      <c r="C280" s="114"/>
      <c r="D280" s="114"/>
      <c r="E280" s="114"/>
      <c r="F280" s="114"/>
      <c r="G280" s="114"/>
      <c r="H280" s="114"/>
      <c r="I280" s="114"/>
      <c r="J280" s="114"/>
      <c r="K280" s="114"/>
      <c r="L280" s="114"/>
    </row>
    <row r="281" spans="1:12" x14ac:dyDescent="0.25">
      <c r="A281" s="114"/>
      <c r="B281" s="114"/>
      <c r="C281" s="114"/>
      <c r="D281" s="114"/>
      <c r="E281" s="114"/>
      <c r="F281" s="114"/>
      <c r="G281" s="114"/>
      <c r="H281" s="114"/>
      <c r="I281" s="114"/>
      <c r="J281" s="114"/>
      <c r="K281" s="114"/>
      <c r="L281" s="114"/>
    </row>
    <row r="282" spans="1:12" x14ac:dyDescent="0.25">
      <c r="A282" s="114"/>
      <c r="B282" s="114"/>
      <c r="C282" s="114"/>
      <c r="D282" s="114"/>
      <c r="E282" s="114"/>
      <c r="F282" s="114"/>
      <c r="G282" s="114"/>
      <c r="H282" s="114"/>
      <c r="I282" s="114"/>
      <c r="J282" s="114"/>
      <c r="K282" s="114"/>
      <c r="L282" s="114"/>
    </row>
    <row r="283" spans="1:12" x14ac:dyDescent="0.25">
      <c r="A283" s="114"/>
      <c r="B283" s="114"/>
      <c r="C283" s="114"/>
      <c r="D283" s="114"/>
      <c r="E283" s="114"/>
      <c r="F283" s="114"/>
      <c r="G283" s="114"/>
      <c r="H283" s="114"/>
      <c r="I283" s="114"/>
      <c r="J283" s="114"/>
      <c r="K283" s="114"/>
      <c r="L283" s="114"/>
    </row>
    <row r="284" spans="1:12" x14ac:dyDescent="0.25">
      <c r="A284" s="114"/>
      <c r="B284" s="114"/>
      <c r="C284" s="114"/>
      <c r="D284" s="114"/>
      <c r="E284" s="114"/>
      <c r="F284" s="114"/>
      <c r="G284" s="114"/>
      <c r="H284" s="114"/>
      <c r="I284" s="114"/>
      <c r="J284" s="114"/>
      <c r="K284" s="114"/>
      <c r="L284" s="114"/>
    </row>
    <row r="285" spans="1:12" x14ac:dyDescent="0.25">
      <c r="A285" s="114"/>
      <c r="B285" s="114"/>
      <c r="C285" s="114"/>
      <c r="D285" s="114"/>
      <c r="E285" s="114"/>
      <c r="F285" s="114"/>
      <c r="G285" s="114"/>
      <c r="H285" s="114"/>
      <c r="I285" s="114"/>
      <c r="J285" s="114"/>
      <c r="K285" s="114"/>
      <c r="L285" s="114"/>
    </row>
    <row r="286" spans="1:12" x14ac:dyDescent="0.25">
      <c r="A286" s="114"/>
      <c r="B286" s="114"/>
      <c r="C286" s="114"/>
      <c r="D286" s="114"/>
      <c r="E286" s="114"/>
      <c r="F286" s="114"/>
      <c r="G286" s="114"/>
      <c r="H286" s="114"/>
      <c r="I286" s="114"/>
      <c r="J286" s="114"/>
      <c r="K286" s="114"/>
      <c r="L286" s="114"/>
    </row>
    <row r="287" spans="1:12" x14ac:dyDescent="0.25">
      <c r="A287" s="114"/>
      <c r="B287" s="114"/>
      <c r="C287" s="114"/>
      <c r="D287" s="114"/>
      <c r="E287" s="114"/>
      <c r="F287" s="114"/>
      <c r="G287" s="114"/>
      <c r="H287" s="114"/>
      <c r="I287" s="114"/>
      <c r="J287" s="114"/>
      <c r="K287" s="114"/>
      <c r="L287" s="114"/>
    </row>
    <row r="288" spans="1:12" x14ac:dyDescent="0.25">
      <c r="A288" s="114"/>
      <c r="B288" s="114"/>
      <c r="C288" s="114"/>
      <c r="D288" s="114"/>
      <c r="E288" s="114"/>
      <c r="F288" s="114"/>
      <c r="G288" s="114"/>
      <c r="H288" s="114"/>
      <c r="I288" s="114"/>
      <c r="J288" s="114"/>
      <c r="K288" s="114"/>
      <c r="L288" s="114"/>
    </row>
    <row r="289" spans="1:12" x14ac:dyDescent="0.25">
      <c r="A289" s="114"/>
      <c r="B289" s="114"/>
      <c r="C289" s="114"/>
      <c r="D289" s="114"/>
      <c r="E289" s="114"/>
      <c r="F289" s="114"/>
      <c r="G289" s="114"/>
      <c r="H289" s="114"/>
      <c r="I289" s="114"/>
      <c r="J289" s="114"/>
      <c r="K289" s="114"/>
      <c r="L289" s="114"/>
    </row>
    <row r="290" spans="1:12" x14ac:dyDescent="0.25">
      <c r="A290" s="114"/>
      <c r="B290" s="114"/>
      <c r="C290" s="114"/>
      <c r="D290" s="114"/>
      <c r="E290" s="114"/>
      <c r="F290" s="114"/>
      <c r="G290" s="114"/>
      <c r="H290" s="114"/>
      <c r="I290" s="114"/>
      <c r="J290" s="114"/>
      <c r="K290" s="114"/>
      <c r="L290" s="114"/>
    </row>
    <row r="291" spans="1:12" x14ac:dyDescent="0.25">
      <c r="A291" s="114"/>
      <c r="B291" s="114"/>
      <c r="C291" s="114"/>
      <c r="D291" s="114"/>
      <c r="E291" s="114"/>
      <c r="F291" s="114"/>
      <c r="G291" s="114"/>
      <c r="H291" s="114"/>
      <c r="I291" s="114"/>
      <c r="J291" s="114"/>
      <c r="K291" s="114"/>
      <c r="L291" s="114"/>
    </row>
    <row r="292" spans="1:12" x14ac:dyDescent="0.25">
      <c r="A292" s="114"/>
      <c r="B292" s="114"/>
      <c r="C292" s="114"/>
      <c r="D292" s="114"/>
      <c r="E292" s="114"/>
      <c r="F292" s="114"/>
      <c r="G292" s="114"/>
      <c r="H292" s="114"/>
      <c r="I292" s="114"/>
      <c r="J292" s="114"/>
      <c r="K292" s="114"/>
      <c r="L292" s="114"/>
    </row>
    <row r="293" spans="1:12" x14ac:dyDescent="0.25">
      <c r="A293" s="114"/>
      <c r="B293" s="114"/>
      <c r="C293" s="114"/>
      <c r="D293" s="114"/>
      <c r="E293" s="114"/>
      <c r="F293" s="114"/>
      <c r="G293" s="114"/>
      <c r="H293" s="114"/>
      <c r="I293" s="114"/>
      <c r="J293" s="114"/>
      <c r="K293" s="114"/>
      <c r="L293" s="114"/>
    </row>
    <row r="294" spans="1:12" x14ac:dyDescent="0.25">
      <c r="A294" s="114"/>
      <c r="B294" s="114"/>
      <c r="C294" s="114"/>
      <c r="D294" s="114"/>
      <c r="E294" s="114"/>
      <c r="F294" s="114"/>
      <c r="G294" s="114"/>
      <c r="H294" s="114"/>
      <c r="I294" s="114"/>
      <c r="J294" s="114"/>
      <c r="K294" s="114"/>
      <c r="L294" s="114"/>
    </row>
    <row r="295" spans="1:12" x14ac:dyDescent="0.25">
      <c r="A295" s="114"/>
      <c r="B295" s="114"/>
      <c r="C295" s="114"/>
      <c r="D295" s="114"/>
      <c r="E295" s="114"/>
      <c r="F295" s="114"/>
      <c r="G295" s="114"/>
      <c r="H295" s="114"/>
      <c r="I295" s="114"/>
      <c r="J295" s="114"/>
      <c r="K295" s="114"/>
      <c r="L295" s="114"/>
    </row>
    <row r="296" spans="1:12" x14ac:dyDescent="0.25">
      <c r="A296" s="114"/>
      <c r="B296" s="114"/>
      <c r="C296" s="114"/>
      <c r="D296" s="114"/>
      <c r="E296" s="114"/>
      <c r="F296" s="114"/>
      <c r="G296" s="114"/>
      <c r="H296" s="114"/>
      <c r="I296" s="114"/>
      <c r="J296" s="114"/>
      <c r="K296" s="114"/>
      <c r="L296" s="114"/>
    </row>
    <row r="297" spans="1:12" x14ac:dyDescent="0.25">
      <c r="A297" s="114"/>
      <c r="B297" s="114"/>
      <c r="C297" s="114"/>
      <c r="D297" s="114"/>
      <c r="E297" s="114"/>
      <c r="F297" s="114"/>
      <c r="G297" s="114"/>
      <c r="H297" s="114"/>
      <c r="I297" s="114"/>
      <c r="J297" s="114"/>
      <c r="K297" s="114"/>
      <c r="L297" s="114"/>
    </row>
    <row r="298" spans="1:12" x14ac:dyDescent="0.25">
      <c r="A298" s="114"/>
      <c r="B298" s="114"/>
      <c r="C298" s="114"/>
      <c r="D298" s="114"/>
      <c r="E298" s="114"/>
      <c r="F298" s="114"/>
      <c r="G298" s="114"/>
      <c r="H298" s="114"/>
      <c r="I298" s="114"/>
      <c r="J298" s="114"/>
      <c r="K298" s="114"/>
      <c r="L298" s="114"/>
    </row>
    <row r="299" spans="1:12" x14ac:dyDescent="0.25">
      <c r="A299" s="114"/>
      <c r="B299" s="114"/>
      <c r="C299" s="114"/>
      <c r="D299" s="114"/>
      <c r="E299" s="114"/>
      <c r="F299" s="114"/>
      <c r="G299" s="114"/>
      <c r="H299" s="114"/>
      <c r="I299" s="114"/>
      <c r="J299" s="114"/>
      <c r="K299" s="114"/>
      <c r="L299" s="114"/>
    </row>
    <row r="300" spans="1:12" x14ac:dyDescent="0.25">
      <c r="A300" s="114"/>
      <c r="B300" s="114"/>
      <c r="C300" s="114"/>
      <c r="D300" s="114"/>
      <c r="E300" s="114"/>
      <c r="F300" s="114"/>
      <c r="G300" s="114"/>
      <c r="H300" s="114"/>
      <c r="I300" s="114"/>
      <c r="J300" s="114"/>
      <c r="K300" s="114"/>
      <c r="L300" s="114"/>
    </row>
    <row r="301" spans="1:12" x14ac:dyDescent="0.25">
      <c r="A301" s="114"/>
      <c r="B301" s="114"/>
      <c r="C301" s="114"/>
      <c r="D301" s="114"/>
      <c r="E301" s="114"/>
      <c r="F301" s="114"/>
      <c r="G301" s="114"/>
      <c r="H301" s="114"/>
      <c r="I301" s="114"/>
      <c r="J301" s="114"/>
      <c r="K301" s="114"/>
      <c r="L301" s="114"/>
    </row>
    <row r="302" spans="1:12" x14ac:dyDescent="0.25">
      <c r="A302" s="114"/>
      <c r="B302" s="114"/>
      <c r="C302" s="114"/>
      <c r="D302" s="114"/>
      <c r="E302" s="114"/>
      <c r="F302" s="114"/>
      <c r="G302" s="114"/>
      <c r="H302" s="114"/>
      <c r="I302" s="114"/>
      <c r="J302" s="114"/>
      <c r="K302" s="114"/>
      <c r="L302" s="114"/>
    </row>
    <row r="303" spans="1:12" x14ac:dyDescent="0.25">
      <c r="A303" s="114"/>
      <c r="B303" s="114"/>
      <c r="C303" s="114"/>
      <c r="D303" s="114"/>
      <c r="E303" s="114"/>
      <c r="F303" s="114"/>
      <c r="G303" s="114"/>
      <c r="H303" s="114"/>
      <c r="I303" s="114"/>
      <c r="J303" s="114"/>
      <c r="K303" s="114"/>
      <c r="L303" s="114"/>
    </row>
    <row r="304" spans="1:12" x14ac:dyDescent="0.25">
      <c r="A304" s="114"/>
      <c r="B304" s="114"/>
      <c r="C304" s="114"/>
      <c r="D304" s="114"/>
      <c r="E304" s="114"/>
      <c r="F304" s="114"/>
      <c r="G304" s="114"/>
      <c r="H304" s="114"/>
      <c r="I304" s="114"/>
      <c r="J304" s="114"/>
      <c r="K304" s="114"/>
      <c r="L304" s="114"/>
    </row>
    <row r="305" spans="1:12" x14ac:dyDescent="0.25">
      <c r="A305" s="114"/>
      <c r="B305" s="114"/>
      <c r="C305" s="114"/>
      <c r="D305" s="114"/>
      <c r="E305" s="114"/>
      <c r="F305" s="114"/>
      <c r="G305" s="114"/>
      <c r="H305" s="114"/>
      <c r="I305" s="114"/>
      <c r="J305" s="114"/>
      <c r="K305" s="114"/>
      <c r="L305" s="114"/>
    </row>
    <row r="306" spans="1:12" x14ac:dyDescent="0.25">
      <c r="A306" s="114"/>
      <c r="B306" s="114"/>
      <c r="C306" s="114"/>
      <c r="D306" s="114"/>
      <c r="E306" s="114"/>
      <c r="F306" s="114"/>
      <c r="G306" s="114"/>
      <c r="H306" s="114"/>
      <c r="I306" s="114"/>
      <c r="J306" s="114"/>
      <c r="K306" s="114"/>
      <c r="L306" s="114"/>
    </row>
    <row r="307" spans="1:12" x14ac:dyDescent="0.25">
      <c r="A307" s="114"/>
      <c r="B307" s="114"/>
      <c r="C307" s="114"/>
      <c r="D307" s="114"/>
      <c r="E307" s="114"/>
      <c r="F307" s="114"/>
      <c r="G307" s="114"/>
      <c r="H307" s="114"/>
      <c r="I307" s="114"/>
      <c r="J307" s="114"/>
      <c r="K307" s="114"/>
      <c r="L307" s="114"/>
    </row>
    <row r="308" spans="1:12" x14ac:dyDescent="0.25">
      <c r="A308" s="114"/>
      <c r="B308" s="114"/>
      <c r="C308" s="114"/>
      <c r="D308" s="114"/>
      <c r="E308" s="114"/>
      <c r="F308" s="114"/>
      <c r="G308" s="114"/>
      <c r="H308" s="114"/>
      <c r="I308" s="114"/>
      <c r="J308" s="114"/>
      <c r="K308" s="114"/>
      <c r="L308" s="114"/>
    </row>
    <row r="309" spans="1:12" x14ac:dyDescent="0.25">
      <c r="A309" s="114"/>
      <c r="B309" s="114"/>
      <c r="C309" s="114"/>
      <c r="D309" s="114"/>
      <c r="E309" s="114"/>
      <c r="F309" s="114"/>
      <c r="G309" s="114"/>
      <c r="H309" s="114"/>
      <c r="I309" s="114"/>
      <c r="J309" s="114"/>
      <c r="K309" s="114"/>
      <c r="L309" s="114"/>
    </row>
    <row r="310" spans="1:12" x14ac:dyDescent="0.25">
      <c r="A310" s="114"/>
      <c r="B310" s="114"/>
      <c r="C310" s="114"/>
      <c r="D310" s="114"/>
      <c r="E310" s="114"/>
      <c r="F310" s="114"/>
      <c r="G310" s="114"/>
      <c r="H310" s="114"/>
      <c r="I310" s="114"/>
      <c r="J310" s="114"/>
      <c r="K310" s="114"/>
      <c r="L310" s="114"/>
    </row>
    <row r="311" spans="1:12" x14ac:dyDescent="0.25">
      <c r="A311" s="114"/>
      <c r="B311" s="114"/>
      <c r="C311" s="114"/>
      <c r="D311" s="114"/>
      <c r="E311" s="114"/>
      <c r="F311" s="114"/>
      <c r="G311" s="114"/>
      <c r="H311" s="114"/>
      <c r="I311" s="114"/>
      <c r="J311" s="114"/>
      <c r="K311" s="114"/>
      <c r="L311" s="114"/>
    </row>
    <row r="312" spans="1:12" x14ac:dyDescent="0.25">
      <c r="A312" s="114"/>
      <c r="B312" s="114"/>
      <c r="C312" s="114"/>
      <c r="D312" s="114"/>
      <c r="E312" s="114"/>
      <c r="F312" s="114"/>
      <c r="G312" s="114"/>
      <c r="H312" s="114"/>
      <c r="I312" s="114"/>
      <c r="J312" s="114"/>
      <c r="K312" s="114"/>
      <c r="L312" s="114"/>
    </row>
    <row r="313" spans="1:12" x14ac:dyDescent="0.25">
      <c r="A313" s="114"/>
      <c r="B313" s="114"/>
      <c r="C313" s="114"/>
      <c r="D313" s="114"/>
      <c r="E313" s="114"/>
      <c r="F313" s="114"/>
      <c r="G313" s="114"/>
      <c r="H313" s="114"/>
      <c r="I313" s="114"/>
      <c r="J313" s="114"/>
      <c r="K313" s="114"/>
      <c r="L313" s="114"/>
    </row>
    <row r="314" spans="1:12" x14ac:dyDescent="0.25">
      <c r="A314" s="114"/>
      <c r="B314" s="114"/>
      <c r="C314" s="114"/>
      <c r="D314" s="114"/>
      <c r="E314" s="114"/>
      <c r="F314" s="114"/>
      <c r="G314" s="114"/>
      <c r="H314" s="114"/>
      <c r="I314" s="114"/>
      <c r="J314" s="114"/>
      <c r="K314" s="114"/>
      <c r="L314" s="114"/>
    </row>
    <row r="315" spans="1:12" x14ac:dyDescent="0.25">
      <c r="A315" s="114"/>
      <c r="B315" s="114"/>
      <c r="C315" s="114"/>
      <c r="D315" s="114"/>
      <c r="E315" s="114"/>
      <c r="F315" s="114"/>
      <c r="G315" s="114"/>
      <c r="H315" s="114"/>
      <c r="I315" s="114"/>
      <c r="J315" s="114"/>
      <c r="K315" s="114"/>
      <c r="L315" s="114"/>
    </row>
    <row r="316" spans="1:12" x14ac:dyDescent="0.25">
      <c r="A316" s="114"/>
      <c r="B316" s="114"/>
      <c r="C316" s="114"/>
      <c r="D316" s="114"/>
      <c r="E316" s="114"/>
      <c r="F316" s="114"/>
      <c r="G316" s="114"/>
      <c r="H316" s="114"/>
      <c r="I316" s="114"/>
      <c r="J316" s="114"/>
      <c r="K316" s="114"/>
      <c r="L316" s="114"/>
    </row>
    <row r="317" spans="1:12" x14ac:dyDescent="0.25">
      <c r="A317" s="114"/>
      <c r="B317" s="114"/>
      <c r="C317" s="114"/>
      <c r="D317" s="114"/>
      <c r="E317" s="114"/>
      <c r="F317" s="114"/>
      <c r="G317" s="114"/>
      <c r="H317" s="114"/>
      <c r="I317" s="114"/>
      <c r="J317" s="114"/>
      <c r="K317" s="114"/>
      <c r="L317" s="114"/>
    </row>
    <row r="318" spans="1:12" x14ac:dyDescent="0.25">
      <c r="A318" s="114"/>
      <c r="B318" s="114"/>
      <c r="C318" s="114"/>
      <c r="D318" s="114"/>
      <c r="E318" s="114"/>
      <c r="F318" s="114"/>
      <c r="G318" s="114"/>
      <c r="H318" s="114"/>
      <c r="I318" s="114"/>
      <c r="J318" s="114"/>
      <c r="K318" s="114"/>
    </row>
    <row r="319" spans="1:12" x14ac:dyDescent="0.25">
      <c r="A319" s="114"/>
      <c r="B319" s="114"/>
      <c r="C319" s="114"/>
      <c r="D319" s="114"/>
      <c r="E319" s="114"/>
      <c r="F319" s="114"/>
      <c r="G319" s="114"/>
      <c r="H319" s="114"/>
      <c r="I319" s="114"/>
      <c r="J319" s="114"/>
      <c r="K319" s="114"/>
    </row>
    <row r="320" spans="1:12" x14ac:dyDescent="0.25">
      <c r="A320" s="114"/>
      <c r="B320" s="114"/>
      <c r="C320" s="114"/>
      <c r="D320" s="114"/>
      <c r="E320" s="114"/>
      <c r="F320" s="114"/>
      <c r="G320" s="114"/>
      <c r="H320" s="114"/>
      <c r="I320" s="114"/>
      <c r="J320" s="114"/>
      <c r="K320" s="114"/>
    </row>
    <row r="321" spans="1:11" x14ac:dyDescent="0.25">
      <c r="A321" s="114"/>
      <c r="B321" s="114"/>
      <c r="C321" s="114"/>
      <c r="D321" s="114"/>
      <c r="E321" s="114"/>
      <c r="F321" s="114"/>
      <c r="G321" s="114"/>
      <c r="H321" s="114"/>
      <c r="I321" s="114"/>
      <c r="J321" s="114"/>
      <c r="K321" s="114"/>
    </row>
    <row r="322" spans="1:11" x14ac:dyDescent="0.25">
      <c r="A322" s="114"/>
      <c r="B322" s="114"/>
      <c r="C322" s="114"/>
      <c r="D322" s="114"/>
      <c r="E322" s="114"/>
      <c r="F322" s="114"/>
      <c r="G322" s="114"/>
      <c r="H322" s="114"/>
      <c r="I322" s="114"/>
      <c r="J322" s="114"/>
      <c r="K322" s="114"/>
    </row>
    <row r="323" spans="1:11" x14ac:dyDescent="0.25">
      <c r="A323" s="114"/>
      <c r="B323" s="114"/>
      <c r="C323" s="114"/>
      <c r="D323" s="114"/>
      <c r="E323" s="114"/>
      <c r="F323" s="114"/>
      <c r="G323" s="114"/>
      <c r="H323" s="114"/>
      <c r="I323" s="114"/>
      <c r="J323" s="114"/>
      <c r="K323" s="114"/>
    </row>
    <row r="324" spans="1:11" x14ac:dyDescent="0.25">
      <c r="A324" s="114"/>
      <c r="B324" s="114"/>
      <c r="C324" s="114"/>
      <c r="D324" s="114"/>
      <c r="E324" s="114"/>
      <c r="F324" s="114"/>
      <c r="G324" s="114"/>
      <c r="H324" s="114"/>
      <c r="I324" s="114"/>
      <c r="J324" s="114"/>
      <c r="K324" s="114"/>
    </row>
    <row r="325" spans="1:11" x14ac:dyDescent="0.25">
      <c r="A325" s="114"/>
      <c r="B325" s="114"/>
      <c r="C325" s="114"/>
      <c r="D325" s="114"/>
      <c r="E325" s="114"/>
      <c r="F325" s="114"/>
      <c r="G325" s="114"/>
      <c r="H325" s="114"/>
      <c r="I325" s="114"/>
      <c r="J325" s="114"/>
      <c r="K325" s="114"/>
    </row>
    <row r="326" spans="1:11" x14ac:dyDescent="0.25">
      <c r="A326" s="114"/>
      <c r="B326" s="114"/>
      <c r="C326" s="114"/>
      <c r="D326" s="114"/>
      <c r="E326" s="114"/>
      <c r="F326" s="114"/>
      <c r="G326" s="114"/>
      <c r="H326" s="114"/>
      <c r="I326" s="114"/>
      <c r="J326" s="114"/>
      <c r="K326" s="114"/>
    </row>
    <row r="327" spans="1:11" x14ac:dyDescent="0.25">
      <c r="A327" s="114"/>
      <c r="B327" s="114"/>
      <c r="C327" s="114"/>
      <c r="D327" s="114"/>
      <c r="E327" s="114"/>
      <c r="F327" s="114"/>
      <c r="G327" s="114"/>
      <c r="H327" s="114"/>
      <c r="I327" s="114"/>
      <c r="J327" s="114"/>
      <c r="K327" s="114"/>
    </row>
    <row r="328" spans="1:11" x14ac:dyDescent="0.25">
      <c r="A328" s="114"/>
      <c r="B328" s="114"/>
      <c r="C328" s="114"/>
      <c r="D328" s="114"/>
      <c r="E328" s="114"/>
      <c r="F328" s="114"/>
      <c r="G328" s="114"/>
      <c r="H328" s="114"/>
      <c r="I328" s="114"/>
      <c r="J328" s="114"/>
      <c r="K328" s="114"/>
    </row>
    <row r="329" spans="1:11" x14ac:dyDescent="0.25">
      <c r="A329" s="114"/>
      <c r="B329" s="114"/>
      <c r="C329" s="114"/>
      <c r="D329" s="114"/>
      <c r="E329" s="114"/>
      <c r="F329" s="114"/>
      <c r="G329" s="114"/>
      <c r="H329" s="114"/>
      <c r="I329" s="114"/>
      <c r="J329" s="114"/>
      <c r="K329" s="114"/>
    </row>
    <row r="330" spans="1:11" x14ac:dyDescent="0.25">
      <c r="A330" s="114"/>
      <c r="B330" s="114"/>
      <c r="C330" s="114"/>
      <c r="D330" s="114"/>
      <c r="E330" s="114"/>
      <c r="F330" s="114"/>
      <c r="G330" s="114"/>
      <c r="H330" s="114"/>
      <c r="I330" s="114"/>
      <c r="J330" s="114"/>
      <c r="K330" s="114"/>
    </row>
    <row r="331" spans="1:11" x14ac:dyDescent="0.25">
      <c r="A331" s="114"/>
      <c r="B331" s="114"/>
      <c r="C331" s="114"/>
      <c r="D331" s="114"/>
      <c r="E331" s="114"/>
      <c r="F331" s="114"/>
      <c r="G331" s="114"/>
      <c r="H331" s="114"/>
      <c r="I331" s="114"/>
      <c r="J331" s="114"/>
      <c r="K331" s="114"/>
    </row>
    <row r="332" spans="1:11" x14ac:dyDescent="0.25">
      <c r="A332" s="114"/>
      <c r="B332" s="114"/>
      <c r="C332" s="114"/>
      <c r="D332" s="114"/>
      <c r="E332" s="114"/>
      <c r="F332" s="114"/>
      <c r="G332" s="114"/>
      <c r="H332" s="114"/>
      <c r="I332" s="114"/>
      <c r="J332" s="114"/>
      <c r="K332" s="114"/>
    </row>
    <row r="333" spans="1:11" x14ac:dyDescent="0.25">
      <c r="A333" s="114"/>
      <c r="B333" s="114"/>
      <c r="C333" s="114"/>
      <c r="D333" s="114"/>
      <c r="E333" s="114"/>
      <c r="F333" s="114"/>
      <c r="G333" s="114"/>
      <c r="H333" s="114"/>
      <c r="I333" s="114"/>
      <c r="J333" s="114"/>
      <c r="K333" s="114"/>
    </row>
    <row r="334" spans="1:11" x14ac:dyDescent="0.25">
      <c r="A334" s="114"/>
      <c r="B334" s="114"/>
      <c r="C334" s="114"/>
      <c r="D334" s="114"/>
      <c r="E334" s="114"/>
      <c r="F334" s="114"/>
      <c r="G334" s="114"/>
      <c r="H334" s="114"/>
      <c r="I334" s="114"/>
      <c r="J334" s="114"/>
      <c r="K334" s="114"/>
    </row>
    <row r="335" spans="1:11" x14ac:dyDescent="0.25">
      <c r="A335" s="114"/>
      <c r="B335" s="114"/>
      <c r="C335" s="114"/>
      <c r="D335" s="114"/>
      <c r="E335" s="114"/>
      <c r="F335" s="114"/>
      <c r="G335" s="114"/>
      <c r="H335" s="114"/>
      <c r="I335" s="114"/>
      <c r="J335" s="114"/>
      <c r="K335" s="114"/>
    </row>
    <row r="336" spans="1:11" x14ac:dyDescent="0.25">
      <c r="A336" s="114"/>
      <c r="B336" s="114"/>
      <c r="C336" s="114"/>
      <c r="D336" s="114"/>
      <c r="E336" s="114"/>
      <c r="F336" s="114"/>
      <c r="G336" s="114"/>
      <c r="H336" s="114"/>
      <c r="I336" s="114"/>
      <c r="J336" s="114"/>
      <c r="K336" s="114"/>
    </row>
    <row r="337" spans="1:11" x14ac:dyDescent="0.25">
      <c r="A337" s="114"/>
      <c r="B337" s="114"/>
      <c r="C337" s="114"/>
      <c r="D337" s="114"/>
      <c r="E337" s="114"/>
      <c r="F337" s="114"/>
      <c r="G337" s="114"/>
      <c r="H337" s="114"/>
      <c r="I337" s="114"/>
      <c r="J337" s="114"/>
      <c r="K337" s="114"/>
    </row>
    <row r="338" spans="1:11" x14ac:dyDescent="0.25">
      <c r="A338" s="114"/>
      <c r="B338" s="114"/>
      <c r="C338" s="114"/>
      <c r="D338" s="114"/>
      <c r="E338" s="114"/>
      <c r="F338" s="114"/>
      <c r="G338" s="114"/>
      <c r="H338" s="114"/>
      <c r="I338" s="114"/>
      <c r="J338" s="114"/>
      <c r="K338" s="114"/>
    </row>
    <row r="339" spans="1:11" x14ac:dyDescent="0.25">
      <c r="A339" s="114"/>
      <c r="B339" s="114"/>
      <c r="C339" s="114"/>
      <c r="D339" s="114"/>
      <c r="E339" s="114"/>
      <c r="F339" s="114"/>
      <c r="G339" s="114"/>
      <c r="H339" s="114"/>
      <c r="I339" s="114"/>
      <c r="J339" s="114"/>
      <c r="K339" s="114"/>
    </row>
    <row r="340" spans="1:11" x14ac:dyDescent="0.25">
      <c r="A340" s="114"/>
      <c r="B340" s="114"/>
      <c r="C340" s="114"/>
      <c r="D340" s="114"/>
      <c r="E340" s="114"/>
      <c r="F340" s="114"/>
      <c r="G340" s="114"/>
      <c r="H340" s="114"/>
      <c r="I340" s="114"/>
      <c r="J340" s="114"/>
      <c r="K340" s="114"/>
    </row>
    <row r="341" spans="1:11" x14ac:dyDescent="0.25">
      <c r="A341" s="114"/>
      <c r="B341" s="114"/>
      <c r="C341" s="114"/>
      <c r="D341" s="114"/>
      <c r="E341" s="114"/>
      <c r="F341" s="114"/>
      <c r="G341" s="114"/>
      <c r="H341" s="114"/>
      <c r="I341" s="114"/>
      <c r="J341" s="114"/>
      <c r="K341" s="114"/>
    </row>
    <row r="342" spans="1:11" x14ac:dyDescent="0.25">
      <c r="A342" s="114"/>
      <c r="B342" s="114"/>
      <c r="C342" s="114"/>
      <c r="D342" s="114"/>
      <c r="E342" s="114"/>
      <c r="F342" s="114"/>
      <c r="G342" s="114"/>
      <c r="H342" s="114"/>
      <c r="I342" s="114"/>
      <c r="J342" s="114"/>
      <c r="K342" s="114"/>
    </row>
    <row r="343" spans="1:11" x14ac:dyDescent="0.25">
      <c r="A343" s="114"/>
      <c r="B343" s="114"/>
      <c r="C343" s="114"/>
      <c r="D343" s="114"/>
      <c r="E343" s="114"/>
      <c r="F343" s="114"/>
      <c r="G343" s="114"/>
      <c r="H343" s="114"/>
      <c r="I343" s="114"/>
      <c r="J343" s="114"/>
      <c r="K343" s="114"/>
    </row>
    <row r="344" spans="1:11" x14ac:dyDescent="0.25">
      <c r="A344" s="114"/>
      <c r="B344" s="114"/>
      <c r="C344" s="114"/>
      <c r="D344" s="114"/>
      <c r="E344" s="114"/>
      <c r="F344" s="114"/>
      <c r="G344" s="114"/>
      <c r="H344" s="114"/>
      <c r="I344" s="114"/>
      <c r="J344" s="114"/>
      <c r="K344" s="114"/>
    </row>
    <row r="345" spans="1:11" x14ac:dyDescent="0.25">
      <c r="A345" s="114"/>
      <c r="B345" s="114"/>
      <c r="C345" s="114"/>
      <c r="D345" s="114"/>
      <c r="E345" s="114"/>
      <c r="F345" s="114"/>
      <c r="G345" s="114"/>
      <c r="H345" s="114"/>
      <c r="I345" s="114"/>
      <c r="J345" s="114"/>
      <c r="K345" s="114"/>
    </row>
    <row r="346" spans="1:11" x14ac:dyDescent="0.25">
      <c r="A346" s="114"/>
      <c r="B346" s="114"/>
      <c r="C346" s="114"/>
      <c r="D346" s="114"/>
      <c r="E346" s="114"/>
      <c r="F346" s="114"/>
      <c r="G346" s="114"/>
      <c r="H346" s="114"/>
      <c r="I346" s="114"/>
      <c r="J346" s="114"/>
      <c r="K346" s="114"/>
    </row>
    <row r="347" spans="1:11" x14ac:dyDescent="0.25">
      <c r="A347" s="114"/>
      <c r="B347" s="114"/>
      <c r="C347" s="114"/>
      <c r="D347" s="114"/>
      <c r="E347" s="114"/>
      <c r="F347" s="114"/>
      <c r="G347" s="114"/>
      <c r="H347" s="114"/>
      <c r="I347" s="114"/>
      <c r="J347" s="114"/>
      <c r="K347" s="114"/>
    </row>
    <row r="348" spans="1:11" x14ac:dyDescent="0.25">
      <c r="A348" s="114"/>
      <c r="B348" s="114"/>
      <c r="C348" s="114"/>
      <c r="D348" s="114"/>
      <c r="E348" s="114"/>
      <c r="F348" s="114"/>
      <c r="G348" s="114"/>
      <c r="H348" s="114"/>
      <c r="I348" s="114"/>
      <c r="J348" s="114"/>
      <c r="K348" s="114"/>
    </row>
    <row r="349" spans="1:11" x14ac:dyDescent="0.25">
      <c r="A349" s="114"/>
      <c r="B349" s="114"/>
      <c r="C349" s="114"/>
      <c r="D349" s="114"/>
      <c r="E349" s="114"/>
      <c r="F349" s="114"/>
      <c r="G349" s="114"/>
      <c r="H349" s="114"/>
      <c r="I349" s="114"/>
      <c r="J349" s="114"/>
      <c r="K349" s="114"/>
    </row>
    <row r="350" spans="1:11" x14ac:dyDescent="0.25">
      <c r="A350" s="114"/>
      <c r="B350" s="114"/>
      <c r="C350" s="114"/>
      <c r="D350" s="114"/>
      <c r="E350" s="114"/>
      <c r="F350" s="114"/>
      <c r="G350" s="114"/>
      <c r="H350" s="114"/>
      <c r="I350" s="114"/>
      <c r="J350" s="114"/>
      <c r="K350" s="114"/>
    </row>
    <row r="351" spans="1:11" x14ac:dyDescent="0.25">
      <c r="A351" s="114"/>
      <c r="B351" s="114"/>
      <c r="C351" s="114"/>
      <c r="D351" s="114"/>
      <c r="E351" s="114"/>
      <c r="F351" s="114"/>
      <c r="G351" s="114"/>
      <c r="H351" s="114"/>
      <c r="I351" s="114"/>
      <c r="J351" s="114"/>
      <c r="K351" s="114"/>
    </row>
    <row r="352" spans="1:11" x14ac:dyDescent="0.25">
      <c r="A352" s="114"/>
      <c r="B352" s="114"/>
      <c r="C352" s="114"/>
      <c r="D352" s="114"/>
      <c r="E352" s="114"/>
      <c r="F352" s="114"/>
      <c r="G352" s="114"/>
      <c r="H352" s="114"/>
      <c r="I352" s="114"/>
      <c r="J352" s="114"/>
      <c r="K352" s="114"/>
    </row>
    <row r="353" spans="1:11" x14ac:dyDescent="0.25">
      <c r="A353" s="114"/>
      <c r="B353" s="114"/>
      <c r="C353" s="114"/>
      <c r="D353" s="114"/>
      <c r="E353" s="114"/>
      <c r="F353" s="114"/>
      <c r="G353" s="114"/>
      <c r="H353" s="114"/>
      <c r="I353" s="114"/>
      <c r="J353" s="114"/>
      <c r="K353" s="114"/>
    </row>
    <row r="354" spans="1:11" x14ac:dyDescent="0.25">
      <c r="A354" s="114"/>
      <c r="B354" s="114"/>
      <c r="C354" s="114"/>
      <c r="D354" s="114"/>
      <c r="E354" s="114"/>
      <c r="F354" s="114"/>
      <c r="G354" s="114"/>
      <c r="H354" s="114"/>
      <c r="I354" s="114"/>
      <c r="J354" s="114"/>
      <c r="K354" s="114"/>
    </row>
    <row r="355" spans="1:11" x14ac:dyDescent="0.25">
      <c r="A355" s="114"/>
      <c r="B355" s="114"/>
      <c r="C355" s="114"/>
      <c r="D355" s="114"/>
      <c r="E355" s="114"/>
      <c r="F355" s="114"/>
      <c r="G355" s="114"/>
      <c r="H355" s="114"/>
      <c r="I355" s="114"/>
      <c r="J355" s="114"/>
      <c r="K355" s="114"/>
    </row>
    <row r="356" spans="1:11" x14ac:dyDescent="0.25">
      <c r="A356" s="114"/>
      <c r="B356" s="114"/>
      <c r="C356" s="114"/>
      <c r="D356" s="114"/>
      <c r="E356" s="114"/>
      <c r="F356" s="114"/>
      <c r="G356" s="114"/>
      <c r="H356" s="114"/>
      <c r="I356" s="114"/>
      <c r="J356" s="114"/>
      <c r="K356" s="114"/>
    </row>
    <row r="357" spans="1:11" x14ac:dyDescent="0.25">
      <c r="A357" s="114"/>
      <c r="B357" s="114"/>
      <c r="C357" s="114"/>
      <c r="D357" s="114"/>
      <c r="E357" s="114"/>
      <c r="F357" s="114"/>
      <c r="G357" s="114"/>
      <c r="H357" s="114"/>
      <c r="I357" s="114"/>
      <c r="J357" s="114"/>
      <c r="K357" s="114"/>
    </row>
    <row r="358" spans="1:11" x14ac:dyDescent="0.25">
      <c r="A358" s="114"/>
      <c r="B358" s="114"/>
      <c r="C358" s="114"/>
      <c r="D358" s="114"/>
      <c r="E358" s="114"/>
      <c r="F358" s="114"/>
      <c r="G358" s="114"/>
      <c r="H358" s="114"/>
      <c r="I358" s="114"/>
      <c r="J358" s="114"/>
      <c r="K358" s="114"/>
    </row>
    <row r="359" spans="1:11" x14ac:dyDescent="0.25">
      <c r="A359" s="114"/>
      <c r="B359" s="114"/>
      <c r="C359" s="114"/>
      <c r="D359" s="114"/>
      <c r="E359" s="114"/>
      <c r="F359" s="114"/>
      <c r="G359" s="114"/>
      <c r="H359" s="114"/>
      <c r="I359" s="114"/>
      <c r="J359" s="114"/>
      <c r="K359" s="114"/>
    </row>
    <row r="360" spans="1:11" x14ac:dyDescent="0.25">
      <c r="A360" s="114"/>
      <c r="B360" s="114"/>
      <c r="C360" s="114"/>
      <c r="D360" s="114"/>
      <c r="E360" s="114"/>
      <c r="F360" s="114"/>
      <c r="G360" s="114"/>
      <c r="H360" s="114"/>
      <c r="I360" s="114"/>
      <c r="J360" s="114"/>
      <c r="K360" s="114"/>
    </row>
    <row r="361" spans="1:11" x14ac:dyDescent="0.25">
      <c r="A361" s="114"/>
      <c r="B361" s="114"/>
      <c r="C361" s="114"/>
      <c r="D361" s="114"/>
      <c r="E361" s="114"/>
      <c r="F361" s="114"/>
      <c r="G361" s="114"/>
      <c r="H361" s="114"/>
      <c r="I361" s="114"/>
      <c r="J361" s="114"/>
      <c r="K361" s="114"/>
    </row>
    <row r="362" spans="1:11" x14ac:dyDescent="0.25">
      <c r="A362" s="114"/>
      <c r="B362" s="114"/>
      <c r="C362" s="114"/>
      <c r="D362" s="114"/>
      <c r="E362" s="114"/>
      <c r="F362" s="114"/>
      <c r="G362" s="114"/>
      <c r="H362" s="114"/>
      <c r="I362" s="114"/>
      <c r="J362" s="114"/>
      <c r="K362" s="114"/>
    </row>
    <row r="363" spans="1:11" x14ac:dyDescent="0.25">
      <c r="A363" s="114"/>
      <c r="B363" s="114"/>
      <c r="C363" s="114"/>
      <c r="D363" s="114"/>
      <c r="E363" s="114"/>
      <c r="F363" s="114"/>
      <c r="G363" s="114"/>
      <c r="H363" s="114"/>
      <c r="I363" s="114"/>
      <c r="J363" s="114"/>
      <c r="K363" s="114"/>
    </row>
    <row r="364" spans="1:11" x14ac:dyDescent="0.25">
      <c r="A364" s="114"/>
      <c r="B364" s="114"/>
      <c r="C364" s="114"/>
      <c r="D364" s="114"/>
      <c r="E364" s="114"/>
      <c r="F364" s="114"/>
      <c r="G364" s="114"/>
      <c r="H364" s="114"/>
      <c r="I364" s="114"/>
      <c r="J364" s="114"/>
      <c r="K364" s="114"/>
    </row>
    <row r="365" spans="1:11" x14ac:dyDescent="0.25">
      <c r="A365" s="114"/>
      <c r="B365" s="114"/>
      <c r="C365" s="114"/>
      <c r="D365" s="114"/>
      <c r="E365" s="114"/>
      <c r="F365" s="114"/>
      <c r="G365" s="114"/>
      <c r="H365" s="114"/>
      <c r="I365" s="114"/>
      <c r="J365" s="114"/>
      <c r="K365" s="114"/>
    </row>
    <row r="366" spans="1:11" x14ac:dyDescent="0.25">
      <c r="A366" s="114"/>
      <c r="B366" s="114"/>
      <c r="C366" s="114"/>
      <c r="D366" s="114"/>
      <c r="E366" s="114"/>
      <c r="F366" s="114"/>
      <c r="G366" s="114"/>
      <c r="H366" s="114"/>
      <c r="I366" s="114"/>
      <c r="J366" s="114"/>
      <c r="K366" s="114"/>
    </row>
    <row r="367" spans="1:11" x14ac:dyDescent="0.25">
      <c r="A367" s="114"/>
      <c r="B367" s="114"/>
      <c r="C367" s="114"/>
      <c r="D367" s="114"/>
      <c r="E367" s="114"/>
      <c r="F367" s="114"/>
      <c r="G367" s="114"/>
      <c r="H367" s="114"/>
      <c r="I367" s="114"/>
      <c r="J367" s="114"/>
      <c r="K367" s="114"/>
    </row>
    <row r="368" spans="1:11" x14ac:dyDescent="0.25">
      <c r="A368" s="114"/>
      <c r="B368" s="114"/>
      <c r="C368" s="114"/>
      <c r="D368" s="114"/>
      <c r="E368" s="114"/>
      <c r="F368" s="114"/>
      <c r="G368" s="114"/>
      <c r="H368" s="114"/>
      <c r="I368" s="114"/>
      <c r="J368" s="114"/>
      <c r="K368" s="114"/>
    </row>
    <row r="369" spans="1:11" x14ac:dyDescent="0.25">
      <c r="A369" s="114"/>
      <c r="B369" s="114"/>
      <c r="C369" s="114"/>
      <c r="D369" s="114"/>
      <c r="E369" s="114"/>
      <c r="F369" s="114"/>
      <c r="G369" s="114"/>
      <c r="H369" s="114"/>
      <c r="I369" s="114"/>
      <c r="J369" s="114"/>
      <c r="K369" s="114"/>
    </row>
    <row r="370" spans="1:11" x14ac:dyDescent="0.25">
      <c r="A370" s="114"/>
      <c r="B370" s="114"/>
      <c r="C370" s="114"/>
      <c r="D370" s="114"/>
      <c r="E370" s="114"/>
      <c r="F370" s="114"/>
      <c r="G370" s="114"/>
      <c r="H370" s="114"/>
      <c r="I370" s="114"/>
      <c r="J370" s="114"/>
      <c r="K370" s="114"/>
    </row>
    <row r="371" spans="1:11" x14ac:dyDescent="0.25">
      <c r="A371" s="114"/>
      <c r="B371" s="114"/>
      <c r="C371" s="114"/>
      <c r="D371" s="114"/>
      <c r="E371" s="114"/>
      <c r="F371" s="114"/>
      <c r="G371" s="114"/>
      <c r="H371" s="114"/>
      <c r="I371" s="114"/>
      <c r="J371" s="114"/>
      <c r="K371" s="114"/>
    </row>
    <row r="372" spans="1:11" x14ac:dyDescent="0.25">
      <c r="A372" s="114"/>
      <c r="B372" s="114"/>
      <c r="C372" s="114"/>
      <c r="D372" s="114"/>
      <c r="E372" s="114"/>
      <c r="F372" s="114"/>
      <c r="G372" s="114"/>
      <c r="H372" s="114"/>
      <c r="I372" s="114"/>
      <c r="J372" s="114"/>
      <c r="K372" s="114"/>
    </row>
    <row r="373" spans="1:11" x14ac:dyDescent="0.25">
      <c r="A373" s="114"/>
      <c r="B373" s="114"/>
      <c r="C373" s="114"/>
      <c r="D373" s="114"/>
      <c r="E373" s="114"/>
      <c r="F373" s="114"/>
      <c r="G373" s="114"/>
      <c r="H373" s="114"/>
      <c r="I373" s="114"/>
      <c r="J373" s="114"/>
      <c r="K373" s="114"/>
    </row>
    <row r="374" spans="1:11" x14ac:dyDescent="0.25">
      <c r="A374" s="114"/>
      <c r="B374" s="114"/>
      <c r="C374" s="114"/>
      <c r="D374" s="114"/>
      <c r="E374" s="114"/>
      <c r="F374" s="114"/>
      <c r="G374" s="114"/>
      <c r="H374" s="114"/>
      <c r="I374" s="114"/>
      <c r="J374" s="114"/>
      <c r="K374" s="114"/>
    </row>
    <row r="375" spans="1:11" x14ac:dyDescent="0.25">
      <c r="A375" s="114"/>
      <c r="B375" s="114"/>
      <c r="C375" s="114"/>
      <c r="D375" s="114"/>
      <c r="E375" s="114"/>
      <c r="F375" s="114"/>
      <c r="G375" s="114"/>
      <c r="H375" s="114"/>
      <c r="I375" s="114"/>
      <c r="J375" s="114"/>
      <c r="K375" s="114"/>
    </row>
    <row r="376" spans="1:11" x14ac:dyDescent="0.25">
      <c r="A376" s="114"/>
      <c r="B376" s="114"/>
      <c r="C376" s="114"/>
      <c r="D376" s="114"/>
      <c r="E376" s="114"/>
      <c r="F376" s="114"/>
      <c r="G376" s="114"/>
      <c r="H376" s="114"/>
      <c r="I376" s="114"/>
      <c r="J376" s="114"/>
      <c r="K376" s="114"/>
    </row>
    <row r="377" spans="1:11" x14ac:dyDescent="0.25">
      <c r="A377" s="114"/>
      <c r="B377" s="114"/>
      <c r="C377" s="114"/>
      <c r="D377" s="114"/>
      <c r="E377" s="114"/>
      <c r="F377" s="114"/>
      <c r="G377" s="114"/>
      <c r="H377" s="114"/>
      <c r="I377" s="114"/>
      <c r="J377" s="114"/>
      <c r="K377" s="114"/>
    </row>
    <row r="378" spans="1:11" x14ac:dyDescent="0.25">
      <c r="A378" s="114"/>
      <c r="B378" s="114"/>
      <c r="C378" s="114"/>
      <c r="D378" s="114"/>
      <c r="E378" s="114"/>
      <c r="F378" s="114"/>
      <c r="G378" s="114"/>
      <c r="H378" s="114"/>
      <c r="I378" s="114"/>
      <c r="J378" s="114"/>
      <c r="K378" s="114"/>
    </row>
    <row r="379" spans="1:11" x14ac:dyDescent="0.25">
      <c r="A379" s="114"/>
      <c r="B379" s="114"/>
      <c r="C379" s="114"/>
      <c r="D379" s="114"/>
      <c r="E379" s="114"/>
      <c r="F379" s="114"/>
      <c r="G379" s="114"/>
      <c r="H379" s="114"/>
      <c r="I379" s="114"/>
      <c r="J379" s="114"/>
      <c r="K379" s="114"/>
    </row>
    <row r="380" spans="1:11" x14ac:dyDescent="0.25">
      <c r="A380" s="114"/>
      <c r="B380" s="114"/>
      <c r="C380" s="114"/>
      <c r="D380" s="114"/>
      <c r="E380" s="114"/>
      <c r="F380" s="114"/>
      <c r="G380" s="114"/>
      <c r="H380" s="114"/>
      <c r="I380" s="114"/>
      <c r="J380" s="114"/>
      <c r="K380" s="114"/>
    </row>
    <row r="381" spans="1:11" x14ac:dyDescent="0.25">
      <c r="A381" s="114"/>
      <c r="B381" s="114"/>
      <c r="C381" s="114"/>
      <c r="D381" s="114"/>
      <c r="E381" s="114"/>
      <c r="F381" s="114"/>
      <c r="G381" s="114"/>
      <c r="H381" s="114"/>
      <c r="I381" s="114"/>
      <c r="J381" s="114"/>
      <c r="K381" s="114"/>
    </row>
    <row r="382" spans="1:11" x14ac:dyDescent="0.25">
      <c r="A382" s="114"/>
      <c r="B382" s="114"/>
      <c r="C382" s="114"/>
      <c r="D382" s="114"/>
      <c r="E382" s="114"/>
      <c r="F382" s="114"/>
      <c r="G382" s="114"/>
      <c r="H382" s="114"/>
      <c r="I382" s="114"/>
      <c r="J382" s="114"/>
      <c r="K382" s="114"/>
    </row>
    <row r="383" spans="1:11" x14ac:dyDescent="0.25">
      <c r="A383" s="114"/>
      <c r="B383" s="114"/>
      <c r="C383" s="114"/>
      <c r="D383" s="114"/>
      <c r="E383" s="114"/>
      <c r="F383" s="114"/>
      <c r="G383" s="114"/>
      <c r="H383" s="114"/>
      <c r="I383" s="114"/>
      <c r="J383" s="114"/>
      <c r="K383" s="114"/>
    </row>
    <row r="384" spans="1:11" x14ac:dyDescent="0.25">
      <c r="A384" s="114"/>
      <c r="B384" s="114"/>
      <c r="C384" s="114"/>
      <c r="D384" s="114"/>
      <c r="E384" s="114"/>
      <c r="F384" s="114"/>
      <c r="G384" s="114"/>
      <c r="H384" s="114"/>
      <c r="I384" s="114"/>
      <c r="J384" s="114"/>
      <c r="K384" s="114"/>
    </row>
    <row r="385" spans="1:11" x14ac:dyDescent="0.25">
      <c r="A385" s="114"/>
      <c r="B385" s="114"/>
      <c r="C385" s="114"/>
      <c r="D385" s="114"/>
      <c r="E385" s="114"/>
      <c r="F385" s="114"/>
      <c r="G385" s="114"/>
      <c r="H385" s="114"/>
      <c r="I385" s="114"/>
      <c r="J385" s="114"/>
      <c r="K385" s="114"/>
    </row>
    <row r="386" spans="1:11" x14ac:dyDescent="0.25">
      <c r="A386" s="114"/>
      <c r="B386" s="114"/>
      <c r="C386" s="114"/>
      <c r="D386" s="114"/>
      <c r="E386" s="114"/>
      <c r="F386" s="114"/>
      <c r="G386" s="114"/>
      <c r="H386" s="114"/>
      <c r="I386" s="114"/>
      <c r="J386" s="114"/>
      <c r="K386" s="114"/>
    </row>
    <row r="387" spans="1:11" x14ac:dyDescent="0.25">
      <c r="A387" s="114"/>
      <c r="B387" s="114"/>
      <c r="C387" s="114"/>
      <c r="D387" s="114"/>
      <c r="E387" s="114"/>
      <c r="F387" s="114"/>
      <c r="G387" s="114"/>
      <c r="H387" s="114"/>
      <c r="I387" s="114"/>
      <c r="J387" s="114"/>
      <c r="K387" s="114"/>
    </row>
    <row r="388" spans="1:11" x14ac:dyDescent="0.25">
      <c r="A388" s="114"/>
      <c r="B388" s="114"/>
      <c r="C388" s="114"/>
      <c r="D388" s="114"/>
      <c r="E388" s="114"/>
      <c r="F388" s="114"/>
      <c r="G388" s="114"/>
      <c r="H388" s="114"/>
      <c r="I388" s="114"/>
      <c r="J388" s="114"/>
      <c r="K388" s="114"/>
    </row>
    <row r="389" spans="1:11" x14ac:dyDescent="0.25">
      <c r="A389" s="114"/>
      <c r="B389" s="114"/>
      <c r="C389" s="114"/>
      <c r="D389" s="114"/>
      <c r="E389" s="114"/>
      <c r="F389" s="114"/>
      <c r="G389" s="114"/>
      <c r="H389" s="114"/>
      <c r="I389" s="114"/>
      <c r="J389" s="114"/>
      <c r="K389" s="114"/>
    </row>
    <row r="390" spans="1:11" x14ac:dyDescent="0.25">
      <c r="A390" s="114"/>
      <c r="B390" s="114"/>
      <c r="C390" s="114"/>
      <c r="D390" s="114"/>
      <c r="E390" s="114"/>
      <c r="F390" s="114"/>
      <c r="G390" s="114"/>
      <c r="H390" s="114"/>
      <c r="I390" s="114"/>
      <c r="J390" s="114"/>
      <c r="K390" s="114"/>
    </row>
    <row r="391" spans="1:11" x14ac:dyDescent="0.25">
      <c r="A391" s="114"/>
      <c r="B391" s="114"/>
      <c r="C391" s="114"/>
      <c r="D391" s="114"/>
      <c r="E391" s="114"/>
      <c r="F391" s="114"/>
      <c r="G391" s="114"/>
      <c r="H391" s="114"/>
      <c r="I391" s="114"/>
      <c r="J391" s="114"/>
      <c r="K391" s="114"/>
    </row>
    <row r="392" spans="1:11" x14ac:dyDescent="0.25">
      <c r="A392" s="114"/>
      <c r="B392" s="114"/>
      <c r="C392" s="114"/>
      <c r="D392" s="114"/>
      <c r="E392" s="114"/>
      <c r="F392" s="114"/>
      <c r="G392" s="114"/>
      <c r="H392" s="114"/>
      <c r="I392" s="114"/>
      <c r="J392" s="114"/>
      <c r="K392" s="114"/>
    </row>
    <row r="393" spans="1:11" x14ac:dyDescent="0.25">
      <c r="A393" s="114"/>
      <c r="B393" s="114"/>
      <c r="C393" s="114"/>
      <c r="D393" s="114"/>
      <c r="E393" s="114"/>
      <c r="F393" s="114"/>
      <c r="G393" s="114"/>
      <c r="H393" s="114"/>
      <c r="I393" s="114"/>
      <c r="J393" s="114"/>
      <c r="K393" s="114"/>
    </row>
    <row r="394" spans="1:11" x14ac:dyDescent="0.25">
      <c r="A394" s="114"/>
      <c r="B394" s="114"/>
      <c r="C394" s="114"/>
      <c r="D394" s="114"/>
      <c r="E394" s="114"/>
      <c r="F394" s="114"/>
      <c r="G394" s="114"/>
      <c r="H394" s="114"/>
      <c r="I394" s="114"/>
      <c r="J394" s="114"/>
      <c r="K394" s="114"/>
    </row>
    <row r="395" spans="1:11" x14ac:dyDescent="0.25">
      <c r="A395" s="114"/>
      <c r="B395" s="114"/>
      <c r="C395" s="114"/>
      <c r="D395" s="114"/>
      <c r="E395" s="114"/>
      <c r="F395" s="114"/>
      <c r="G395" s="114"/>
      <c r="H395" s="114"/>
      <c r="I395" s="114"/>
      <c r="J395" s="114"/>
      <c r="K395" s="114"/>
    </row>
    <row r="396" spans="1:11" x14ac:dyDescent="0.25">
      <c r="A396" s="114"/>
      <c r="B396" s="114"/>
      <c r="C396" s="114"/>
      <c r="D396" s="114"/>
      <c r="E396" s="114"/>
      <c r="F396" s="114"/>
      <c r="G396" s="114"/>
      <c r="H396" s="114"/>
      <c r="I396" s="114"/>
      <c r="J396" s="114"/>
      <c r="K396" s="114"/>
    </row>
    <row r="397" spans="1:11" x14ac:dyDescent="0.25">
      <c r="A397" s="114"/>
      <c r="B397" s="114"/>
      <c r="C397" s="114"/>
      <c r="D397" s="114"/>
      <c r="E397" s="114"/>
      <c r="F397" s="114"/>
      <c r="G397" s="114"/>
      <c r="H397" s="114"/>
      <c r="I397" s="114"/>
      <c r="J397" s="114"/>
      <c r="K397" s="114"/>
    </row>
    <row r="398" spans="1:11" x14ac:dyDescent="0.25">
      <c r="A398" s="114"/>
      <c r="B398" s="114"/>
      <c r="C398" s="114"/>
      <c r="D398" s="114"/>
      <c r="E398" s="114"/>
      <c r="F398" s="114"/>
      <c r="G398" s="114"/>
      <c r="H398" s="114"/>
      <c r="I398" s="114"/>
      <c r="J398" s="114"/>
      <c r="K398" s="114"/>
    </row>
    <row r="399" spans="1:11" x14ac:dyDescent="0.25">
      <c r="A399" s="114"/>
      <c r="B399" s="114"/>
      <c r="C399" s="114"/>
      <c r="D399" s="114"/>
      <c r="E399" s="114"/>
      <c r="F399" s="114"/>
      <c r="G399" s="114"/>
      <c r="H399" s="114"/>
      <c r="I399" s="114"/>
      <c r="J399" s="114"/>
      <c r="K399" s="114"/>
    </row>
    <row r="400" spans="1:11" x14ac:dyDescent="0.25">
      <c r="A400" s="114"/>
      <c r="B400" s="114"/>
      <c r="C400" s="114"/>
      <c r="D400" s="114"/>
      <c r="E400" s="114"/>
      <c r="F400" s="114"/>
      <c r="G400" s="114"/>
      <c r="H400" s="114"/>
      <c r="I400" s="114"/>
      <c r="J400" s="114"/>
      <c r="K400" s="114"/>
    </row>
    <row r="401" spans="1:11" x14ac:dyDescent="0.25">
      <c r="A401" s="114"/>
      <c r="B401" s="114"/>
      <c r="C401" s="114"/>
      <c r="D401" s="114"/>
      <c r="E401" s="114"/>
      <c r="F401" s="114"/>
      <c r="G401" s="114"/>
      <c r="H401" s="114"/>
      <c r="I401" s="114"/>
      <c r="J401" s="114"/>
      <c r="K401" s="114"/>
    </row>
    <row r="402" spans="1:11" x14ac:dyDescent="0.25">
      <c r="A402" s="114"/>
      <c r="B402" s="114"/>
      <c r="C402" s="114"/>
      <c r="D402" s="114"/>
      <c r="E402" s="114"/>
      <c r="F402" s="114"/>
      <c r="G402" s="114"/>
      <c r="H402" s="114"/>
      <c r="I402" s="114"/>
      <c r="J402" s="114"/>
      <c r="K402" s="114"/>
    </row>
    <row r="403" spans="1:11" x14ac:dyDescent="0.25">
      <c r="A403" s="114"/>
      <c r="B403" s="114"/>
      <c r="C403" s="114"/>
      <c r="D403" s="114"/>
      <c r="E403" s="114"/>
      <c r="F403" s="114"/>
      <c r="G403" s="114"/>
      <c r="H403" s="114"/>
      <c r="I403" s="114"/>
      <c r="J403" s="114"/>
      <c r="K403" s="114"/>
    </row>
    <row r="404" spans="1:11" x14ac:dyDescent="0.25">
      <c r="A404" s="114"/>
      <c r="B404" s="114"/>
      <c r="C404" s="114"/>
      <c r="D404" s="114"/>
      <c r="E404" s="114"/>
      <c r="F404" s="114"/>
      <c r="G404" s="114"/>
      <c r="H404" s="114"/>
      <c r="I404" s="114"/>
      <c r="J404" s="114"/>
      <c r="K404" s="114"/>
    </row>
    <row r="405" spans="1:11" x14ac:dyDescent="0.25">
      <c r="A405" s="114"/>
      <c r="B405" s="114"/>
      <c r="C405" s="114"/>
      <c r="D405" s="114"/>
      <c r="E405" s="114"/>
      <c r="F405" s="114"/>
      <c r="G405" s="114"/>
      <c r="H405" s="114"/>
      <c r="I405" s="114"/>
      <c r="J405" s="114"/>
      <c r="K405" s="114"/>
    </row>
    <row r="406" spans="1:11" x14ac:dyDescent="0.25">
      <c r="A406" s="114"/>
      <c r="B406" s="114"/>
      <c r="C406" s="114"/>
      <c r="D406" s="114"/>
      <c r="E406" s="114"/>
      <c r="F406" s="114"/>
      <c r="G406" s="114"/>
      <c r="H406" s="114"/>
      <c r="I406" s="114"/>
      <c r="J406" s="114"/>
      <c r="K406" s="114"/>
    </row>
    <row r="407" spans="1:11" x14ac:dyDescent="0.25">
      <c r="A407" s="114"/>
      <c r="B407" s="114"/>
      <c r="C407" s="114"/>
      <c r="D407" s="114"/>
      <c r="E407" s="114"/>
      <c r="F407" s="114"/>
      <c r="G407" s="114"/>
      <c r="H407" s="114"/>
      <c r="I407" s="114"/>
      <c r="J407" s="114"/>
      <c r="K407" s="114"/>
    </row>
    <row r="408" spans="1:11" x14ac:dyDescent="0.25">
      <c r="A408" s="114"/>
      <c r="B408" s="114"/>
      <c r="C408" s="114"/>
      <c r="D408" s="114"/>
      <c r="E408" s="114"/>
      <c r="F408" s="114"/>
      <c r="G408" s="114"/>
      <c r="H408" s="114"/>
      <c r="I408" s="114"/>
      <c r="J408" s="114"/>
      <c r="K408" s="114"/>
    </row>
    <row r="409" spans="1:11" x14ac:dyDescent="0.25">
      <c r="A409" s="114"/>
      <c r="B409" s="114"/>
      <c r="C409" s="114"/>
      <c r="D409" s="114"/>
      <c r="E409" s="114"/>
      <c r="F409" s="114"/>
      <c r="G409" s="114"/>
      <c r="H409" s="114"/>
      <c r="I409" s="114"/>
      <c r="J409" s="114"/>
      <c r="K409" s="114"/>
    </row>
    <row r="410" spans="1:11" x14ac:dyDescent="0.25">
      <c r="A410" s="114"/>
      <c r="B410" s="114"/>
      <c r="C410" s="114"/>
      <c r="D410" s="114"/>
      <c r="E410" s="114"/>
      <c r="F410" s="114"/>
      <c r="G410" s="114"/>
      <c r="H410" s="114"/>
      <c r="I410" s="114"/>
      <c r="J410" s="114"/>
      <c r="K410" s="114"/>
    </row>
    <row r="411" spans="1:11" x14ac:dyDescent="0.25">
      <c r="A411" s="114"/>
      <c r="B411" s="114"/>
      <c r="C411" s="114"/>
      <c r="D411" s="114"/>
      <c r="E411" s="114"/>
      <c r="F411" s="114"/>
      <c r="G411" s="114"/>
      <c r="H411" s="114"/>
      <c r="I411" s="114"/>
      <c r="J411" s="114"/>
      <c r="K411" s="114"/>
    </row>
    <row r="412" spans="1:11" x14ac:dyDescent="0.25">
      <c r="A412" s="114"/>
      <c r="B412" s="114"/>
      <c r="C412" s="114"/>
      <c r="D412" s="114"/>
      <c r="E412" s="114"/>
      <c r="F412" s="114"/>
      <c r="G412" s="114"/>
      <c r="H412" s="114"/>
      <c r="I412" s="114"/>
      <c r="J412" s="114"/>
      <c r="K412" s="114"/>
    </row>
    <row r="413" spans="1:11" x14ac:dyDescent="0.25">
      <c r="A413" s="114"/>
      <c r="B413" s="114"/>
      <c r="C413" s="114"/>
      <c r="D413" s="114"/>
      <c r="E413" s="114"/>
      <c r="F413" s="114"/>
      <c r="G413" s="114"/>
      <c r="H413" s="114"/>
      <c r="I413" s="114"/>
      <c r="J413" s="114"/>
      <c r="K413" s="114"/>
    </row>
    <row r="414" spans="1:11" x14ac:dyDescent="0.25">
      <c r="A414" s="114"/>
      <c r="B414" s="114"/>
      <c r="C414" s="114"/>
      <c r="D414" s="114"/>
      <c r="E414" s="114"/>
      <c r="F414" s="114"/>
      <c r="G414" s="114"/>
      <c r="H414" s="114"/>
      <c r="I414" s="114"/>
      <c r="J414" s="114"/>
      <c r="K414" s="114"/>
    </row>
    <row r="415" spans="1:11" x14ac:dyDescent="0.25">
      <c r="A415" s="114"/>
      <c r="B415" s="114"/>
      <c r="C415" s="114"/>
      <c r="D415" s="114"/>
      <c r="E415" s="114"/>
      <c r="F415" s="114"/>
      <c r="G415" s="114"/>
      <c r="H415" s="114"/>
      <c r="I415" s="114"/>
      <c r="J415" s="114"/>
      <c r="K415" s="114"/>
    </row>
    <row r="416" spans="1:11" x14ac:dyDescent="0.25">
      <c r="A416" s="114"/>
      <c r="B416" s="114"/>
      <c r="C416" s="114"/>
      <c r="D416" s="114"/>
      <c r="E416" s="114"/>
      <c r="F416" s="114"/>
      <c r="G416" s="114"/>
      <c r="H416" s="114"/>
      <c r="I416" s="114"/>
      <c r="J416" s="114"/>
      <c r="K416" s="114"/>
    </row>
    <row r="417" spans="1:11" x14ac:dyDescent="0.25">
      <c r="A417" s="114"/>
      <c r="B417" s="114"/>
      <c r="C417" s="114"/>
      <c r="D417" s="114"/>
      <c r="E417" s="114"/>
      <c r="F417" s="114"/>
      <c r="G417" s="114"/>
      <c r="H417" s="114"/>
      <c r="I417" s="114"/>
      <c r="J417" s="114"/>
      <c r="K417" s="114"/>
    </row>
    <row r="418" spans="1:11" x14ac:dyDescent="0.25">
      <c r="A418" s="114"/>
      <c r="B418" s="114"/>
      <c r="C418" s="114"/>
      <c r="D418" s="114"/>
      <c r="E418" s="114"/>
      <c r="F418" s="114"/>
      <c r="G418" s="114"/>
      <c r="H418" s="114"/>
      <c r="I418" s="114"/>
      <c r="J418" s="114"/>
      <c r="K418" s="114"/>
    </row>
    <row r="419" spans="1:11" x14ac:dyDescent="0.25">
      <c r="A419" s="114"/>
      <c r="B419" s="114"/>
      <c r="C419" s="114"/>
      <c r="D419" s="114"/>
      <c r="E419" s="114"/>
      <c r="F419" s="114"/>
      <c r="G419" s="114"/>
      <c r="H419" s="114"/>
      <c r="I419" s="114"/>
      <c r="J419" s="114"/>
      <c r="K419" s="114"/>
    </row>
    <row r="420" spans="1:11" x14ac:dyDescent="0.25">
      <c r="A420" s="114"/>
      <c r="B420" s="114"/>
      <c r="C420" s="114"/>
      <c r="D420" s="114"/>
      <c r="E420" s="114"/>
      <c r="F420" s="114"/>
      <c r="G420" s="114"/>
      <c r="H420" s="114"/>
      <c r="I420" s="114"/>
      <c r="J420" s="114"/>
      <c r="K420" s="114"/>
    </row>
    <row r="421" spans="1:11" x14ac:dyDescent="0.25">
      <c r="A421" s="114"/>
      <c r="B421" s="114"/>
      <c r="C421" s="114"/>
      <c r="D421" s="114"/>
      <c r="E421" s="114"/>
      <c r="F421" s="114"/>
      <c r="G421" s="114"/>
      <c r="H421" s="114"/>
      <c r="I421" s="114"/>
      <c r="J421" s="114"/>
      <c r="K421" s="114"/>
    </row>
    <row r="422" spans="1:11" x14ac:dyDescent="0.25">
      <c r="A422" s="114"/>
      <c r="B422" s="114"/>
      <c r="C422" s="114"/>
      <c r="D422" s="114"/>
      <c r="E422" s="114"/>
      <c r="F422" s="114"/>
      <c r="G422" s="114"/>
      <c r="H422" s="114"/>
      <c r="I422" s="114"/>
      <c r="J422" s="114"/>
      <c r="K422" s="114"/>
    </row>
    <row r="423" spans="1:11" x14ac:dyDescent="0.25">
      <c r="A423" s="114"/>
      <c r="B423" s="114"/>
      <c r="C423" s="114"/>
      <c r="D423" s="114"/>
      <c r="E423" s="114"/>
      <c r="F423" s="114"/>
      <c r="G423" s="114"/>
      <c r="H423" s="114"/>
      <c r="I423" s="114"/>
      <c r="J423" s="114"/>
      <c r="K423" s="114"/>
    </row>
    <row r="424" spans="1:11" x14ac:dyDescent="0.25">
      <c r="A424" s="114"/>
      <c r="B424" s="114"/>
      <c r="C424" s="114"/>
      <c r="D424" s="114"/>
      <c r="E424" s="114"/>
      <c r="F424" s="114"/>
      <c r="G424" s="114"/>
      <c r="H424" s="114"/>
      <c r="I424" s="114"/>
      <c r="J424" s="114"/>
      <c r="K424" s="114"/>
    </row>
    <row r="425" spans="1:11" x14ac:dyDescent="0.25">
      <c r="A425" s="114"/>
      <c r="B425" s="114"/>
      <c r="C425" s="114"/>
      <c r="D425" s="114"/>
      <c r="E425" s="114"/>
      <c r="F425" s="114"/>
      <c r="G425" s="114"/>
      <c r="H425" s="114"/>
      <c r="I425" s="114"/>
      <c r="J425" s="114"/>
      <c r="K425" s="114"/>
    </row>
    <row r="426" spans="1:11" x14ac:dyDescent="0.25">
      <c r="A426" s="114"/>
      <c r="B426" s="114"/>
      <c r="C426" s="114"/>
      <c r="D426" s="114"/>
      <c r="E426" s="114"/>
      <c r="F426" s="114"/>
      <c r="G426" s="114"/>
      <c r="H426" s="114"/>
      <c r="I426" s="114"/>
      <c r="J426" s="114"/>
      <c r="K426" s="114"/>
    </row>
    <row r="427" spans="1:11" x14ac:dyDescent="0.25">
      <c r="A427" s="114"/>
      <c r="B427" s="114"/>
      <c r="C427" s="114"/>
      <c r="D427" s="114"/>
      <c r="E427" s="114"/>
      <c r="F427" s="114"/>
      <c r="G427" s="114"/>
      <c r="H427" s="114"/>
      <c r="I427" s="114"/>
      <c r="J427" s="114"/>
      <c r="K427" s="114"/>
    </row>
    <row r="428" spans="1:11" x14ac:dyDescent="0.25">
      <c r="A428" s="114"/>
      <c r="B428" s="114"/>
      <c r="C428" s="114"/>
      <c r="D428" s="114"/>
      <c r="E428" s="114"/>
      <c r="F428" s="114"/>
      <c r="G428" s="114"/>
      <c r="H428" s="114"/>
      <c r="I428" s="114"/>
      <c r="J428" s="114"/>
      <c r="K428" s="114"/>
    </row>
    <row r="429" spans="1:11" x14ac:dyDescent="0.25">
      <c r="A429" s="114"/>
      <c r="B429" s="114"/>
      <c r="C429" s="114"/>
      <c r="D429" s="114"/>
      <c r="E429" s="114"/>
      <c r="F429" s="114"/>
      <c r="G429" s="114"/>
      <c r="H429" s="114"/>
      <c r="I429" s="114"/>
      <c r="J429" s="114"/>
      <c r="K429" s="114"/>
    </row>
    <row r="430" spans="1:11" x14ac:dyDescent="0.25">
      <c r="A430" s="114"/>
      <c r="B430" s="114"/>
      <c r="C430" s="114"/>
      <c r="D430" s="114"/>
      <c r="E430" s="114"/>
      <c r="F430" s="114"/>
      <c r="G430" s="114"/>
      <c r="H430" s="114"/>
      <c r="I430" s="114"/>
      <c r="J430" s="114"/>
      <c r="K430" s="114"/>
    </row>
    <row r="431" spans="1:11" x14ac:dyDescent="0.25">
      <c r="A431" s="114"/>
      <c r="B431" s="114"/>
      <c r="C431" s="114"/>
      <c r="D431" s="114"/>
      <c r="E431" s="114"/>
      <c r="F431" s="114"/>
      <c r="G431" s="114"/>
      <c r="H431" s="114"/>
      <c r="I431" s="114"/>
      <c r="J431" s="114"/>
      <c r="K431" s="114"/>
    </row>
    <row r="432" spans="1:11" x14ac:dyDescent="0.25">
      <c r="A432" s="114"/>
      <c r="B432" s="114"/>
      <c r="C432" s="114"/>
      <c r="D432" s="114"/>
      <c r="E432" s="114"/>
      <c r="F432" s="114"/>
      <c r="G432" s="114"/>
      <c r="H432" s="114"/>
      <c r="I432" s="114"/>
      <c r="J432" s="114"/>
      <c r="K432" s="114"/>
    </row>
    <row r="433" spans="1:11" x14ac:dyDescent="0.25">
      <c r="A433" s="114"/>
      <c r="B433" s="114"/>
      <c r="C433" s="114"/>
      <c r="D433" s="114"/>
      <c r="E433" s="114"/>
      <c r="F433" s="114"/>
      <c r="G433" s="114"/>
      <c r="H433" s="114"/>
      <c r="I433" s="114"/>
      <c r="J433" s="114"/>
      <c r="K433" s="114"/>
    </row>
    <row r="434" spans="1:11" x14ac:dyDescent="0.25">
      <c r="A434" s="114"/>
      <c r="B434" s="114"/>
      <c r="C434" s="114"/>
      <c r="D434" s="114"/>
      <c r="E434" s="114"/>
      <c r="F434" s="114"/>
      <c r="G434" s="114"/>
      <c r="H434" s="114"/>
      <c r="I434" s="114"/>
      <c r="J434" s="114"/>
      <c r="K434" s="114"/>
    </row>
    <row r="435" spans="1:11" x14ac:dyDescent="0.25">
      <c r="A435" s="114"/>
      <c r="B435" s="114"/>
      <c r="C435" s="114"/>
      <c r="D435" s="114"/>
      <c r="E435" s="114"/>
      <c r="F435" s="114"/>
      <c r="G435" s="114"/>
      <c r="H435" s="114"/>
      <c r="I435" s="114"/>
      <c r="J435" s="114"/>
      <c r="K435" s="114"/>
    </row>
    <row r="436" spans="1:11" x14ac:dyDescent="0.25">
      <c r="A436" s="114"/>
      <c r="B436" s="114"/>
      <c r="C436" s="114"/>
      <c r="D436" s="114"/>
      <c r="E436" s="114"/>
      <c r="F436" s="114"/>
      <c r="G436" s="114"/>
      <c r="H436" s="114"/>
      <c r="I436" s="114"/>
      <c r="J436" s="114"/>
      <c r="K436" s="114"/>
    </row>
    <row r="437" spans="1:11" x14ac:dyDescent="0.25">
      <c r="A437" s="114"/>
      <c r="B437" s="114"/>
      <c r="C437" s="114"/>
      <c r="D437" s="114"/>
      <c r="E437" s="114"/>
      <c r="F437" s="114"/>
      <c r="G437" s="114"/>
      <c r="H437" s="114"/>
      <c r="I437" s="114"/>
      <c r="J437" s="114"/>
      <c r="K437" s="114"/>
    </row>
    <row r="438" spans="1:11" x14ac:dyDescent="0.25">
      <c r="A438" s="114"/>
      <c r="B438" s="114"/>
      <c r="C438" s="114"/>
      <c r="D438" s="114"/>
      <c r="E438" s="114"/>
      <c r="F438" s="114"/>
      <c r="G438" s="114"/>
      <c r="H438" s="114"/>
      <c r="I438" s="114"/>
      <c r="J438" s="114"/>
      <c r="K438" s="114"/>
    </row>
    <row r="439" spans="1:11" x14ac:dyDescent="0.25">
      <c r="A439" s="114"/>
      <c r="B439" s="114"/>
      <c r="C439" s="114"/>
      <c r="D439" s="114"/>
      <c r="E439" s="114"/>
      <c r="F439" s="114"/>
      <c r="G439" s="114"/>
      <c r="H439" s="114"/>
      <c r="I439" s="114"/>
      <c r="J439" s="114"/>
      <c r="K439" s="114"/>
    </row>
    <row r="440" spans="1:11" x14ac:dyDescent="0.25">
      <c r="A440" s="114"/>
      <c r="B440" s="114"/>
      <c r="C440" s="114"/>
      <c r="D440" s="114"/>
      <c r="E440" s="114"/>
      <c r="F440" s="114"/>
      <c r="G440" s="114"/>
      <c r="H440" s="114"/>
      <c r="I440" s="114"/>
      <c r="J440" s="114"/>
      <c r="K440" s="114"/>
    </row>
    <row r="441" spans="1:11" x14ac:dyDescent="0.25">
      <c r="A441" s="114"/>
      <c r="B441" s="114"/>
      <c r="C441" s="114"/>
      <c r="D441" s="114"/>
      <c r="E441" s="114"/>
      <c r="F441" s="114"/>
      <c r="G441" s="114"/>
      <c r="H441" s="114"/>
      <c r="I441" s="114"/>
      <c r="J441" s="114"/>
      <c r="K441" s="114"/>
    </row>
    <row r="442" spans="1:11" x14ac:dyDescent="0.25">
      <c r="A442" s="114"/>
      <c r="B442" s="114"/>
      <c r="C442" s="114"/>
      <c r="D442" s="114"/>
      <c r="E442" s="114"/>
      <c r="F442" s="114"/>
      <c r="G442" s="114"/>
      <c r="H442" s="114"/>
      <c r="I442" s="114"/>
      <c r="J442" s="114"/>
      <c r="K442" s="114"/>
    </row>
    <row r="443" spans="1:11" x14ac:dyDescent="0.25">
      <c r="A443" s="114"/>
      <c r="B443" s="114"/>
      <c r="C443" s="114"/>
      <c r="D443" s="114"/>
      <c r="E443" s="114"/>
      <c r="F443" s="114"/>
      <c r="G443" s="114"/>
      <c r="H443" s="114"/>
      <c r="I443" s="114"/>
      <c r="J443" s="114"/>
      <c r="K443" s="114"/>
    </row>
    <row r="444" spans="1:11" x14ac:dyDescent="0.25">
      <c r="A444" s="114"/>
      <c r="B444" s="114"/>
      <c r="C444" s="114"/>
      <c r="D444" s="114"/>
      <c r="E444" s="114"/>
      <c r="F444" s="114"/>
      <c r="G444" s="114"/>
      <c r="H444" s="114"/>
      <c r="I444" s="114"/>
      <c r="J444" s="114"/>
      <c r="K444" s="114"/>
    </row>
    <row r="445" spans="1:11" x14ac:dyDescent="0.25">
      <c r="A445" s="114"/>
      <c r="B445" s="114"/>
      <c r="C445" s="114"/>
      <c r="D445" s="114"/>
      <c r="E445" s="114"/>
      <c r="F445" s="114"/>
      <c r="G445" s="114"/>
      <c r="H445" s="114"/>
      <c r="I445" s="114"/>
      <c r="J445" s="114"/>
      <c r="K445" s="114"/>
    </row>
    <row r="446" spans="1:11" x14ac:dyDescent="0.25">
      <c r="A446" s="114"/>
      <c r="B446" s="114"/>
      <c r="C446" s="114"/>
      <c r="D446" s="114"/>
      <c r="E446" s="114"/>
      <c r="F446" s="114"/>
      <c r="G446" s="114"/>
      <c r="H446" s="114"/>
      <c r="I446" s="114"/>
      <c r="J446" s="114"/>
      <c r="K446" s="114"/>
    </row>
    <row r="447" spans="1:11" x14ac:dyDescent="0.25">
      <c r="A447" s="114"/>
      <c r="B447" s="114"/>
      <c r="C447" s="114"/>
      <c r="D447" s="114"/>
      <c r="E447" s="114"/>
      <c r="F447" s="114"/>
      <c r="G447" s="114"/>
      <c r="H447" s="114"/>
      <c r="I447" s="114"/>
      <c r="J447" s="114"/>
      <c r="K447" s="114"/>
    </row>
    <row r="448" spans="1:11" x14ac:dyDescent="0.25">
      <c r="A448" s="114"/>
      <c r="B448" s="114"/>
      <c r="C448" s="114"/>
      <c r="D448" s="114"/>
      <c r="E448" s="114"/>
      <c r="F448" s="114"/>
      <c r="G448" s="114"/>
      <c r="H448" s="114"/>
      <c r="I448" s="114"/>
      <c r="J448" s="114"/>
      <c r="K448" s="114"/>
    </row>
    <row r="449" spans="1:11" x14ac:dyDescent="0.25">
      <c r="A449" s="114"/>
      <c r="B449" s="114"/>
      <c r="C449" s="114"/>
      <c r="D449" s="114"/>
      <c r="E449" s="114"/>
      <c r="F449" s="114"/>
      <c r="G449" s="114"/>
      <c r="H449" s="114"/>
      <c r="I449" s="114"/>
      <c r="J449" s="114"/>
      <c r="K449" s="114"/>
    </row>
    <row r="450" spans="1:11" x14ac:dyDescent="0.25">
      <c r="A450" s="114"/>
      <c r="B450" s="114"/>
      <c r="C450" s="114"/>
      <c r="D450" s="114"/>
      <c r="E450" s="114"/>
      <c r="F450" s="114"/>
      <c r="G450" s="114"/>
      <c r="H450" s="114"/>
      <c r="I450" s="114"/>
      <c r="J450" s="114"/>
      <c r="K450" s="114"/>
    </row>
    <row r="451" spans="1:11" x14ac:dyDescent="0.25">
      <c r="A451" s="114"/>
      <c r="B451" s="114"/>
      <c r="C451" s="114"/>
      <c r="D451" s="114"/>
      <c r="E451" s="114"/>
      <c r="F451" s="114"/>
      <c r="G451" s="114"/>
      <c r="H451" s="114"/>
      <c r="I451" s="114"/>
      <c r="J451" s="114"/>
      <c r="K451" s="114"/>
    </row>
    <row r="452" spans="1:11" x14ac:dyDescent="0.25">
      <c r="A452" s="114"/>
      <c r="B452" s="114"/>
      <c r="C452" s="114"/>
      <c r="D452" s="114"/>
      <c r="E452" s="114"/>
      <c r="F452" s="114"/>
      <c r="G452" s="114"/>
      <c r="H452" s="114"/>
      <c r="I452" s="114"/>
      <c r="J452" s="114"/>
      <c r="K452" s="114"/>
    </row>
    <row r="453" spans="1:11" x14ac:dyDescent="0.25">
      <c r="A453" s="114"/>
      <c r="B453" s="114"/>
      <c r="C453" s="114"/>
      <c r="D453" s="114"/>
      <c r="E453" s="114"/>
      <c r="F453" s="114"/>
      <c r="G453" s="114"/>
      <c r="H453" s="114"/>
      <c r="I453" s="114"/>
      <c r="J453" s="114"/>
      <c r="K453" s="114"/>
    </row>
    <row r="454" spans="1:11" x14ac:dyDescent="0.25">
      <c r="A454" s="114"/>
      <c r="B454" s="114"/>
      <c r="C454" s="114"/>
      <c r="D454" s="114"/>
      <c r="E454" s="114"/>
      <c r="F454" s="114"/>
      <c r="G454" s="114"/>
      <c r="H454" s="114"/>
      <c r="I454" s="114"/>
      <c r="J454" s="114"/>
      <c r="K454" s="114"/>
    </row>
    <row r="455" spans="1:11" x14ac:dyDescent="0.25">
      <c r="A455" s="114"/>
      <c r="B455" s="114"/>
      <c r="C455" s="114"/>
      <c r="D455" s="114"/>
      <c r="E455" s="114"/>
      <c r="F455" s="114"/>
      <c r="G455" s="114"/>
      <c r="H455" s="114"/>
      <c r="I455" s="114"/>
      <c r="J455" s="114"/>
      <c r="K455" s="114"/>
    </row>
    <row r="456" spans="1:11" x14ac:dyDescent="0.25">
      <c r="A456" s="114"/>
      <c r="B456" s="114"/>
      <c r="C456" s="114"/>
      <c r="D456" s="114"/>
      <c r="E456" s="114"/>
      <c r="F456" s="114"/>
      <c r="G456" s="114"/>
      <c r="H456" s="114"/>
      <c r="I456" s="114"/>
      <c r="J456" s="114"/>
      <c r="K456" s="114"/>
    </row>
    <row r="457" spans="1:11" x14ac:dyDescent="0.25">
      <c r="A457" s="114"/>
      <c r="B457" s="114"/>
      <c r="C457" s="114"/>
      <c r="D457" s="114"/>
      <c r="E457" s="114"/>
      <c r="F457" s="114"/>
      <c r="G457" s="114"/>
      <c r="H457" s="114"/>
      <c r="I457" s="114"/>
      <c r="J457" s="114"/>
      <c r="K457" s="114"/>
    </row>
    <row r="458" spans="1:11" x14ac:dyDescent="0.25">
      <c r="A458" s="114"/>
      <c r="B458" s="114"/>
      <c r="C458" s="114"/>
      <c r="D458" s="114"/>
      <c r="E458" s="114"/>
      <c r="F458" s="114"/>
      <c r="G458" s="114"/>
      <c r="H458" s="114"/>
      <c r="I458" s="114"/>
      <c r="J458" s="114"/>
      <c r="K458" s="114"/>
    </row>
    <row r="459" spans="1:11" x14ac:dyDescent="0.25">
      <c r="A459" s="114"/>
      <c r="B459" s="114"/>
      <c r="C459" s="114"/>
      <c r="D459" s="114"/>
      <c r="E459" s="114"/>
      <c r="F459" s="114"/>
      <c r="G459" s="114"/>
      <c r="H459" s="114"/>
      <c r="I459" s="114"/>
      <c r="J459" s="114"/>
      <c r="K459" s="114"/>
    </row>
    <row r="460" spans="1:11" x14ac:dyDescent="0.25">
      <c r="A460" s="114"/>
      <c r="B460" s="114"/>
      <c r="C460" s="114"/>
      <c r="D460" s="114"/>
      <c r="E460" s="114"/>
      <c r="F460" s="114"/>
      <c r="G460" s="114"/>
      <c r="H460" s="114"/>
      <c r="I460" s="114"/>
      <c r="J460" s="114"/>
      <c r="K460" s="114"/>
    </row>
    <row r="461" spans="1:11" x14ac:dyDescent="0.25">
      <c r="A461" s="114"/>
      <c r="B461" s="114"/>
      <c r="C461" s="114"/>
      <c r="D461" s="114"/>
      <c r="E461" s="114"/>
      <c r="F461" s="114"/>
      <c r="G461" s="114"/>
      <c r="H461" s="114"/>
      <c r="I461" s="114"/>
      <c r="J461" s="114"/>
      <c r="K461" s="114"/>
    </row>
    <row r="462" spans="1:11" x14ac:dyDescent="0.25">
      <c r="A462" s="114"/>
      <c r="B462" s="114"/>
      <c r="C462" s="114"/>
      <c r="D462" s="114"/>
      <c r="E462" s="114"/>
      <c r="F462" s="114"/>
      <c r="G462" s="114"/>
      <c r="H462" s="114"/>
      <c r="I462" s="114"/>
      <c r="J462" s="114"/>
      <c r="K462" s="114"/>
    </row>
    <row r="463" spans="1:11" x14ac:dyDescent="0.25">
      <c r="A463" s="114"/>
      <c r="B463" s="114"/>
      <c r="C463" s="114"/>
      <c r="D463" s="114"/>
      <c r="E463" s="114"/>
      <c r="F463" s="114"/>
      <c r="G463" s="114"/>
      <c r="H463" s="114"/>
      <c r="I463" s="114"/>
      <c r="J463" s="114"/>
      <c r="K463" s="114"/>
    </row>
    <row r="464" spans="1:11" x14ac:dyDescent="0.25">
      <c r="A464" s="114"/>
      <c r="B464" s="114"/>
      <c r="C464" s="114"/>
      <c r="D464" s="114"/>
      <c r="E464" s="114"/>
      <c r="F464" s="114"/>
      <c r="G464" s="114"/>
      <c r="H464" s="114"/>
      <c r="I464" s="114"/>
      <c r="J464" s="114"/>
      <c r="K464" s="114"/>
    </row>
    <row r="465" spans="1:11" x14ac:dyDescent="0.25">
      <c r="A465" s="114"/>
      <c r="B465" s="114"/>
      <c r="C465" s="114"/>
      <c r="D465" s="114"/>
      <c r="E465" s="114"/>
      <c r="F465" s="114"/>
      <c r="G465" s="114"/>
      <c r="H465" s="114"/>
      <c r="I465" s="114"/>
      <c r="J465" s="114"/>
      <c r="K465" s="114"/>
    </row>
    <row r="466" spans="1:11" x14ac:dyDescent="0.25">
      <c r="A466" s="114"/>
      <c r="B466" s="114"/>
      <c r="C466" s="114"/>
      <c r="D466" s="114"/>
      <c r="E466" s="114"/>
      <c r="F466" s="114"/>
      <c r="G466" s="114"/>
      <c r="H466" s="114"/>
      <c r="I466" s="114"/>
      <c r="J466" s="114"/>
      <c r="K466" s="114"/>
    </row>
    <row r="467" spans="1:11" x14ac:dyDescent="0.25">
      <c r="A467" s="114"/>
      <c r="B467" s="114"/>
      <c r="C467" s="114"/>
      <c r="D467" s="114"/>
      <c r="E467" s="114"/>
      <c r="F467" s="114"/>
      <c r="G467" s="114"/>
      <c r="H467" s="114"/>
      <c r="I467" s="114"/>
      <c r="J467" s="114"/>
      <c r="K467" s="114"/>
    </row>
    <row r="468" spans="1:11" x14ac:dyDescent="0.25">
      <c r="A468" s="114"/>
      <c r="B468" s="114"/>
      <c r="C468" s="114"/>
      <c r="D468" s="114"/>
      <c r="E468" s="114"/>
      <c r="F468" s="114"/>
      <c r="G468" s="114"/>
      <c r="H468" s="114"/>
      <c r="I468" s="114"/>
      <c r="J468" s="114"/>
      <c r="K468" s="114"/>
    </row>
    <row r="469" spans="1:11" x14ac:dyDescent="0.25">
      <c r="A469" s="114"/>
      <c r="B469" s="114"/>
      <c r="C469" s="114"/>
      <c r="D469" s="114"/>
      <c r="E469" s="114"/>
      <c r="F469" s="114"/>
      <c r="G469" s="114"/>
      <c r="H469" s="114"/>
      <c r="I469" s="114"/>
      <c r="J469" s="114"/>
      <c r="K469" s="114"/>
    </row>
    <row r="470" spans="1:11" x14ac:dyDescent="0.25">
      <c r="A470" s="114"/>
      <c r="B470" s="114"/>
      <c r="C470" s="114"/>
      <c r="D470" s="114"/>
      <c r="E470" s="114"/>
      <c r="F470" s="114"/>
      <c r="G470" s="114"/>
      <c r="H470" s="114"/>
      <c r="I470" s="114"/>
      <c r="J470" s="114"/>
      <c r="K470" s="114"/>
    </row>
    <row r="471" spans="1:11" x14ac:dyDescent="0.25">
      <c r="A471" s="114"/>
      <c r="B471" s="114"/>
      <c r="C471" s="114"/>
      <c r="D471" s="114"/>
      <c r="E471" s="114"/>
      <c r="F471" s="114"/>
      <c r="G471" s="114"/>
      <c r="H471" s="114"/>
      <c r="I471" s="114"/>
      <c r="J471" s="114"/>
      <c r="K471" s="114"/>
    </row>
    <row r="472" spans="1:11" x14ac:dyDescent="0.25">
      <c r="A472" s="114"/>
      <c r="B472" s="114"/>
      <c r="C472" s="114"/>
      <c r="D472" s="114"/>
      <c r="E472" s="114"/>
      <c r="F472" s="114"/>
      <c r="G472" s="114"/>
      <c r="H472" s="114"/>
      <c r="I472" s="114"/>
      <c r="J472" s="114"/>
      <c r="K472" s="114"/>
    </row>
    <row r="473" spans="1:11" x14ac:dyDescent="0.25">
      <c r="A473" s="114"/>
      <c r="B473" s="114"/>
      <c r="C473" s="114"/>
      <c r="D473" s="114"/>
      <c r="E473" s="114"/>
      <c r="F473" s="114"/>
      <c r="G473" s="114"/>
      <c r="H473" s="114"/>
      <c r="I473" s="114"/>
      <c r="J473" s="114"/>
      <c r="K473" s="114"/>
    </row>
    <row r="474" spans="1:11" x14ac:dyDescent="0.25">
      <c r="A474" s="114"/>
      <c r="B474" s="114"/>
      <c r="C474" s="114"/>
      <c r="D474" s="114"/>
      <c r="E474" s="114"/>
      <c r="F474" s="114"/>
      <c r="G474" s="114"/>
      <c r="H474" s="114"/>
      <c r="I474" s="114"/>
      <c r="J474" s="114"/>
      <c r="K474" s="114"/>
    </row>
    <row r="475" spans="1:11" x14ac:dyDescent="0.25">
      <c r="A475" s="114"/>
      <c r="B475" s="114"/>
      <c r="C475" s="114"/>
      <c r="D475" s="114"/>
      <c r="E475" s="114"/>
      <c r="F475" s="114"/>
      <c r="G475" s="114"/>
      <c r="H475" s="114"/>
      <c r="I475" s="114"/>
      <c r="J475" s="114"/>
      <c r="K475" s="114"/>
    </row>
    <row r="476" spans="1:11" x14ac:dyDescent="0.25">
      <c r="A476" s="114"/>
      <c r="B476" s="114"/>
      <c r="C476" s="114"/>
      <c r="D476" s="114"/>
      <c r="E476" s="114"/>
      <c r="F476" s="114"/>
      <c r="G476" s="114"/>
      <c r="H476" s="114"/>
      <c r="I476" s="114"/>
      <c r="J476" s="114"/>
      <c r="K476" s="114"/>
    </row>
    <row r="477" spans="1:11" x14ac:dyDescent="0.25">
      <c r="A477" s="114"/>
      <c r="B477" s="114"/>
      <c r="C477" s="114"/>
      <c r="D477" s="114"/>
      <c r="E477" s="114"/>
      <c r="F477" s="114"/>
      <c r="G477" s="114"/>
      <c r="H477" s="114"/>
      <c r="I477" s="114"/>
      <c r="J477" s="114"/>
      <c r="K477" s="114"/>
    </row>
    <row r="478" spans="1:11" x14ac:dyDescent="0.25">
      <c r="A478" s="114"/>
      <c r="B478" s="114"/>
      <c r="C478" s="114"/>
      <c r="D478" s="114"/>
      <c r="E478" s="114"/>
      <c r="F478" s="114"/>
      <c r="G478" s="114"/>
      <c r="H478" s="114"/>
      <c r="I478" s="114"/>
      <c r="J478" s="114"/>
      <c r="K478" s="114"/>
    </row>
    <row r="479" spans="1:11" x14ac:dyDescent="0.25">
      <c r="A479" s="114"/>
      <c r="B479" s="114"/>
      <c r="C479" s="114"/>
      <c r="D479" s="114"/>
      <c r="E479" s="114"/>
      <c r="F479" s="114"/>
      <c r="G479" s="114"/>
      <c r="H479" s="114"/>
      <c r="I479" s="114"/>
      <c r="J479" s="114"/>
      <c r="K479" s="114"/>
    </row>
    <row r="480" spans="1:11" x14ac:dyDescent="0.25">
      <c r="A480" s="114"/>
      <c r="B480" s="114"/>
      <c r="C480" s="114"/>
      <c r="D480" s="114"/>
      <c r="E480" s="114"/>
      <c r="F480" s="114"/>
      <c r="G480" s="114"/>
      <c r="H480" s="114"/>
      <c r="I480" s="114"/>
      <c r="J480" s="114"/>
      <c r="K480" s="114"/>
    </row>
    <row r="481" spans="1:11" x14ac:dyDescent="0.25">
      <c r="A481" s="114"/>
      <c r="B481" s="114"/>
      <c r="C481" s="114"/>
      <c r="D481" s="114"/>
      <c r="E481" s="114"/>
      <c r="F481" s="114"/>
      <c r="G481" s="114"/>
      <c r="H481" s="114"/>
      <c r="I481" s="114"/>
      <c r="J481" s="114"/>
      <c r="K481" s="114"/>
    </row>
    <row r="482" spans="1:11" x14ac:dyDescent="0.25">
      <c r="A482" s="114"/>
      <c r="B482" s="114"/>
      <c r="C482" s="114"/>
      <c r="D482" s="114"/>
      <c r="E482" s="114"/>
      <c r="F482" s="114"/>
      <c r="G482" s="114"/>
      <c r="H482" s="114"/>
      <c r="I482" s="114"/>
      <c r="J482" s="114"/>
      <c r="K482" s="114"/>
    </row>
    <row r="483" spans="1:11" x14ac:dyDescent="0.25">
      <c r="A483" s="114"/>
      <c r="B483" s="114"/>
      <c r="C483" s="114"/>
      <c r="D483" s="114"/>
      <c r="E483" s="114"/>
      <c r="F483" s="114"/>
      <c r="G483" s="114"/>
      <c r="H483" s="114"/>
      <c r="I483" s="114"/>
      <c r="J483" s="114"/>
      <c r="K483" s="114"/>
    </row>
    <row r="484" spans="1:11" x14ac:dyDescent="0.25">
      <c r="A484" s="114"/>
      <c r="B484" s="114"/>
      <c r="C484" s="114"/>
      <c r="D484" s="114"/>
      <c r="E484" s="114"/>
      <c r="F484" s="114"/>
      <c r="G484" s="114"/>
      <c r="H484" s="114"/>
      <c r="I484" s="114"/>
      <c r="J484" s="114"/>
      <c r="K484" s="114"/>
    </row>
    <row r="485" spans="1:11" x14ac:dyDescent="0.25">
      <c r="A485" s="114"/>
      <c r="B485" s="114"/>
      <c r="C485" s="114"/>
      <c r="D485" s="114"/>
      <c r="E485" s="114"/>
      <c r="F485" s="114"/>
      <c r="G485" s="114"/>
      <c r="H485" s="114"/>
      <c r="I485" s="114"/>
      <c r="J485" s="114"/>
      <c r="K485" s="114"/>
    </row>
    <row r="486" spans="1:11" x14ac:dyDescent="0.25">
      <c r="A486" s="114"/>
      <c r="B486" s="114"/>
      <c r="C486" s="114"/>
      <c r="D486" s="114"/>
      <c r="E486" s="114"/>
      <c r="F486" s="114"/>
      <c r="G486" s="114"/>
      <c r="H486" s="114"/>
      <c r="I486" s="114"/>
      <c r="J486" s="114"/>
      <c r="K486" s="114"/>
    </row>
    <row r="487" spans="1:11" x14ac:dyDescent="0.25">
      <c r="A487" s="114"/>
      <c r="B487" s="114"/>
      <c r="C487" s="114"/>
      <c r="D487" s="114"/>
      <c r="E487" s="114"/>
      <c r="F487" s="114"/>
      <c r="G487" s="114"/>
      <c r="H487" s="114"/>
      <c r="I487" s="114"/>
      <c r="J487" s="114"/>
      <c r="K487" s="114"/>
    </row>
    <row r="488" spans="1:11" x14ac:dyDescent="0.25">
      <c r="A488" s="114"/>
      <c r="B488" s="114"/>
      <c r="C488" s="114"/>
      <c r="D488" s="114"/>
      <c r="E488" s="114"/>
      <c r="F488" s="114"/>
      <c r="G488" s="114"/>
      <c r="H488" s="114"/>
      <c r="I488" s="114"/>
      <c r="J488" s="114"/>
      <c r="K488" s="114"/>
    </row>
    <row r="489" spans="1:11" x14ac:dyDescent="0.25">
      <c r="A489" s="114"/>
      <c r="B489" s="114"/>
      <c r="C489" s="114"/>
      <c r="D489" s="114"/>
      <c r="E489" s="114"/>
      <c r="F489" s="114"/>
      <c r="G489" s="114"/>
      <c r="H489" s="114"/>
      <c r="I489" s="114"/>
      <c r="J489" s="114"/>
      <c r="K489" s="114"/>
    </row>
    <row r="490" spans="1:11" x14ac:dyDescent="0.25">
      <c r="A490" s="114"/>
      <c r="B490" s="114"/>
      <c r="C490" s="114"/>
      <c r="D490" s="114"/>
      <c r="E490" s="114"/>
      <c r="F490" s="114"/>
      <c r="G490" s="114"/>
      <c r="H490" s="114"/>
      <c r="I490" s="114"/>
      <c r="J490" s="114"/>
      <c r="K490" s="114"/>
    </row>
    <row r="491" spans="1:11" x14ac:dyDescent="0.25">
      <c r="A491" s="114"/>
      <c r="B491" s="114"/>
      <c r="C491" s="114"/>
      <c r="D491" s="114"/>
      <c r="E491" s="114"/>
      <c r="F491" s="114"/>
      <c r="G491" s="114"/>
      <c r="H491" s="114"/>
      <c r="I491" s="114"/>
      <c r="J491" s="114"/>
      <c r="K491" s="114"/>
    </row>
    <row r="492" spans="1:11" x14ac:dyDescent="0.25">
      <c r="A492" s="114"/>
      <c r="B492" s="114"/>
      <c r="C492" s="114"/>
      <c r="D492" s="114"/>
      <c r="E492" s="114"/>
      <c r="F492" s="114"/>
      <c r="G492" s="114"/>
      <c r="H492" s="114"/>
      <c r="I492" s="114"/>
      <c r="J492" s="114"/>
      <c r="K492" s="114"/>
    </row>
    <row r="493" spans="1:11" x14ac:dyDescent="0.25">
      <c r="A493" s="114"/>
      <c r="B493" s="114"/>
      <c r="C493" s="114"/>
      <c r="D493" s="114"/>
      <c r="E493" s="114"/>
      <c r="F493" s="114"/>
      <c r="G493" s="114"/>
      <c r="H493" s="114"/>
      <c r="I493" s="114"/>
      <c r="J493" s="114"/>
      <c r="K493" s="114"/>
    </row>
    <row r="494" spans="1:11" x14ac:dyDescent="0.25">
      <c r="A494" s="114"/>
      <c r="B494" s="114"/>
      <c r="C494" s="114"/>
      <c r="D494" s="114"/>
      <c r="E494" s="114"/>
      <c r="F494" s="114"/>
      <c r="G494" s="114"/>
      <c r="H494" s="114"/>
      <c r="I494" s="114"/>
      <c r="J494" s="114"/>
      <c r="K494" s="114"/>
    </row>
    <row r="495" spans="1:11" x14ac:dyDescent="0.25">
      <c r="A495" s="114"/>
      <c r="B495" s="114"/>
      <c r="C495" s="114"/>
      <c r="D495" s="114"/>
      <c r="E495" s="114"/>
      <c r="F495" s="114"/>
      <c r="G495" s="114"/>
      <c r="H495" s="114"/>
      <c r="I495" s="114"/>
      <c r="J495" s="114"/>
      <c r="K495" s="114"/>
    </row>
    <row r="496" spans="1:11" x14ac:dyDescent="0.25">
      <c r="A496" s="114"/>
      <c r="B496" s="114"/>
      <c r="C496" s="114"/>
      <c r="D496" s="114"/>
      <c r="E496" s="114"/>
      <c r="F496" s="114"/>
      <c r="G496" s="114"/>
      <c r="H496" s="114"/>
      <c r="I496" s="114"/>
      <c r="J496" s="114"/>
      <c r="K496" s="114"/>
    </row>
    <row r="497" spans="1:11" x14ac:dyDescent="0.25">
      <c r="A497" s="114"/>
      <c r="B497" s="114"/>
      <c r="C497" s="114"/>
      <c r="D497" s="114"/>
      <c r="E497" s="114"/>
      <c r="F497" s="114"/>
      <c r="G497" s="114"/>
      <c r="H497" s="114"/>
      <c r="I497" s="114"/>
      <c r="J497" s="114"/>
      <c r="K497" s="114"/>
    </row>
    <row r="498" spans="1:11" x14ac:dyDescent="0.25">
      <c r="A498" s="114"/>
      <c r="B498" s="114"/>
      <c r="C498" s="114"/>
      <c r="D498" s="114"/>
      <c r="E498" s="114"/>
      <c r="F498" s="114"/>
      <c r="G498" s="114"/>
      <c r="H498" s="114"/>
      <c r="I498" s="114"/>
      <c r="J498" s="114"/>
      <c r="K498" s="114"/>
    </row>
    <row r="499" spans="1:11" x14ac:dyDescent="0.25">
      <c r="A499" s="114"/>
      <c r="B499" s="114"/>
      <c r="C499" s="114"/>
      <c r="D499" s="114"/>
      <c r="E499" s="114"/>
      <c r="F499" s="114"/>
      <c r="G499" s="114"/>
      <c r="H499" s="114"/>
      <c r="I499" s="114"/>
      <c r="J499" s="114"/>
      <c r="K499" s="114"/>
    </row>
    <row r="500" spans="1:11" x14ac:dyDescent="0.25">
      <c r="A500" s="114"/>
      <c r="B500" s="114"/>
      <c r="C500" s="114"/>
      <c r="D500" s="114"/>
      <c r="E500" s="114"/>
      <c r="F500" s="114"/>
      <c r="G500" s="114"/>
      <c r="H500" s="114"/>
      <c r="I500" s="114"/>
      <c r="J500" s="114"/>
      <c r="K500" s="114"/>
    </row>
    <row r="501" spans="1:11" x14ac:dyDescent="0.25">
      <c r="A501" s="114"/>
      <c r="B501" s="114"/>
      <c r="C501" s="114"/>
      <c r="D501" s="114"/>
      <c r="E501" s="114"/>
      <c r="F501" s="114"/>
      <c r="G501" s="114"/>
      <c r="H501" s="114"/>
      <c r="I501" s="114"/>
      <c r="J501" s="114"/>
      <c r="K501" s="114"/>
    </row>
    <row r="502" spans="1:11" x14ac:dyDescent="0.25">
      <c r="A502" s="114"/>
      <c r="B502" s="114"/>
      <c r="C502" s="114"/>
      <c r="D502" s="114"/>
      <c r="E502" s="114"/>
      <c r="F502" s="114"/>
      <c r="G502" s="114"/>
      <c r="H502" s="114"/>
      <c r="I502" s="114"/>
      <c r="J502" s="114"/>
      <c r="K502" s="114"/>
    </row>
    <row r="503" spans="1:11" x14ac:dyDescent="0.25">
      <c r="A503" s="114"/>
      <c r="B503" s="114"/>
      <c r="C503" s="114"/>
      <c r="D503" s="114"/>
      <c r="E503" s="114"/>
      <c r="F503" s="114"/>
      <c r="G503" s="114"/>
      <c r="H503" s="114"/>
      <c r="I503" s="114"/>
      <c r="J503" s="114"/>
      <c r="K503" s="114"/>
    </row>
    <row r="504" spans="1:11" x14ac:dyDescent="0.25">
      <c r="A504" s="114"/>
      <c r="B504" s="114"/>
      <c r="C504" s="114"/>
      <c r="D504" s="114"/>
      <c r="E504" s="114"/>
      <c r="F504" s="114"/>
      <c r="G504" s="114"/>
      <c r="H504" s="114"/>
      <c r="I504" s="114"/>
      <c r="J504" s="114"/>
      <c r="K504" s="114"/>
    </row>
    <row r="505" spans="1:11" x14ac:dyDescent="0.25">
      <c r="A505" s="114"/>
      <c r="B505" s="114"/>
      <c r="C505" s="114"/>
      <c r="D505" s="114"/>
      <c r="E505" s="114"/>
      <c r="F505" s="114"/>
      <c r="G505" s="114"/>
      <c r="H505" s="114"/>
      <c r="I505" s="114"/>
      <c r="J505" s="114"/>
      <c r="K505" s="114"/>
    </row>
    <row r="506" spans="1:11" x14ac:dyDescent="0.25">
      <c r="A506" s="114"/>
      <c r="B506" s="114"/>
      <c r="C506" s="114"/>
      <c r="D506" s="114"/>
      <c r="E506" s="114"/>
      <c r="F506" s="114"/>
      <c r="G506" s="114"/>
      <c r="H506" s="114"/>
      <c r="I506" s="114"/>
      <c r="J506" s="114"/>
      <c r="K506" s="114"/>
    </row>
    <row r="507" spans="1:11" x14ac:dyDescent="0.25">
      <c r="A507" s="114"/>
      <c r="B507" s="114"/>
      <c r="C507" s="114"/>
      <c r="D507" s="114"/>
      <c r="E507" s="114"/>
      <c r="F507" s="114"/>
      <c r="G507" s="114"/>
      <c r="H507" s="114"/>
      <c r="I507" s="114"/>
      <c r="J507" s="114"/>
      <c r="K507" s="114"/>
    </row>
    <row r="508" spans="1:11" x14ac:dyDescent="0.25">
      <c r="A508" s="114"/>
      <c r="B508" s="114"/>
      <c r="C508" s="114"/>
      <c r="D508" s="114"/>
      <c r="E508" s="114"/>
      <c r="F508" s="114"/>
      <c r="G508" s="114"/>
      <c r="H508" s="114"/>
      <c r="I508" s="114"/>
      <c r="J508" s="114"/>
      <c r="K508" s="114"/>
    </row>
    <row r="509" spans="1:11" x14ac:dyDescent="0.25">
      <c r="A509" s="114"/>
      <c r="B509" s="114"/>
      <c r="C509" s="114"/>
      <c r="D509" s="114"/>
      <c r="E509" s="114"/>
      <c r="F509" s="114"/>
      <c r="G509" s="114"/>
      <c r="H509" s="114"/>
      <c r="I509" s="114"/>
      <c r="J509" s="114"/>
      <c r="K509" s="114"/>
    </row>
    <row r="510" spans="1:11" x14ac:dyDescent="0.25">
      <c r="A510" s="114"/>
      <c r="B510" s="114"/>
      <c r="C510" s="114"/>
      <c r="D510" s="114"/>
      <c r="E510" s="114"/>
      <c r="F510" s="114"/>
      <c r="G510" s="114"/>
      <c r="H510" s="114"/>
      <c r="I510" s="114"/>
      <c r="J510" s="114"/>
      <c r="K510" s="114"/>
    </row>
    <row r="511" spans="1:11" x14ac:dyDescent="0.25">
      <c r="A511" s="114"/>
      <c r="B511" s="114"/>
      <c r="C511" s="114"/>
      <c r="D511" s="114"/>
      <c r="E511" s="114"/>
      <c r="F511" s="114"/>
      <c r="G511" s="114"/>
      <c r="H511" s="114"/>
      <c r="I511" s="114"/>
      <c r="J511" s="114"/>
      <c r="K511" s="114"/>
    </row>
    <row r="512" spans="1:11" x14ac:dyDescent="0.25">
      <c r="A512" s="114"/>
      <c r="B512" s="114"/>
      <c r="C512" s="114"/>
      <c r="D512" s="114"/>
      <c r="E512" s="114"/>
      <c r="F512" s="114"/>
      <c r="G512" s="114"/>
      <c r="H512" s="114"/>
      <c r="I512" s="114"/>
      <c r="J512" s="114"/>
      <c r="K512" s="114"/>
    </row>
    <row r="513" spans="1:11" x14ac:dyDescent="0.25">
      <c r="A513" s="114"/>
      <c r="B513" s="114"/>
      <c r="C513" s="114"/>
      <c r="D513" s="114"/>
      <c r="E513" s="114"/>
      <c r="F513" s="114"/>
      <c r="G513" s="114"/>
      <c r="H513" s="114"/>
      <c r="I513" s="114"/>
      <c r="J513" s="114"/>
      <c r="K513" s="114"/>
    </row>
    <row r="514" spans="1:11" x14ac:dyDescent="0.25">
      <c r="A514" s="114"/>
      <c r="B514" s="114"/>
      <c r="C514" s="114"/>
      <c r="D514" s="114"/>
      <c r="E514" s="114"/>
      <c r="F514" s="114"/>
      <c r="G514" s="114"/>
      <c r="H514" s="114"/>
      <c r="I514" s="114"/>
      <c r="J514" s="114"/>
      <c r="K514" s="114"/>
    </row>
    <row r="515" spans="1:11" x14ac:dyDescent="0.25">
      <c r="A515" s="114"/>
      <c r="B515" s="114"/>
      <c r="C515" s="114"/>
      <c r="D515" s="114"/>
      <c r="E515" s="114"/>
      <c r="F515" s="114"/>
      <c r="G515" s="114"/>
      <c r="H515" s="114"/>
      <c r="I515" s="114"/>
      <c r="J515" s="114"/>
      <c r="K515" s="114"/>
    </row>
    <row r="516" spans="1:11" x14ac:dyDescent="0.25">
      <c r="A516" s="114"/>
      <c r="B516" s="114"/>
      <c r="C516" s="114"/>
      <c r="D516" s="114"/>
      <c r="E516" s="114"/>
      <c r="F516" s="114"/>
      <c r="G516" s="114"/>
      <c r="H516" s="114"/>
      <c r="I516" s="114"/>
      <c r="J516" s="114"/>
      <c r="K516" s="114"/>
    </row>
    <row r="517" spans="1:11" x14ac:dyDescent="0.25">
      <c r="A517" s="114"/>
      <c r="B517" s="114"/>
      <c r="C517" s="114"/>
      <c r="D517" s="114"/>
      <c r="E517" s="114"/>
      <c r="F517" s="114"/>
      <c r="G517" s="114"/>
      <c r="H517" s="114"/>
      <c r="I517" s="114"/>
      <c r="J517" s="114"/>
      <c r="K517" s="114"/>
    </row>
    <row r="518" spans="1:11" x14ac:dyDescent="0.25">
      <c r="A518" s="114"/>
      <c r="B518" s="114"/>
      <c r="C518" s="114"/>
      <c r="D518" s="114"/>
      <c r="E518" s="114"/>
      <c r="F518" s="114"/>
      <c r="G518" s="114"/>
      <c r="H518" s="114"/>
      <c r="I518" s="114"/>
      <c r="J518" s="114"/>
      <c r="K518" s="114"/>
    </row>
    <row r="519" spans="1:11" x14ac:dyDescent="0.25">
      <c r="A519" s="114"/>
      <c r="B519" s="114"/>
      <c r="C519" s="114"/>
      <c r="D519" s="114"/>
      <c r="E519" s="114"/>
      <c r="F519" s="114"/>
      <c r="G519" s="114"/>
      <c r="H519" s="114"/>
      <c r="I519" s="114"/>
      <c r="J519" s="114"/>
      <c r="K519" s="114"/>
    </row>
    <row r="520" spans="1:11" x14ac:dyDescent="0.25">
      <c r="A520" s="114"/>
      <c r="B520" s="114"/>
      <c r="C520" s="114"/>
      <c r="D520" s="114"/>
      <c r="E520" s="114"/>
      <c r="F520" s="114"/>
      <c r="G520" s="114"/>
      <c r="H520" s="114"/>
      <c r="I520" s="114"/>
      <c r="J520" s="114"/>
      <c r="K520" s="114"/>
    </row>
    <row r="521" spans="1:11" x14ac:dyDescent="0.25">
      <c r="A521" s="114"/>
      <c r="B521" s="114"/>
      <c r="C521" s="114"/>
      <c r="D521" s="114"/>
      <c r="E521" s="114"/>
      <c r="F521" s="114"/>
      <c r="G521" s="114"/>
      <c r="H521" s="114"/>
      <c r="I521" s="114"/>
      <c r="J521" s="114"/>
      <c r="K521" s="114"/>
    </row>
    <row r="522" spans="1:11" x14ac:dyDescent="0.25">
      <c r="A522" s="114"/>
      <c r="B522" s="114"/>
      <c r="C522" s="114"/>
      <c r="D522" s="114"/>
      <c r="E522" s="114"/>
      <c r="F522" s="114"/>
      <c r="G522" s="114"/>
      <c r="H522" s="114"/>
      <c r="I522" s="114"/>
      <c r="J522" s="114"/>
      <c r="K522" s="114"/>
    </row>
    <row r="523" spans="1:11" x14ac:dyDescent="0.25">
      <c r="A523" s="114"/>
      <c r="B523" s="114"/>
      <c r="C523" s="114"/>
      <c r="D523" s="114"/>
      <c r="E523" s="114"/>
      <c r="F523" s="114"/>
      <c r="G523" s="114"/>
      <c r="H523" s="114"/>
      <c r="I523" s="114"/>
      <c r="J523" s="114"/>
      <c r="K523" s="114"/>
    </row>
    <row r="524" spans="1:11" x14ac:dyDescent="0.25">
      <c r="A524" s="114"/>
      <c r="B524" s="114"/>
      <c r="C524" s="114"/>
      <c r="D524" s="114"/>
      <c r="E524" s="114"/>
      <c r="F524" s="114"/>
      <c r="G524" s="114"/>
      <c r="H524" s="114"/>
      <c r="I524" s="114"/>
      <c r="J524" s="114"/>
      <c r="K524" s="114"/>
    </row>
    <row r="525" spans="1:11" x14ac:dyDescent="0.25">
      <c r="A525" s="114"/>
      <c r="B525" s="114"/>
      <c r="C525" s="114"/>
      <c r="D525" s="114"/>
      <c r="E525" s="114"/>
      <c r="F525" s="114"/>
      <c r="G525" s="114"/>
      <c r="H525" s="114"/>
      <c r="I525" s="114"/>
      <c r="J525" s="114"/>
      <c r="K525" s="114"/>
    </row>
    <row r="526" spans="1:11" x14ac:dyDescent="0.25">
      <c r="A526" s="114"/>
      <c r="B526" s="114"/>
      <c r="C526" s="114"/>
      <c r="D526" s="114"/>
      <c r="E526" s="114"/>
      <c r="F526" s="114"/>
      <c r="G526" s="114"/>
      <c r="H526" s="114"/>
      <c r="I526" s="114"/>
      <c r="J526" s="114"/>
      <c r="K526" s="114"/>
    </row>
    <row r="527" spans="1:11" x14ac:dyDescent="0.25">
      <c r="A527" s="114"/>
      <c r="B527" s="114"/>
      <c r="C527" s="114"/>
      <c r="D527" s="114"/>
      <c r="E527" s="114"/>
      <c r="F527" s="114"/>
      <c r="G527" s="114"/>
      <c r="H527" s="114"/>
      <c r="I527" s="114"/>
      <c r="J527" s="114"/>
      <c r="K527" s="114"/>
    </row>
    <row r="528" spans="1:11" x14ac:dyDescent="0.25">
      <c r="A528" s="114"/>
      <c r="B528" s="114"/>
      <c r="C528" s="114"/>
      <c r="D528" s="114"/>
      <c r="E528" s="114"/>
      <c r="F528" s="114"/>
      <c r="G528" s="114"/>
      <c r="H528" s="114"/>
      <c r="I528" s="114"/>
      <c r="J528" s="114"/>
      <c r="K528" s="114"/>
    </row>
    <row r="529" spans="1:11" x14ac:dyDescent="0.25">
      <c r="A529" s="114"/>
      <c r="B529" s="114"/>
      <c r="C529" s="114"/>
      <c r="D529" s="114"/>
      <c r="E529" s="114"/>
      <c r="F529" s="114"/>
      <c r="G529" s="114"/>
      <c r="H529" s="114"/>
      <c r="I529" s="114"/>
      <c r="J529" s="114"/>
      <c r="K529" s="114"/>
    </row>
    <row r="530" spans="1:11" x14ac:dyDescent="0.25">
      <c r="A530" s="114"/>
      <c r="B530" s="114"/>
      <c r="C530" s="114"/>
      <c r="D530" s="114"/>
      <c r="E530" s="114"/>
      <c r="F530" s="114"/>
      <c r="G530" s="114"/>
      <c r="H530" s="114"/>
      <c r="I530" s="114"/>
      <c r="J530" s="114"/>
      <c r="K530" s="114"/>
    </row>
    <row r="531" spans="1:11" x14ac:dyDescent="0.25">
      <c r="A531" s="114"/>
      <c r="B531" s="114"/>
      <c r="C531" s="114"/>
      <c r="D531" s="114"/>
      <c r="E531" s="114"/>
      <c r="F531" s="114"/>
      <c r="G531" s="114"/>
      <c r="H531" s="114"/>
      <c r="I531" s="114"/>
      <c r="J531" s="114"/>
      <c r="K531" s="114"/>
    </row>
    <row r="532" spans="1:11" x14ac:dyDescent="0.25">
      <c r="A532" s="114"/>
      <c r="B532" s="114"/>
      <c r="C532" s="114"/>
      <c r="D532" s="114"/>
      <c r="E532" s="114"/>
      <c r="F532" s="114"/>
      <c r="G532" s="114"/>
      <c r="H532" s="114"/>
      <c r="I532" s="114"/>
      <c r="J532" s="114"/>
      <c r="K532" s="114"/>
    </row>
    <row r="533" spans="1:11" x14ac:dyDescent="0.25">
      <c r="A533" s="114"/>
      <c r="B533" s="114"/>
      <c r="C533" s="114"/>
      <c r="D533" s="114"/>
      <c r="E533" s="114"/>
      <c r="F533" s="114"/>
      <c r="G533" s="114"/>
      <c r="H533" s="114"/>
      <c r="I533" s="114"/>
      <c r="J533" s="114"/>
      <c r="K533" s="114"/>
    </row>
    <row r="534" spans="1:11" x14ac:dyDescent="0.25">
      <c r="A534" s="114"/>
      <c r="B534" s="114"/>
      <c r="C534" s="114"/>
      <c r="D534" s="114"/>
      <c r="E534" s="114"/>
      <c r="F534" s="114"/>
      <c r="G534" s="114"/>
      <c r="H534" s="114"/>
      <c r="I534" s="114"/>
      <c r="J534" s="114"/>
      <c r="K534" s="114"/>
    </row>
  </sheetData>
  <mergeCells count="1">
    <mergeCell ref="J1:L1"/>
  </mergeCells>
  <pageMargins left="0.75" right="0.75" top="1" bottom="1" header="0.5" footer="0.5"/>
  <drawing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D6FCF"/>
  </sheetPr>
  <dimension ref="A1:U187"/>
  <sheetViews>
    <sheetView workbookViewId="0">
      <pane ySplit="4" topLeftCell="A5" activePane="bottomLeft" state="frozen"/>
      <selection pane="bottomLeft" activeCell="I16" sqref="I16"/>
    </sheetView>
  </sheetViews>
  <sheetFormatPr defaultColWidth="11" defaultRowHeight="15.75" x14ac:dyDescent="0.25"/>
  <cols>
    <col min="1" max="1" width="33.875" customWidth="1"/>
    <col min="2" max="2" width="15.125" bestFit="1" customWidth="1"/>
    <col min="3" max="9" width="12.5" bestFit="1" customWidth="1"/>
    <col min="10" max="10" width="13.875" customWidth="1"/>
    <col min="11" max="11" width="13.875" style="278" customWidth="1"/>
    <col min="12" max="12" width="13.875" customWidth="1"/>
    <col min="13" max="13" width="15.125" hidden="1" customWidth="1"/>
    <col min="14" max="14" width="11" style="124"/>
    <col min="15" max="15" width="12.125" bestFit="1" customWidth="1"/>
    <col min="16" max="16" width="19.75" customWidth="1"/>
    <col min="18" max="18" width="13.75" bestFit="1" customWidth="1"/>
  </cols>
  <sheetData>
    <row r="1" spans="1:15" ht="18.75" x14ac:dyDescent="0.3">
      <c r="A1" s="36" t="s">
        <v>59</v>
      </c>
      <c r="F1" s="1020" t="s">
        <v>154</v>
      </c>
      <c r="G1" s="1020"/>
      <c r="H1" s="1020"/>
      <c r="J1" s="743"/>
      <c r="K1" s="295"/>
      <c r="L1" s="743"/>
      <c r="M1" s="743"/>
    </row>
    <row r="2" spans="1:15" s="278" customFormat="1" ht="18.75" x14ac:dyDescent="0.3">
      <c r="A2" s="36"/>
      <c r="F2" s="743"/>
      <c r="G2" s="743"/>
      <c r="H2" s="743"/>
      <c r="J2" s="743"/>
      <c r="K2" s="743"/>
      <c r="L2" s="743"/>
      <c r="M2" s="743"/>
      <c r="N2" s="124"/>
    </row>
    <row r="3" spans="1:15" x14ac:dyDescent="0.25">
      <c r="A3" s="2"/>
      <c r="B3" s="435" t="s">
        <v>58</v>
      </c>
      <c r="C3" s="360" t="s">
        <v>58</v>
      </c>
      <c r="D3" s="360" t="s">
        <v>58</v>
      </c>
      <c r="E3" s="360" t="s">
        <v>58</v>
      </c>
      <c r="F3" s="360" t="s">
        <v>58</v>
      </c>
      <c r="G3" s="360" t="s">
        <v>58</v>
      </c>
      <c r="H3" s="360" t="s">
        <v>58</v>
      </c>
      <c r="I3" s="360" t="s">
        <v>58</v>
      </c>
      <c r="J3" s="436" t="s">
        <v>58</v>
      </c>
      <c r="K3" s="366" t="s">
        <v>58</v>
      </c>
      <c r="L3" s="441" t="s">
        <v>58</v>
      </c>
      <c r="M3" s="441" t="s">
        <v>58</v>
      </c>
    </row>
    <row r="4" spans="1:15" x14ac:dyDescent="0.25">
      <c r="A4" s="2"/>
      <c r="B4" s="437" t="s">
        <v>55</v>
      </c>
      <c r="C4" s="205" t="s">
        <v>55</v>
      </c>
      <c r="D4" s="205" t="s">
        <v>55</v>
      </c>
      <c r="E4" s="205" t="s">
        <v>55</v>
      </c>
      <c r="F4" s="205" t="s">
        <v>55</v>
      </c>
      <c r="G4" s="205" t="s">
        <v>55</v>
      </c>
      <c r="H4" s="205" t="s">
        <v>55</v>
      </c>
      <c r="I4" s="205" t="s">
        <v>55</v>
      </c>
      <c r="J4" s="438" t="s">
        <v>55</v>
      </c>
      <c r="K4" s="67" t="s">
        <v>151</v>
      </c>
      <c r="L4" s="443" t="s">
        <v>56</v>
      </c>
      <c r="M4" s="441" t="s">
        <v>253</v>
      </c>
    </row>
    <row r="5" spans="1:15" ht="16.5" thickBot="1" x14ac:dyDescent="0.3">
      <c r="A5" s="2"/>
      <c r="B5" s="439">
        <v>2009</v>
      </c>
      <c r="C5" s="367">
        <v>2010</v>
      </c>
      <c r="D5" s="367">
        <v>2011</v>
      </c>
      <c r="E5" s="367">
        <v>2012</v>
      </c>
      <c r="F5" s="367">
        <v>2013</v>
      </c>
      <c r="G5" s="367">
        <v>2014</v>
      </c>
      <c r="H5" s="367">
        <v>2015</v>
      </c>
      <c r="I5" s="367">
        <v>2016</v>
      </c>
      <c r="J5" s="440">
        <v>2017</v>
      </c>
      <c r="K5" s="439">
        <v>2018</v>
      </c>
      <c r="L5" s="456">
        <v>2019</v>
      </c>
      <c r="M5" s="456">
        <v>2018</v>
      </c>
    </row>
    <row r="6" spans="1:15" s="60" customFormat="1" ht="18.75" x14ac:dyDescent="0.3">
      <c r="A6" s="850" t="s">
        <v>333</v>
      </c>
      <c r="B6" s="378"/>
      <c r="C6" s="371"/>
      <c r="D6" s="371"/>
      <c r="E6" s="371"/>
      <c r="F6" s="371"/>
      <c r="G6" s="371"/>
      <c r="H6" s="371"/>
      <c r="I6" s="371"/>
      <c r="J6" s="379"/>
      <c r="K6" s="463"/>
      <c r="L6" s="464"/>
      <c r="M6" s="464"/>
      <c r="N6" s="126"/>
      <c r="O6" s="2"/>
    </row>
    <row r="7" spans="1:15" x14ac:dyDescent="0.25">
      <c r="A7" s="851" t="s">
        <v>92</v>
      </c>
      <c r="B7" s="380">
        <f>50827716+113995</f>
        <v>50941711</v>
      </c>
      <c r="C7" s="315">
        <f>51075284+231215</f>
        <v>51306499</v>
      </c>
      <c r="D7" s="315">
        <f>53856890+1986318</f>
        <v>55843208</v>
      </c>
      <c r="E7" s="315">
        <v>58754890</v>
      </c>
      <c r="F7" s="315">
        <f>57317777-523121+2</f>
        <v>56794658</v>
      </c>
      <c r="G7" s="315">
        <f>63150821-693669</f>
        <v>62457152</v>
      </c>
      <c r="H7" s="315">
        <f>65572537-6355</f>
        <v>65566182</v>
      </c>
      <c r="I7" s="315">
        <f>68465584+3804</f>
        <v>68469388</v>
      </c>
      <c r="J7" s="381">
        <v>70786864</v>
      </c>
      <c r="K7" s="315">
        <v>72570163</v>
      </c>
      <c r="L7" s="372">
        <v>83879144</v>
      </c>
      <c r="M7" s="372">
        <v>73942050</v>
      </c>
      <c r="N7" s="121"/>
      <c r="O7" s="3"/>
    </row>
    <row r="8" spans="1:15" x14ac:dyDescent="0.25">
      <c r="A8" s="852" t="s">
        <v>88</v>
      </c>
      <c r="B8" s="380">
        <v>0</v>
      </c>
      <c r="C8" s="315">
        <v>0</v>
      </c>
      <c r="D8" s="315">
        <v>0</v>
      </c>
      <c r="E8" s="315">
        <v>0</v>
      </c>
      <c r="F8" s="315">
        <v>0</v>
      </c>
      <c r="G8" s="315">
        <v>0</v>
      </c>
      <c r="H8" s="315">
        <v>0</v>
      </c>
      <c r="I8" s="315">
        <v>0</v>
      </c>
      <c r="J8" s="381">
        <v>0</v>
      </c>
      <c r="K8" s="315">
        <v>0</v>
      </c>
      <c r="L8" s="372">
        <v>0</v>
      </c>
      <c r="M8" s="372"/>
      <c r="N8" s="121"/>
      <c r="O8" s="3"/>
    </row>
    <row r="9" spans="1:15" s="19" customFormat="1" x14ac:dyDescent="0.25">
      <c r="A9" s="853" t="s">
        <v>93</v>
      </c>
      <c r="B9" s="380">
        <v>0</v>
      </c>
      <c r="C9" s="315">
        <v>0</v>
      </c>
      <c r="D9" s="315">
        <v>0</v>
      </c>
      <c r="E9" s="315">
        <v>0</v>
      </c>
      <c r="F9" s="315">
        <v>0</v>
      </c>
      <c r="G9" s="315">
        <v>0</v>
      </c>
      <c r="H9" s="315">
        <v>0</v>
      </c>
      <c r="I9" s="315">
        <v>0</v>
      </c>
      <c r="J9" s="381">
        <v>0</v>
      </c>
      <c r="K9" s="315">
        <v>0</v>
      </c>
      <c r="L9" s="372">
        <v>0</v>
      </c>
      <c r="M9" s="372"/>
      <c r="N9" s="121"/>
      <c r="O9" s="3"/>
    </row>
    <row r="10" spans="1:15" s="19" customFormat="1" x14ac:dyDescent="0.25">
      <c r="A10" s="854" t="s">
        <v>78</v>
      </c>
      <c r="B10" s="380">
        <f>585659+11488</f>
        <v>597147</v>
      </c>
      <c r="C10" s="315">
        <v>612995</v>
      </c>
      <c r="D10" s="315">
        <v>565889</v>
      </c>
      <c r="E10" s="315">
        <v>457593</v>
      </c>
      <c r="F10" s="315">
        <v>385262</v>
      </c>
      <c r="G10" s="315">
        <v>556611</v>
      </c>
      <c r="H10" s="315">
        <v>753669</v>
      </c>
      <c r="I10" s="315">
        <v>792882</v>
      </c>
      <c r="J10" s="381">
        <f>14513961+548429</f>
        <v>15062390</v>
      </c>
      <c r="K10" s="315">
        <f>8686975+1588655</f>
        <v>10275630</v>
      </c>
      <c r="L10" s="372">
        <f>157951+830270</f>
        <v>988221</v>
      </c>
      <c r="M10" s="372">
        <f>176763+834655</f>
        <v>1011418</v>
      </c>
      <c r="N10" s="121"/>
      <c r="O10" s="3"/>
    </row>
    <row r="11" spans="1:15" s="19" customFormat="1" x14ac:dyDescent="0.25">
      <c r="A11" s="855" t="s">
        <v>328</v>
      </c>
      <c r="B11" s="380">
        <v>12727962</v>
      </c>
      <c r="C11" s="313">
        <v>21935021</v>
      </c>
      <c r="D11" s="313">
        <v>14095397</v>
      </c>
      <c r="E11" s="313">
        <v>3967740</v>
      </c>
      <c r="F11" s="313">
        <v>8202282</v>
      </c>
      <c r="G11" s="313">
        <v>14848850</v>
      </c>
      <c r="H11" s="313">
        <v>5765198</v>
      </c>
      <c r="I11" s="313">
        <v>4204835</v>
      </c>
      <c r="J11" s="381">
        <v>8531393</v>
      </c>
      <c r="K11" s="313">
        <v>34939001</v>
      </c>
      <c r="L11" s="372">
        <v>3293000</v>
      </c>
      <c r="M11" s="372">
        <v>21010600</v>
      </c>
      <c r="N11" s="126"/>
      <c r="O11" s="2"/>
    </row>
    <row r="12" spans="1:15" s="19" customFormat="1" ht="16.5" thickBot="1" x14ac:dyDescent="0.3">
      <c r="A12" s="856"/>
      <c r="B12" s="380"/>
      <c r="C12" s="313"/>
      <c r="D12" s="313"/>
      <c r="E12" s="313"/>
      <c r="F12" s="313"/>
      <c r="G12" s="313"/>
      <c r="H12" s="313"/>
      <c r="I12" s="313"/>
      <c r="J12" s="381"/>
      <c r="K12" s="313"/>
      <c r="L12" s="372"/>
      <c r="M12" s="372"/>
      <c r="N12" s="126"/>
      <c r="O12" s="2"/>
    </row>
    <row r="13" spans="1:15" ht="17.25" thickTop="1" thickBot="1" x14ac:dyDescent="0.3">
      <c r="A13" s="857" t="s">
        <v>100</v>
      </c>
      <c r="B13" s="843">
        <f>SUM(B7:B11)</f>
        <v>64266820</v>
      </c>
      <c r="C13" s="844">
        <f t="shared" ref="C13:L13" si="0">SUM(C7:C11)</f>
        <v>73854515</v>
      </c>
      <c r="D13" s="844">
        <f t="shared" si="0"/>
        <v>70504494</v>
      </c>
      <c r="E13" s="844">
        <f t="shared" si="0"/>
        <v>63180223</v>
      </c>
      <c r="F13" s="844">
        <f t="shared" si="0"/>
        <v>65382202</v>
      </c>
      <c r="G13" s="844">
        <f t="shared" si="0"/>
        <v>77862613</v>
      </c>
      <c r="H13" s="844">
        <f t="shared" si="0"/>
        <v>72085049</v>
      </c>
      <c r="I13" s="844">
        <f t="shared" si="0"/>
        <v>73467105</v>
      </c>
      <c r="J13" s="845">
        <f t="shared" si="0"/>
        <v>94380647</v>
      </c>
      <c r="K13" s="844">
        <f>SUM(K7:K11)</f>
        <v>117784794</v>
      </c>
      <c r="L13" s="846">
        <f t="shared" si="0"/>
        <v>88160365</v>
      </c>
      <c r="M13" s="846">
        <f>SUM(M7:M11)</f>
        <v>95964068</v>
      </c>
      <c r="N13" s="126"/>
      <c r="O13" s="2"/>
    </row>
    <row r="14" spans="1:15" x14ac:dyDescent="0.25">
      <c r="A14" s="858"/>
      <c r="B14" s="407"/>
      <c r="C14" s="312"/>
      <c r="D14" s="312"/>
      <c r="E14" s="312"/>
      <c r="F14" s="312"/>
      <c r="G14" s="312"/>
      <c r="H14" s="312"/>
      <c r="I14" s="312"/>
      <c r="J14" s="400"/>
      <c r="K14" s="312"/>
      <c r="L14" s="444"/>
      <c r="M14" s="444"/>
      <c r="N14" s="126"/>
      <c r="O14" s="2"/>
    </row>
    <row r="15" spans="1:15" ht="19.5" thickBot="1" x14ac:dyDescent="0.35">
      <c r="A15" s="859"/>
      <c r="B15" s="505"/>
      <c r="C15" s="311"/>
      <c r="D15" s="311"/>
      <c r="E15" s="311"/>
      <c r="F15" s="311"/>
      <c r="G15" s="311"/>
      <c r="H15" s="311"/>
      <c r="I15" s="311"/>
      <c r="J15" s="497"/>
      <c r="K15" s="311"/>
      <c r="L15" s="178"/>
      <c r="M15" s="178"/>
      <c r="N15" s="120"/>
      <c r="O15" s="1"/>
    </row>
    <row r="16" spans="1:15" ht="18.75" x14ac:dyDescent="0.3">
      <c r="A16" s="860" t="s">
        <v>332</v>
      </c>
      <c r="B16" s="378"/>
      <c r="C16" s="371"/>
      <c r="D16" s="371"/>
      <c r="E16" s="371"/>
      <c r="F16" s="371"/>
      <c r="G16" s="371"/>
      <c r="H16" s="371"/>
      <c r="I16" s="371"/>
      <c r="J16" s="379"/>
      <c r="K16" s="463"/>
      <c r="L16" s="464"/>
      <c r="M16" s="464"/>
      <c r="N16" s="126"/>
      <c r="O16" s="1"/>
    </row>
    <row r="17" spans="1:21" x14ac:dyDescent="0.25">
      <c r="A17" s="851" t="s">
        <v>92</v>
      </c>
      <c r="B17" s="380">
        <v>6871635</v>
      </c>
      <c r="C17" s="315">
        <f>1345065+5261708</f>
        <v>6606773</v>
      </c>
      <c r="D17" s="315">
        <f>733651+8123668</f>
        <v>8857319</v>
      </c>
      <c r="E17" s="315">
        <f>7417423+4644934</f>
        <v>12062357</v>
      </c>
      <c r="F17" s="315">
        <f>8080633+8365983</f>
        <v>16446616</v>
      </c>
      <c r="G17" s="315">
        <f>8589227+11110741</f>
        <v>19699968</v>
      </c>
      <c r="H17" s="315">
        <f>11616491+13227996</f>
        <v>24844487</v>
      </c>
      <c r="I17" s="315">
        <f>174077+10721849+18183465</f>
        <v>29079391</v>
      </c>
      <c r="J17" s="381">
        <v>33475122</v>
      </c>
      <c r="K17" s="315">
        <f>48715562-6486</f>
        <v>48709076</v>
      </c>
      <c r="L17" s="372">
        <f>33393268</f>
        <v>33393268</v>
      </c>
      <c r="M17" s="372">
        <v>35233196</v>
      </c>
      <c r="N17" s="121"/>
      <c r="O17" s="1"/>
    </row>
    <row r="18" spans="1:21" x14ac:dyDescent="0.25">
      <c r="A18" s="852" t="s">
        <v>88</v>
      </c>
      <c r="B18" s="380">
        <v>0</v>
      </c>
      <c r="C18" s="315">
        <v>0</v>
      </c>
      <c r="D18" s="315">
        <v>0</v>
      </c>
      <c r="E18" s="315">
        <v>0</v>
      </c>
      <c r="F18" s="315">
        <v>0</v>
      </c>
      <c r="G18" s="315">
        <v>0</v>
      </c>
      <c r="H18" s="315">
        <v>0</v>
      </c>
      <c r="I18" s="315">
        <v>0</v>
      </c>
      <c r="J18" s="381">
        <v>0</v>
      </c>
      <c r="K18" s="315">
        <v>0</v>
      </c>
      <c r="L18" s="372">
        <v>0</v>
      </c>
      <c r="M18" s="372"/>
      <c r="N18" s="121"/>
      <c r="O18" s="1"/>
    </row>
    <row r="19" spans="1:21" x14ac:dyDescent="0.25">
      <c r="A19" s="853" t="s">
        <v>93</v>
      </c>
      <c r="B19" s="380">
        <v>0</v>
      </c>
      <c r="C19" s="315">
        <v>0</v>
      </c>
      <c r="D19" s="315">
        <v>0</v>
      </c>
      <c r="E19" s="315">
        <v>0</v>
      </c>
      <c r="F19" s="315">
        <v>0</v>
      </c>
      <c r="G19" s="315">
        <v>0</v>
      </c>
      <c r="H19" s="315">
        <v>0</v>
      </c>
      <c r="I19" s="315">
        <v>0</v>
      </c>
      <c r="J19" s="381">
        <v>0</v>
      </c>
      <c r="K19" s="315">
        <v>0</v>
      </c>
      <c r="L19" s="372">
        <v>0</v>
      </c>
      <c r="M19" s="372"/>
      <c r="N19" s="121"/>
      <c r="O19" s="1"/>
    </row>
    <row r="20" spans="1:21" x14ac:dyDescent="0.25">
      <c r="A20" s="854" t="s">
        <v>78</v>
      </c>
      <c r="B20" s="380">
        <v>359983</v>
      </c>
      <c r="C20" s="315">
        <v>417107</v>
      </c>
      <c r="D20" s="315">
        <v>1372402</v>
      </c>
      <c r="E20" s="315">
        <v>526822</v>
      </c>
      <c r="F20" s="315">
        <v>2228230</v>
      </c>
      <c r="G20" s="315">
        <v>6346306</v>
      </c>
      <c r="H20" s="315">
        <v>0</v>
      </c>
      <c r="I20" s="315">
        <v>3910</v>
      </c>
      <c r="J20" s="381">
        <f>20793626+0</f>
        <v>20793626</v>
      </c>
      <c r="K20" s="315">
        <f>8686975+2188074</f>
        <v>10875049</v>
      </c>
      <c r="L20" s="372">
        <f>0+0</f>
        <v>0</v>
      </c>
      <c r="M20" s="372">
        <f>176763+252500</f>
        <v>429263</v>
      </c>
      <c r="N20" s="121"/>
      <c r="O20" s="1"/>
    </row>
    <row r="21" spans="1:21" s="278" customFormat="1" x14ac:dyDescent="0.25">
      <c r="A21" s="855" t="s">
        <v>328</v>
      </c>
      <c r="B21" s="380">
        <v>12380996</v>
      </c>
      <c r="C21" s="313">
        <v>22343692</v>
      </c>
      <c r="D21" s="313">
        <v>14053997</v>
      </c>
      <c r="E21" s="313">
        <v>4598556</v>
      </c>
      <c r="F21" s="313">
        <v>7542067</v>
      </c>
      <c r="G21" s="313">
        <v>14838850</v>
      </c>
      <c r="H21" s="313">
        <v>5579346</v>
      </c>
      <c r="I21" s="313">
        <v>2931288</v>
      </c>
      <c r="J21" s="381">
        <v>9599330</v>
      </c>
      <c r="K21" s="313">
        <v>34921705</v>
      </c>
      <c r="L21" s="372">
        <v>3293000</v>
      </c>
      <c r="M21" s="372">
        <v>21010600</v>
      </c>
      <c r="N21" s="126"/>
      <c r="O21" s="1"/>
    </row>
    <row r="22" spans="1:21" ht="16.5" thickBot="1" x14ac:dyDescent="0.3">
      <c r="A22" s="856"/>
      <c r="B22" s="380"/>
      <c r="C22" s="313"/>
      <c r="D22" s="313"/>
      <c r="E22" s="313"/>
      <c r="F22" s="313"/>
      <c r="G22" s="313"/>
      <c r="H22" s="313"/>
      <c r="I22" s="313"/>
      <c r="J22" s="381"/>
      <c r="K22" s="313"/>
      <c r="L22" s="372"/>
      <c r="M22" s="372"/>
      <c r="N22" s="126"/>
      <c r="O22" s="1"/>
    </row>
    <row r="23" spans="1:21" ht="17.25" thickTop="1" thickBot="1" x14ac:dyDescent="0.3">
      <c r="A23" s="896" t="s">
        <v>102</v>
      </c>
      <c r="B23" s="843">
        <f t="shared" ref="B23:L23" si="1">SUM(B17:B22)</f>
        <v>19612614</v>
      </c>
      <c r="C23" s="844">
        <f t="shared" si="1"/>
        <v>29367572</v>
      </c>
      <c r="D23" s="844">
        <f t="shared" si="1"/>
        <v>24283718</v>
      </c>
      <c r="E23" s="844">
        <f t="shared" si="1"/>
        <v>17187735</v>
      </c>
      <c r="F23" s="844">
        <f t="shared" si="1"/>
        <v>26216913</v>
      </c>
      <c r="G23" s="844">
        <f t="shared" si="1"/>
        <v>40885124</v>
      </c>
      <c r="H23" s="844">
        <f t="shared" si="1"/>
        <v>30423833</v>
      </c>
      <c r="I23" s="844">
        <f t="shared" si="1"/>
        <v>32014589</v>
      </c>
      <c r="J23" s="845">
        <f t="shared" si="1"/>
        <v>63868078</v>
      </c>
      <c r="K23" s="844">
        <f>SUM(K17:K22)</f>
        <v>94505830</v>
      </c>
      <c r="L23" s="846">
        <f t="shared" si="1"/>
        <v>36686268</v>
      </c>
      <c r="M23" s="846">
        <f>SUM(M17:M22)</f>
        <v>56673059</v>
      </c>
      <c r="N23" s="126"/>
      <c r="O23" s="1"/>
      <c r="P23" s="43"/>
      <c r="Q23" s="50"/>
      <c r="R23" s="50"/>
      <c r="S23" s="50"/>
      <c r="T23" s="50"/>
      <c r="U23" s="50"/>
    </row>
    <row r="24" spans="1:21" ht="18.75" x14ac:dyDescent="0.3">
      <c r="A24" s="861"/>
      <c r="B24" s="401"/>
      <c r="C24" s="120"/>
      <c r="D24" s="120"/>
      <c r="E24" s="120"/>
      <c r="F24" s="120"/>
      <c r="G24" s="120"/>
      <c r="H24" s="120"/>
      <c r="I24" s="120"/>
      <c r="J24" s="402"/>
      <c r="K24" s="120"/>
      <c r="L24" s="445"/>
      <c r="M24" s="445"/>
      <c r="N24" s="120"/>
      <c r="O24" s="1"/>
      <c r="P24" s="50"/>
      <c r="Q24" s="50"/>
      <c r="R24" s="50"/>
      <c r="S24" s="50"/>
      <c r="T24" s="50"/>
      <c r="U24" s="50"/>
    </row>
    <row r="25" spans="1:21" ht="18.75" x14ac:dyDescent="0.3">
      <c r="A25" s="859"/>
      <c r="B25" s="384"/>
      <c r="C25" s="1"/>
      <c r="D25" s="1"/>
      <c r="E25" s="1"/>
      <c r="F25" s="1"/>
      <c r="G25" s="1"/>
      <c r="H25" s="1"/>
      <c r="I25" s="1"/>
      <c r="J25" s="385"/>
      <c r="K25" s="1"/>
      <c r="L25" s="446"/>
      <c r="M25" s="446"/>
      <c r="N25" s="120"/>
      <c r="O25" s="1"/>
      <c r="P25" s="50"/>
      <c r="Q25" s="50"/>
      <c r="R25" s="50"/>
      <c r="S25" s="50"/>
      <c r="T25" s="50"/>
      <c r="U25" s="50"/>
    </row>
    <row r="26" spans="1:21" ht="18.75" x14ac:dyDescent="0.3">
      <c r="A26" s="859"/>
      <c r="B26" s="384"/>
      <c r="C26" s="1"/>
      <c r="D26" s="1"/>
      <c r="E26" s="1"/>
      <c r="F26" s="1"/>
      <c r="G26" s="1"/>
      <c r="H26" s="1"/>
      <c r="I26" s="1"/>
      <c r="J26" s="385"/>
      <c r="K26" s="1"/>
      <c r="L26" s="446"/>
      <c r="M26" s="446"/>
      <c r="N26" s="120"/>
      <c r="O26" s="1"/>
      <c r="P26" s="50"/>
      <c r="Q26" s="50"/>
      <c r="R26" s="50"/>
      <c r="S26" s="50"/>
      <c r="T26" s="50"/>
      <c r="U26" s="50"/>
    </row>
    <row r="27" spans="1:21" x14ac:dyDescent="0.25">
      <c r="A27" s="862"/>
      <c r="B27" s="416"/>
      <c r="C27" s="93"/>
      <c r="D27" s="93"/>
      <c r="E27" s="93"/>
      <c r="F27" s="93"/>
      <c r="G27" s="93"/>
      <c r="H27" s="93"/>
      <c r="I27" s="93"/>
      <c r="J27" s="417"/>
      <c r="K27" s="93"/>
      <c r="L27" s="109"/>
      <c r="M27" s="109"/>
      <c r="N27" s="120"/>
      <c r="O27" s="1"/>
      <c r="P27" s="50"/>
      <c r="Q27" s="50"/>
      <c r="R27" s="50"/>
      <c r="S27" s="50"/>
      <c r="T27" s="50"/>
      <c r="U27" s="50"/>
    </row>
    <row r="28" spans="1:21" x14ac:dyDescent="0.25">
      <c r="A28" s="863"/>
      <c r="B28" s="416"/>
      <c r="C28" s="93"/>
      <c r="D28" s="93"/>
      <c r="E28" s="93"/>
      <c r="F28" s="93"/>
      <c r="G28" s="93"/>
      <c r="H28" s="93"/>
      <c r="I28" s="93"/>
      <c r="J28" s="417"/>
      <c r="K28" s="93"/>
      <c r="L28" s="109"/>
      <c r="M28" s="109"/>
      <c r="N28" s="120"/>
      <c r="O28" s="1"/>
      <c r="P28" s="50"/>
      <c r="Q28" s="50"/>
      <c r="R28" s="245"/>
      <c r="S28" s="50"/>
      <c r="T28" s="50"/>
      <c r="U28" s="50"/>
    </row>
    <row r="29" spans="1:21" x14ac:dyDescent="0.25">
      <c r="A29" s="863"/>
      <c r="B29" s="416"/>
      <c r="C29" s="93"/>
      <c r="D29" s="93"/>
      <c r="E29" s="93"/>
      <c r="F29" s="93"/>
      <c r="G29" s="93"/>
      <c r="H29" s="93"/>
      <c r="I29" s="93"/>
      <c r="J29" s="417"/>
      <c r="K29" s="93"/>
      <c r="L29" s="109"/>
      <c r="M29" s="109"/>
      <c r="N29" s="120"/>
      <c r="O29" s="1"/>
      <c r="P29" s="50"/>
      <c r="Q29" s="50"/>
      <c r="R29" s="245"/>
      <c r="S29" s="50"/>
      <c r="T29" s="50"/>
      <c r="U29" s="50"/>
    </row>
    <row r="30" spans="1:21" x14ac:dyDescent="0.25">
      <c r="A30" s="863"/>
      <c r="B30" s="416"/>
      <c r="C30" s="93"/>
      <c r="D30" s="93"/>
      <c r="E30" s="93"/>
      <c r="F30" s="93"/>
      <c r="G30" s="93"/>
      <c r="H30" s="93"/>
      <c r="I30" s="93"/>
      <c r="J30" s="417"/>
      <c r="K30" s="93"/>
      <c r="L30" s="109"/>
      <c r="M30" s="109"/>
      <c r="N30" s="120"/>
      <c r="O30" s="1"/>
      <c r="P30" s="50"/>
      <c r="Q30" s="50"/>
      <c r="R30" s="245"/>
      <c r="S30" s="50"/>
      <c r="T30" s="50"/>
      <c r="U30" s="50"/>
    </row>
    <row r="31" spans="1:21" x14ac:dyDescent="0.25">
      <c r="A31" s="863"/>
      <c r="B31" s="416"/>
      <c r="C31" s="93"/>
      <c r="D31" s="93"/>
      <c r="E31" s="93"/>
      <c r="F31" s="93"/>
      <c r="G31" s="93"/>
      <c r="H31" s="93"/>
      <c r="I31" s="93"/>
      <c r="J31" s="417"/>
      <c r="K31" s="93"/>
      <c r="L31" s="109"/>
      <c r="M31" s="109"/>
      <c r="N31" s="120"/>
      <c r="O31" s="1"/>
      <c r="P31" s="50"/>
      <c r="Q31" s="50"/>
      <c r="R31" s="245"/>
      <c r="S31" s="50"/>
      <c r="T31" s="50"/>
      <c r="U31" s="50"/>
    </row>
    <row r="32" spans="1:21" x14ac:dyDescent="0.25">
      <c r="A32" s="863"/>
      <c r="B32" s="416"/>
      <c r="C32" s="93"/>
      <c r="D32" s="93"/>
      <c r="E32" s="93"/>
      <c r="F32" s="93"/>
      <c r="G32" s="93"/>
      <c r="H32" s="93"/>
      <c r="I32" s="93"/>
      <c r="J32" s="417"/>
      <c r="K32" s="93"/>
      <c r="L32" s="109"/>
      <c r="M32" s="109"/>
      <c r="N32" s="120"/>
      <c r="O32" s="1"/>
      <c r="P32" s="50"/>
      <c r="Q32" s="50"/>
      <c r="R32" s="245"/>
      <c r="S32" s="50"/>
      <c r="T32" s="50"/>
      <c r="U32" s="50"/>
    </row>
    <row r="33" spans="1:21" x14ac:dyDescent="0.25">
      <c r="A33" s="863"/>
      <c r="B33" s="416"/>
      <c r="C33" s="93"/>
      <c r="D33" s="93"/>
      <c r="E33" s="93"/>
      <c r="F33" s="93"/>
      <c r="G33" s="93"/>
      <c r="H33" s="93"/>
      <c r="I33" s="93"/>
      <c r="J33" s="417"/>
      <c r="K33" s="93"/>
      <c r="L33" s="109"/>
      <c r="M33" s="109"/>
      <c r="N33" s="120"/>
      <c r="O33" s="1"/>
      <c r="P33" s="50"/>
      <c r="Q33" s="50"/>
      <c r="R33" s="245"/>
      <c r="S33" s="50"/>
      <c r="T33" s="50"/>
      <c r="U33" s="50"/>
    </row>
    <row r="34" spans="1:21" x14ac:dyDescent="0.25">
      <c r="A34" s="863"/>
      <c r="B34" s="416"/>
      <c r="C34" s="93"/>
      <c r="D34" s="93"/>
      <c r="E34" s="93"/>
      <c r="F34" s="93"/>
      <c r="G34" s="93"/>
      <c r="H34" s="93"/>
      <c r="I34" s="93"/>
      <c r="J34" s="417"/>
      <c r="K34" s="93"/>
      <c r="L34" s="109"/>
      <c r="M34" s="109"/>
      <c r="N34" s="120"/>
      <c r="O34" s="1"/>
      <c r="P34" s="50"/>
      <c r="Q34" s="50"/>
      <c r="R34" s="245"/>
      <c r="S34" s="50"/>
      <c r="T34" s="50"/>
      <c r="U34" s="50"/>
    </row>
    <row r="35" spans="1:21" x14ac:dyDescent="0.25">
      <c r="A35" s="863"/>
      <c r="B35" s="416"/>
      <c r="C35" s="93"/>
      <c r="D35" s="93"/>
      <c r="E35" s="93"/>
      <c r="F35" s="93"/>
      <c r="G35" s="93"/>
      <c r="H35" s="93"/>
      <c r="I35" s="93"/>
      <c r="J35" s="417"/>
      <c r="K35" s="93"/>
      <c r="L35" s="109"/>
      <c r="M35" s="109"/>
      <c r="O35" s="1"/>
      <c r="P35" s="50"/>
      <c r="Q35" s="246"/>
      <c r="R35" s="247"/>
      <c r="S35" s="248"/>
      <c r="T35" s="50"/>
      <c r="U35" s="50"/>
    </row>
    <row r="36" spans="1:21" s="86" customFormat="1" x14ac:dyDescent="0.25">
      <c r="A36" s="864"/>
      <c r="B36" s="848"/>
      <c r="C36" s="244"/>
      <c r="D36" s="244"/>
      <c r="E36" s="244"/>
      <c r="F36" s="244"/>
      <c r="G36" s="244"/>
      <c r="H36" s="244"/>
      <c r="I36" s="244"/>
      <c r="J36" s="847"/>
      <c r="K36" s="244"/>
      <c r="L36" s="849"/>
      <c r="M36" s="849"/>
      <c r="N36" s="139"/>
      <c r="O36" s="20"/>
      <c r="P36" s="248"/>
      <c r="Q36" s="50"/>
      <c r="R36" s="245"/>
      <c r="S36" s="50"/>
      <c r="T36" s="248"/>
      <c r="U36" s="248"/>
    </row>
    <row r="37" spans="1:21" x14ac:dyDescent="0.25">
      <c r="A37" s="865"/>
      <c r="B37" s="848"/>
      <c r="C37" s="244"/>
      <c r="D37" s="244"/>
      <c r="E37" s="244"/>
      <c r="F37" s="244"/>
      <c r="G37" s="244"/>
      <c r="H37" s="244"/>
      <c r="I37" s="244"/>
      <c r="J37" s="847"/>
      <c r="K37" s="244"/>
      <c r="L37" s="849"/>
      <c r="M37" s="849"/>
      <c r="N37" s="120"/>
      <c r="O37" s="1"/>
      <c r="P37" s="50"/>
      <c r="Q37" s="50"/>
      <c r="R37" s="245"/>
      <c r="S37" s="50"/>
      <c r="T37" s="50"/>
      <c r="U37" s="50"/>
    </row>
    <row r="38" spans="1:21" x14ac:dyDescent="0.25">
      <c r="A38" s="865"/>
      <c r="B38" s="416"/>
      <c r="C38" s="93"/>
      <c r="D38" s="93"/>
      <c r="E38" s="93"/>
      <c r="F38" s="93"/>
      <c r="G38" s="93"/>
      <c r="H38" s="93"/>
      <c r="I38" s="93"/>
      <c r="J38" s="417"/>
      <c r="K38" s="93"/>
      <c r="L38" s="109"/>
      <c r="M38" s="109"/>
      <c r="N38" s="120"/>
      <c r="O38" s="1"/>
      <c r="P38" s="50"/>
      <c r="Q38" s="50"/>
      <c r="R38" s="245"/>
      <c r="S38" s="50"/>
      <c r="T38" s="50"/>
      <c r="U38" s="50"/>
    </row>
    <row r="39" spans="1:21" x14ac:dyDescent="0.25">
      <c r="A39" s="865"/>
      <c r="B39" s="416"/>
      <c r="C39" s="93"/>
      <c r="D39" s="93"/>
      <c r="E39" s="93"/>
      <c r="F39" s="93"/>
      <c r="G39" s="93"/>
      <c r="H39" s="93"/>
      <c r="I39" s="93"/>
      <c r="J39" s="417"/>
      <c r="K39" s="93"/>
      <c r="L39" s="109"/>
      <c r="M39" s="109"/>
      <c r="N39" s="120"/>
      <c r="O39" s="1"/>
      <c r="R39" s="16"/>
    </row>
    <row r="40" spans="1:21" x14ac:dyDescent="0.25">
      <c r="A40" s="865"/>
      <c r="B40" s="416"/>
      <c r="C40" s="93"/>
      <c r="D40" s="93"/>
      <c r="E40" s="93"/>
      <c r="F40" s="93"/>
      <c r="G40" s="93"/>
      <c r="H40" s="93"/>
      <c r="I40" s="93"/>
      <c r="J40" s="417"/>
      <c r="K40" s="93"/>
      <c r="L40" s="109"/>
      <c r="M40" s="109"/>
      <c r="N40" s="120"/>
      <c r="O40" s="1"/>
      <c r="R40" s="16"/>
    </row>
    <row r="41" spans="1:21" x14ac:dyDescent="0.25">
      <c r="A41" s="223"/>
      <c r="B41" s="93"/>
      <c r="C41" s="93"/>
      <c r="D41" s="93"/>
      <c r="E41" s="93"/>
      <c r="F41" s="93"/>
      <c r="G41" s="93"/>
      <c r="H41" s="93"/>
      <c r="I41" s="93"/>
      <c r="J41" s="93"/>
      <c r="K41" s="93"/>
      <c r="L41" s="93"/>
      <c r="M41" s="93"/>
      <c r="N41" s="120"/>
      <c r="O41" s="1"/>
      <c r="R41" s="16"/>
    </row>
    <row r="42" spans="1:21" x14ac:dyDescent="0.25">
      <c r="A42" s="223"/>
      <c r="B42" s="93"/>
      <c r="C42" s="93"/>
      <c r="D42" s="93"/>
      <c r="E42" s="93"/>
      <c r="F42" s="93"/>
      <c r="G42" s="93"/>
      <c r="H42" s="93"/>
      <c r="I42" s="93"/>
      <c r="J42" s="93"/>
      <c r="K42" s="93"/>
      <c r="L42" s="93"/>
      <c r="M42" s="93"/>
      <c r="N42" s="120"/>
      <c r="O42" s="1"/>
      <c r="R42" s="16"/>
    </row>
    <row r="43" spans="1:21" x14ac:dyDescent="0.25">
      <c r="A43" s="223"/>
      <c r="B43" s="93"/>
      <c r="C43" s="93"/>
      <c r="D43" s="93"/>
      <c r="E43" s="93"/>
      <c r="F43" s="93"/>
      <c r="G43" s="93"/>
      <c r="H43" s="93"/>
      <c r="I43" s="93"/>
      <c r="J43" s="93"/>
      <c r="K43" s="93"/>
      <c r="L43" s="93"/>
      <c r="M43" s="93"/>
      <c r="N43" s="130"/>
      <c r="O43" s="1"/>
    </row>
    <row r="44" spans="1:21" x14ac:dyDescent="0.25">
      <c r="A44" s="223"/>
      <c r="B44" s="93"/>
      <c r="C44" s="93"/>
      <c r="D44" s="93"/>
      <c r="E44" s="93"/>
      <c r="F44" s="93"/>
      <c r="G44" s="93"/>
      <c r="H44" s="93"/>
      <c r="I44" s="93"/>
      <c r="J44" s="93"/>
      <c r="K44" s="93"/>
      <c r="L44" s="93"/>
      <c r="M44" s="93"/>
      <c r="N44" s="130"/>
      <c r="O44" s="1"/>
    </row>
    <row r="45" spans="1:21" x14ac:dyDescent="0.25">
      <c r="A45" s="211"/>
      <c r="B45" s="93"/>
      <c r="C45" s="93"/>
      <c r="D45" s="93"/>
      <c r="E45" s="93"/>
      <c r="F45" s="93"/>
      <c r="G45" s="93"/>
      <c r="H45" s="93"/>
      <c r="I45" s="93"/>
      <c r="J45" s="93"/>
      <c r="K45" s="93"/>
      <c r="L45" s="93"/>
      <c r="M45" s="93"/>
      <c r="N45" s="130"/>
      <c r="O45" s="1"/>
    </row>
    <row r="46" spans="1:21" x14ac:dyDescent="0.25">
      <c r="A46" s="114"/>
      <c r="B46" s="93"/>
      <c r="C46" s="93"/>
      <c r="D46" s="93"/>
      <c r="E46" s="93"/>
      <c r="F46" s="93"/>
      <c r="G46" s="93"/>
      <c r="H46" s="93"/>
      <c r="I46" s="93"/>
      <c r="J46" s="93"/>
      <c r="K46" s="93"/>
      <c r="L46" s="93"/>
      <c r="M46" s="93"/>
      <c r="N46" s="120"/>
      <c r="O46" s="1"/>
    </row>
    <row r="47" spans="1:21" x14ac:dyDescent="0.25">
      <c r="A47" s="114"/>
      <c r="B47" s="93"/>
      <c r="C47" s="93"/>
      <c r="D47" s="93"/>
      <c r="E47" s="93"/>
      <c r="F47" s="93"/>
      <c r="G47" s="93"/>
      <c r="H47" s="93"/>
      <c r="I47" s="93"/>
      <c r="J47" s="93"/>
      <c r="K47" s="93"/>
      <c r="L47" s="93"/>
      <c r="M47" s="93"/>
      <c r="N47" s="120"/>
      <c r="O47" s="1"/>
    </row>
    <row r="48" spans="1:21" x14ac:dyDescent="0.25">
      <c r="A48" s="114"/>
      <c r="B48" s="93"/>
      <c r="C48" s="93"/>
      <c r="D48" s="93"/>
      <c r="E48" s="93"/>
      <c r="F48" s="93"/>
      <c r="G48" s="93"/>
      <c r="H48" s="93"/>
      <c r="I48" s="93"/>
      <c r="J48" s="93"/>
      <c r="K48" s="93"/>
      <c r="L48" s="93"/>
      <c r="M48" s="93"/>
      <c r="N48" s="120"/>
      <c r="O48" s="1"/>
    </row>
    <row r="49" spans="1:15" x14ac:dyDescent="0.25">
      <c r="A49" s="199"/>
      <c r="B49" s="93"/>
      <c r="C49" s="93"/>
      <c r="D49" s="93"/>
      <c r="E49" s="93"/>
      <c r="F49" s="93"/>
      <c r="G49" s="93"/>
      <c r="H49" s="93"/>
      <c r="I49" s="93"/>
      <c r="J49" s="93"/>
      <c r="K49" s="93"/>
      <c r="L49" s="93"/>
      <c r="M49" s="93"/>
      <c r="N49" s="120"/>
      <c r="O49" s="1"/>
    </row>
    <row r="50" spans="1:15" x14ac:dyDescent="0.25">
      <c r="A50" s="205"/>
      <c r="B50" s="93"/>
      <c r="C50" s="193"/>
      <c r="D50" s="193"/>
      <c r="E50" s="193"/>
      <c r="F50" s="193"/>
      <c r="G50" s="193"/>
      <c r="H50" s="193"/>
      <c r="I50" s="193"/>
      <c r="J50" s="193"/>
      <c r="K50" s="193"/>
      <c r="L50" s="193"/>
      <c r="M50" s="193"/>
      <c r="N50" s="120"/>
      <c r="O50" s="1"/>
    </row>
    <row r="51" spans="1:15" x14ac:dyDescent="0.25">
      <c r="A51" s="210"/>
      <c r="B51" s="93"/>
      <c r="C51" s="93"/>
      <c r="D51" s="93"/>
      <c r="E51" s="93"/>
      <c r="F51" s="93"/>
      <c r="G51" s="93"/>
      <c r="H51" s="93"/>
      <c r="I51" s="93"/>
      <c r="J51" s="93"/>
      <c r="K51" s="193"/>
      <c r="L51" s="193"/>
      <c r="M51" s="93"/>
      <c r="N51" s="120"/>
      <c r="O51" s="1"/>
    </row>
    <row r="52" spans="1:15" x14ac:dyDescent="0.25">
      <c r="A52" s="210"/>
      <c r="B52" s="93"/>
      <c r="C52" s="93"/>
      <c r="D52" s="93"/>
      <c r="E52" s="93"/>
      <c r="F52" s="93"/>
      <c r="G52" s="93"/>
      <c r="H52" s="93"/>
      <c r="I52" s="93"/>
      <c r="J52" s="93"/>
      <c r="K52" s="193"/>
      <c r="L52" s="193"/>
      <c r="M52" s="93"/>
      <c r="N52" s="120"/>
      <c r="O52" s="1"/>
    </row>
    <row r="53" spans="1:15" x14ac:dyDescent="0.25">
      <c r="A53" s="114"/>
      <c r="B53" s="93"/>
      <c r="C53" s="93"/>
      <c r="D53" s="93"/>
      <c r="E53" s="93"/>
      <c r="F53" s="93"/>
      <c r="G53" s="93"/>
      <c r="H53" s="93"/>
      <c r="I53" s="93"/>
      <c r="J53" s="93"/>
      <c r="K53" s="93"/>
      <c r="L53" s="93"/>
      <c r="M53" s="93"/>
      <c r="N53" s="120"/>
      <c r="O53" s="1"/>
    </row>
    <row r="54" spans="1:15" x14ac:dyDescent="0.25">
      <c r="A54" s="114"/>
      <c r="B54" s="93"/>
      <c r="C54" s="93"/>
      <c r="D54" s="93"/>
      <c r="E54" s="93"/>
      <c r="F54" s="93"/>
      <c r="G54" s="93"/>
      <c r="H54" s="93"/>
      <c r="I54" s="93"/>
      <c r="J54" s="93"/>
      <c r="K54" s="93"/>
      <c r="L54" s="93"/>
      <c r="M54" s="93"/>
      <c r="N54" s="120"/>
      <c r="O54" s="1"/>
    </row>
    <row r="55" spans="1:15" x14ac:dyDescent="0.25">
      <c r="A55" s="114"/>
      <c r="B55" s="93"/>
      <c r="C55" s="93"/>
      <c r="D55" s="93"/>
      <c r="E55" s="93"/>
      <c r="F55" s="93"/>
      <c r="G55" s="93"/>
      <c r="H55" s="93"/>
      <c r="I55" s="93"/>
      <c r="J55" s="93"/>
      <c r="K55" s="93"/>
      <c r="L55" s="93"/>
      <c r="M55" s="93"/>
      <c r="N55" s="120"/>
      <c r="O55" s="1"/>
    </row>
    <row r="56" spans="1:15" x14ac:dyDescent="0.25">
      <c r="A56" s="114"/>
      <c r="B56" s="93"/>
      <c r="C56" s="93"/>
      <c r="D56" s="93"/>
      <c r="E56" s="93"/>
      <c r="F56" s="93"/>
      <c r="G56" s="93"/>
      <c r="H56" s="93"/>
      <c r="I56" s="93"/>
      <c r="J56" s="196"/>
      <c r="K56" s="196"/>
      <c r="L56" s="196"/>
      <c r="M56" s="196"/>
      <c r="N56" s="120"/>
      <c r="O56" s="1"/>
    </row>
    <row r="57" spans="1:15" x14ac:dyDescent="0.25">
      <c r="A57" s="210"/>
      <c r="B57" s="93"/>
      <c r="C57" s="93"/>
      <c r="D57" s="93"/>
      <c r="E57" s="93"/>
      <c r="F57" s="93"/>
      <c r="G57" s="93"/>
      <c r="H57" s="93"/>
      <c r="I57" s="93"/>
      <c r="J57" s="93"/>
      <c r="K57" s="93"/>
      <c r="L57" s="93"/>
      <c r="M57" s="93"/>
      <c r="N57" s="120"/>
      <c r="O57" s="1"/>
    </row>
    <row r="58" spans="1:15" x14ac:dyDescent="0.25">
      <c r="A58" s="210"/>
      <c r="B58" s="93"/>
      <c r="C58" s="93"/>
      <c r="D58" s="93"/>
      <c r="E58" s="93"/>
      <c r="F58" s="93"/>
      <c r="G58" s="93"/>
      <c r="H58" s="93"/>
      <c r="I58" s="93"/>
      <c r="J58" s="93"/>
      <c r="K58" s="93"/>
      <c r="L58" s="93"/>
      <c r="M58" s="93"/>
      <c r="N58" s="120"/>
      <c r="O58" s="1"/>
    </row>
    <row r="59" spans="1:15" x14ac:dyDescent="0.25">
      <c r="A59" s="210"/>
      <c r="B59" s="93"/>
      <c r="C59" s="93"/>
      <c r="D59" s="93"/>
      <c r="E59" s="93"/>
      <c r="F59" s="93"/>
      <c r="G59" s="93"/>
      <c r="H59" s="93"/>
      <c r="I59" s="93"/>
      <c r="J59" s="93"/>
      <c r="K59" s="93"/>
      <c r="L59" s="93"/>
      <c r="M59" s="93"/>
      <c r="N59" s="120"/>
      <c r="O59" s="1"/>
    </row>
    <row r="60" spans="1:15" x14ac:dyDescent="0.25">
      <c r="A60" s="114"/>
      <c r="B60" s="114"/>
      <c r="C60" s="114"/>
      <c r="D60" s="114"/>
      <c r="E60" s="114"/>
      <c r="F60" s="114"/>
      <c r="G60" s="114"/>
      <c r="H60" s="114"/>
      <c r="I60" s="114"/>
      <c r="J60" s="114"/>
      <c r="K60" s="93"/>
      <c r="L60" s="93"/>
      <c r="M60" s="114"/>
      <c r="N60" s="120"/>
      <c r="O60" s="1"/>
    </row>
    <row r="61" spans="1:15" x14ac:dyDescent="0.25">
      <c r="A61" s="114"/>
      <c r="B61" s="114"/>
      <c r="C61" s="114"/>
      <c r="D61" s="114"/>
      <c r="E61" s="114"/>
      <c r="F61" s="114"/>
      <c r="G61" s="114"/>
      <c r="H61" s="114"/>
      <c r="I61" s="114"/>
      <c r="J61" s="180"/>
      <c r="K61" s="93"/>
      <c r="L61" s="93"/>
      <c r="M61" s="180"/>
      <c r="N61" s="120"/>
      <c r="O61" s="1"/>
    </row>
    <row r="62" spans="1:15" x14ac:dyDescent="0.25">
      <c r="A62" s="114"/>
      <c r="B62" s="114"/>
      <c r="C62" s="114"/>
      <c r="D62" s="114"/>
      <c r="E62" s="114"/>
      <c r="F62" s="114"/>
      <c r="G62" s="114"/>
      <c r="H62" s="114"/>
      <c r="I62" s="114"/>
      <c r="J62" s="180"/>
      <c r="K62" s="93"/>
      <c r="L62" s="93"/>
      <c r="M62" s="180"/>
      <c r="N62" s="120"/>
      <c r="O62" s="1"/>
    </row>
    <row r="63" spans="1:15" x14ac:dyDescent="0.25">
      <c r="A63" s="114"/>
      <c r="B63" s="114"/>
      <c r="C63" s="114"/>
      <c r="D63" s="114"/>
      <c r="E63" s="114"/>
      <c r="F63" s="114"/>
      <c r="G63" s="114"/>
      <c r="H63" s="114"/>
      <c r="I63" s="114"/>
      <c r="J63" s="180"/>
      <c r="K63" s="180"/>
      <c r="L63" s="180"/>
      <c r="M63" s="180"/>
      <c r="N63" s="120"/>
      <c r="O63" s="1"/>
    </row>
    <row r="64" spans="1:15" x14ac:dyDescent="0.25">
      <c r="A64" s="114"/>
      <c r="B64" s="114"/>
      <c r="C64" s="114"/>
      <c r="D64" s="114"/>
      <c r="E64" s="114"/>
      <c r="F64" s="114"/>
      <c r="G64" s="114"/>
      <c r="H64" s="114"/>
      <c r="I64" s="114"/>
      <c r="J64" s="180"/>
      <c r="K64" s="180"/>
      <c r="L64" s="180"/>
      <c r="M64" s="180"/>
      <c r="N64" s="120"/>
      <c r="O64" s="1"/>
    </row>
    <row r="65" spans="1:15" x14ac:dyDescent="0.25">
      <c r="A65" s="114"/>
      <c r="B65" s="114"/>
      <c r="C65" s="114"/>
      <c r="D65" s="114"/>
      <c r="E65" s="114"/>
      <c r="F65" s="114"/>
      <c r="G65" s="114"/>
      <c r="H65" s="114"/>
      <c r="I65" s="114"/>
      <c r="J65" s="180"/>
      <c r="K65" s="180"/>
      <c r="L65" s="180"/>
      <c r="M65" s="180"/>
      <c r="N65" s="120">
        <f>+L22-14416090</f>
        <v>-14416090</v>
      </c>
      <c r="O65" s="1"/>
    </row>
    <row r="66" spans="1:15" x14ac:dyDescent="0.25">
      <c r="A66" s="114"/>
      <c r="B66" s="114"/>
      <c r="C66" s="114"/>
      <c r="D66" s="114"/>
      <c r="E66" s="114"/>
      <c r="F66" s="114"/>
      <c r="G66" s="114"/>
      <c r="H66" s="114"/>
      <c r="I66" s="114"/>
      <c r="J66" s="114"/>
      <c r="K66" s="114"/>
      <c r="L66" s="114"/>
      <c r="M66" s="114"/>
      <c r="N66" s="120"/>
      <c r="O66" s="1"/>
    </row>
    <row r="67" spans="1:15" x14ac:dyDescent="0.25">
      <c r="A67" s="114"/>
      <c r="B67" s="93"/>
      <c r="C67" s="93"/>
      <c r="D67" s="93"/>
      <c r="E67" s="93"/>
      <c r="F67" s="93"/>
      <c r="G67" s="93"/>
      <c r="H67" s="93"/>
      <c r="I67" s="93"/>
      <c r="J67" s="93"/>
      <c r="K67" s="193"/>
      <c r="L67" s="193"/>
      <c r="M67" s="93"/>
      <c r="N67" s="120"/>
      <c r="O67" s="1"/>
    </row>
    <row r="68" spans="1:15" x14ac:dyDescent="0.25">
      <c r="A68" s="114"/>
      <c r="B68" s="93"/>
      <c r="C68" s="93"/>
      <c r="D68" s="93"/>
      <c r="E68" s="93"/>
      <c r="F68" s="93"/>
      <c r="G68" s="93"/>
      <c r="H68" s="93"/>
      <c r="I68" s="93"/>
      <c r="J68" s="93"/>
      <c r="K68" s="93"/>
      <c r="L68" s="93"/>
      <c r="M68" s="93"/>
      <c r="N68" s="120"/>
      <c r="O68" s="1"/>
    </row>
    <row r="69" spans="1:15" x14ac:dyDescent="0.25">
      <c r="A69" s="114"/>
      <c r="B69" s="93"/>
      <c r="C69" s="93"/>
      <c r="D69" s="93"/>
      <c r="E69" s="93"/>
      <c r="F69" s="93"/>
      <c r="G69" s="93"/>
      <c r="H69" s="93"/>
      <c r="I69" s="93"/>
      <c r="J69" s="93"/>
      <c r="K69" s="93"/>
      <c r="L69" s="93"/>
      <c r="M69" s="93"/>
      <c r="N69" s="120"/>
      <c r="O69" s="1"/>
    </row>
    <row r="70" spans="1:15" x14ac:dyDescent="0.25">
      <c r="A70" s="114"/>
      <c r="B70" s="93"/>
      <c r="C70" s="93"/>
      <c r="D70" s="93"/>
      <c r="E70" s="93"/>
      <c r="F70" s="93"/>
      <c r="G70" s="93"/>
      <c r="H70" s="93"/>
      <c r="I70" s="93"/>
      <c r="J70" s="93"/>
      <c r="K70" s="93"/>
      <c r="L70" s="93"/>
      <c r="M70" s="93"/>
      <c r="N70" s="120"/>
      <c r="O70" s="1"/>
    </row>
    <row r="71" spans="1:15" x14ac:dyDescent="0.25">
      <c r="A71" s="114"/>
      <c r="B71" s="93"/>
      <c r="C71" s="93"/>
      <c r="D71" s="93"/>
      <c r="E71" s="93"/>
      <c r="F71" s="93"/>
      <c r="G71" s="93"/>
      <c r="H71" s="93"/>
      <c r="I71" s="93"/>
      <c r="J71" s="93"/>
      <c r="K71" s="193"/>
      <c r="L71" s="193"/>
      <c r="M71" s="93"/>
      <c r="N71" s="120"/>
      <c r="O71" s="1"/>
    </row>
    <row r="72" spans="1:15" x14ac:dyDescent="0.25">
      <c r="A72" s="198"/>
      <c r="B72" s="93"/>
      <c r="C72" s="93"/>
      <c r="D72" s="93"/>
      <c r="E72" s="93"/>
      <c r="F72" s="93"/>
      <c r="G72" s="93"/>
      <c r="H72" s="93"/>
      <c r="I72" s="93"/>
      <c r="J72" s="93"/>
      <c r="K72" s="93"/>
      <c r="L72" s="93"/>
      <c r="M72" s="93"/>
      <c r="N72" s="120"/>
      <c r="O72" s="1"/>
    </row>
    <row r="73" spans="1:15" x14ac:dyDescent="0.25">
      <c r="A73" s="198"/>
      <c r="B73" s="93"/>
      <c r="C73" s="93"/>
      <c r="D73" s="93"/>
      <c r="E73" s="93"/>
      <c r="F73" s="93"/>
      <c r="G73" s="93"/>
      <c r="H73" s="93"/>
      <c r="I73" s="93"/>
      <c r="J73" s="93"/>
      <c r="K73" s="93"/>
      <c r="L73" s="93"/>
      <c r="M73" s="93"/>
      <c r="N73" s="120"/>
      <c r="O73" s="1"/>
    </row>
    <row r="74" spans="1:15" x14ac:dyDescent="0.25">
      <c r="A74" s="114"/>
      <c r="B74" s="93"/>
      <c r="C74" s="93"/>
      <c r="D74" s="93"/>
      <c r="E74" s="93"/>
      <c r="F74" s="93"/>
      <c r="G74" s="93"/>
      <c r="H74" s="93"/>
      <c r="I74" s="93"/>
      <c r="J74" s="93"/>
      <c r="K74" s="93"/>
      <c r="L74" s="93"/>
      <c r="M74" s="93"/>
      <c r="N74" s="120"/>
      <c r="O74" s="1"/>
    </row>
    <row r="75" spans="1:15" x14ac:dyDescent="0.25">
      <c r="A75" s="199"/>
      <c r="B75" s="125"/>
      <c r="C75" s="125"/>
      <c r="D75" s="125"/>
      <c r="E75" s="125"/>
      <c r="F75" s="125"/>
      <c r="G75" s="125"/>
      <c r="H75" s="125"/>
      <c r="I75" s="125"/>
      <c r="J75" s="125"/>
      <c r="K75" s="125"/>
      <c r="L75" s="125"/>
      <c r="M75" s="125"/>
      <c r="N75" s="120"/>
      <c r="O75" s="1"/>
    </row>
    <row r="76" spans="1:15" x14ac:dyDescent="0.25">
      <c r="A76" s="199"/>
      <c r="B76" s="114"/>
      <c r="C76" s="114"/>
      <c r="D76" s="114"/>
      <c r="E76" s="114"/>
      <c r="F76" s="114"/>
      <c r="G76" s="114"/>
      <c r="H76" s="114"/>
      <c r="I76" s="114"/>
      <c r="J76" s="114"/>
      <c r="K76" s="114"/>
      <c r="L76" s="114"/>
      <c r="M76" s="114"/>
      <c r="N76" s="120"/>
      <c r="O76" s="1"/>
    </row>
    <row r="77" spans="1:15" x14ac:dyDescent="0.25">
      <c r="A77" s="199"/>
      <c r="B77" s="93"/>
      <c r="C77" s="93"/>
      <c r="D77" s="93"/>
      <c r="E77" s="93"/>
      <c r="F77" s="93"/>
      <c r="G77" s="93"/>
      <c r="H77" s="93"/>
      <c r="I77" s="93"/>
      <c r="J77" s="93"/>
      <c r="K77" s="93"/>
      <c r="L77" s="93"/>
      <c r="M77" s="93"/>
      <c r="N77" s="120"/>
      <c r="O77" s="1"/>
    </row>
    <row r="78" spans="1:15" x14ac:dyDescent="0.25">
      <c r="A78" s="199"/>
      <c r="B78" s="200"/>
      <c r="C78" s="200"/>
      <c r="D78" s="200"/>
      <c r="E78" s="200"/>
      <c r="F78" s="200"/>
      <c r="G78" s="200"/>
      <c r="H78" s="200"/>
      <c r="I78" s="200"/>
      <c r="J78" s="200"/>
      <c r="K78" s="200"/>
      <c r="L78" s="200"/>
      <c r="M78" s="200"/>
      <c r="N78" s="120"/>
      <c r="O78" s="1"/>
    </row>
    <row r="79" spans="1:15" x14ac:dyDescent="0.25">
      <c r="A79" s="201"/>
      <c r="B79" s="202"/>
      <c r="C79" s="202"/>
      <c r="D79" s="202"/>
      <c r="E79" s="202"/>
      <c r="F79" s="202"/>
      <c r="G79" s="202"/>
      <c r="H79" s="202"/>
      <c r="I79" s="202"/>
      <c r="J79" s="202"/>
      <c r="K79" s="202"/>
      <c r="L79" s="202"/>
      <c r="M79" s="202"/>
      <c r="N79" s="120"/>
      <c r="O79" s="1"/>
    </row>
    <row r="80" spans="1:15" x14ac:dyDescent="0.25">
      <c r="A80" s="201"/>
      <c r="B80" s="202"/>
      <c r="C80" s="202"/>
      <c r="D80" s="202"/>
      <c r="E80" s="202"/>
      <c r="F80" s="202"/>
      <c r="G80" s="202"/>
      <c r="H80" s="202"/>
      <c r="I80" s="202"/>
      <c r="J80" s="202"/>
      <c r="K80" s="202"/>
      <c r="L80" s="202"/>
      <c r="M80" s="202"/>
      <c r="N80" s="120"/>
      <c r="O80" s="1"/>
    </row>
    <row r="81" spans="1:15" x14ac:dyDescent="0.25">
      <c r="A81" s="201"/>
      <c r="B81" s="202"/>
      <c r="C81" s="202"/>
      <c r="D81" s="202"/>
      <c r="E81" s="202"/>
      <c r="F81" s="202"/>
      <c r="G81" s="202"/>
      <c r="H81" s="202"/>
      <c r="I81" s="202"/>
      <c r="J81" s="202"/>
      <c r="K81" s="202"/>
      <c r="L81" s="202"/>
      <c r="M81" s="202"/>
      <c r="N81" s="120"/>
      <c r="O81" s="1"/>
    </row>
    <row r="82" spans="1:15" x14ac:dyDescent="0.25">
      <c r="A82" s="201"/>
      <c r="B82" s="202"/>
      <c r="C82" s="202"/>
      <c r="D82" s="202"/>
      <c r="E82" s="202"/>
      <c r="F82" s="202"/>
      <c r="G82" s="202"/>
      <c r="H82" s="202"/>
      <c r="I82" s="202"/>
      <c r="J82" s="202"/>
      <c r="K82" s="202"/>
      <c r="L82" s="202"/>
      <c r="M82" s="202"/>
      <c r="N82" s="120"/>
      <c r="O82" s="1"/>
    </row>
    <row r="83" spans="1:15" x14ac:dyDescent="0.25">
      <c r="A83" s="203"/>
      <c r="B83" s="204"/>
      <c r="C83" s="204"/>
      <c r="D83" s="204"/>
      <c r="E83" s="204"/>
      <c r="F83" s="204"/>
      <c r="G83" s="204"/>
      <c r="H83" s="204"/>
      <c r="I83" s="204"/>
      <c r="J83" s="204"/>
      <c r="K83" s="204"/>
      <c r="L83" s="204"/>
      <c r="M83" s="204"/>
      <c r="N83" s="120"/>
      <c r="O83" s="1"/>
    </row>
    <row r="84" spans="1:15" x14ac:dyDescent="0.25">
      <c r="A84" s="205"/>
      <c r="B84" s="200"/>
      <c r="C84" s="140"/>
      <c r="D84" s="140"/>
      <c r="E84" s="140"/>
      <c r="F84" s="140"/>
      <c r="G84" s="140"/>
      <c r="H84" s="140"/>
      <c r="I84" s="140"/>
      <c r="J84" s="140"/>
      <c r="K84" s="140"/>
      <c r="L84" s="140"/>
      <c r="M84" s="140"/>
      <c r="N84" s="120"/>
      <c r="O84" s="1"/>
    </row>
    <row r="85" spans="1:15" x14ac:dyDescent="0.25">
      <c r="A85" s="141"/>
      <c r="B85" s="200"/>
      <c r="C85" s="140"/>
      <c r="D85" s="140"/>
      <c r="E85" s="140"/>
      <c r="F85" s="140"/>
      <c r="G85" s="140"/>
      <c r="H85" s="140"/>
      <c r="I85" s="140"/>
      <c r="J85" s="140"/>
      <c r="K85" s="140"/>
      <c r="L85" s="140"/>
      <c r="M85" s="140"/>
      <c r="N85" s="120"/>
      <c r="O85" s="1"/>
    </row>
    <row r="86" spans="1:15" x14ac:dyDescent="0.25">
      <c r="A86" s="114"/>
      <c r="B86" s="93"/>
      <c r="C86" s="93"/>
      <c r="D86" s="93"/>
      <c r="E86" s="93"/>
      <c r="F86" s="93"/>
      <c r="G86" s="93"/>
      <c r="H86" s="93"/>
      <c r="I86" s="93"/>
      <c r="J86" s="93"/>
      <c r="K86" s="93"/>
      <c r="L86" s="93"/>
      <c r="M86" s="93"/>
      <c r="N86" s="120"/>
      <c r="O86" s="1"/>
    </row>
    <row r="87" spans="1:15" ht="18.75" x14ac:dyDescent="0.3">
      <c r="A87" s="206"/>
      <c r="B87" s="93"/>
      <c r="C87" s="93"/>
      <c r="D87" s="93"/>
      <c r="E87" s="93"/>
      <c r="F87" s="93"/>
      <c r="G87" s="93"/>
      <c r="H87" s="93"/>
      <c r="I87" s="93"/>
      <c r="J87" s="93"/>
      <c r="K87" s="93"/>
      <c r="L87" s="93"/>
      <c r="M87" s="93"/>
    </row>
    <row r="88" spans="1:15" x14ac:dyDescent="0.25">
      <c r="A88" s="116"/>
      <c r="B88" s="207"/>
      <c r="C88" s="207"/>
      <c r="D88" s="207"/>
      <c r="E88" s="207"/>
      <c r="F88" s="207"/>
      <c r="G88" s="207"/>
      <c r="H88" s="207"/>
      <c r="I88" s="207"/>
      <c r="J88" s="207"/>
      <c r="K88" s="207"/>
      <c r="L88" s="207"/>
      <c r="M88" s="207"/>
      <c r="N88" s="120"/>
      <c r="O88" s="1"/>
    </row>
    <row r="89" spans="1:15" x14ac:dyDescent="0.25">
      <c r="A89" s="114"/>
      <c r="B89" s="93"/>
      <c r="C89" s="93"/>
      <c r="D89" s="93"/>
      <c r="E89" s="93"/>
      <c r="F89" s="93"/>
      <c r="G89" s="93"/>
      <c r="H89" s="93"/>
      <c r="I89" s="93"/>
      <c r="J89" s="93"/>
      <c r="K89" s="93"/>
      <c r="L89" s="93"/>
      <c r="M89" s="93"/>
      <c r="N89" s="120"/>
      <c r="O89" s="1"/>
    </row>
    <row r="90" spans="1:15" x14ac:dyDescent="0.25">
      <c r="A90" s="114"/>
      <c r="B90" s="93"/>
      <c r="C90" s="93"/>
      <c r="D90" s="93"/>
      <c r="E90" s="93"/>
      <c r="F90" s="93"/>
      <c r="G90" s="93"/>
      <c r="H90" s="93"/>
      <c r="I90" s="93"/>
      <c r="J90" s="93"/>
      <c r="K90" s="93"/>
      <c r="L90" s="93"/>
      <c r="M90" s="93"/>
      <c r="N90" s="120"/>
      <c r="O90" s="1"/>
    </row>
    <row r="91" spans="1:15" x14ac:dyDescent="0.25">
      <c r="A91" s="201"/>
      <c r="B91" s="93"/>
      <c r="C91" s="93"/>
      <c r="D91" s="93"/>
      <c r="E91" s="93"/>
      <c r="F91" s="93"/>
      <c r="G91" s="93"/>
      <c r="H91" s="93"/>
      <c r="I91" s="93"/>
      <c r="J91" s="93"/>
      <c r="K91" s="93"/>
      <c r="L91" s="93"/>
      <c r="M91" s="93"/>
      <c r="N91" s="120"/>
      <c r="O91" s="1"/>
    </row>
    <row r="92" spans="1:15" x14ac:dyDescent="0.25">
      <c r="A92" s="201"/>
      <c r="B92" s="93"/>
      <c r="C92" s="93"/>
      <c r="D92" s="93"/>
      <c r="E92" s="93"/>
      <c r="F92" s="93"/>
      <c r="G92" s="93"/>
      <c r="H92" s="93"/>
      <c r="I92" s="93"/>
      <c r="J92" s="93"/>
      <c r="K92" s="93"/>
      <c r="L92" s="93"/>
      <c r="M92" s="93"/>
      <c r="N92" s="120"/>
      <c r="O92" s="1"/>
    </row>
    <row r="93" spans="1:15" x14ac:dyDescent="0.25">
      <c r="A93" s="201"/>
      <c r="B93" s="93"/>
      <c r="C93" s="93"/>
      <c r="D93" s="93"/>
      <c r="E93" s="93"/>
      <c r="F93" s="93"/>
      <c r="G93" s="93"/>
      <c r="H93" s="93"/>
      <c r="I93" s="93"/>
      <c r="J93" s="93"/>
      <c r="K93" s="93"/>
      <c r="L93" s="93"/>
      <c r="M93" s="93"/>
      <c r="N93" s="120"/>
      <c r="O93" s="1"/>
    </row>
    <row r="94" spans="1:15" s="17" customFormat="1" x14ac:dyDescent="0.25">
      <c r="A94" s="201"/>
      <c r="B94" s="93"/>
      <c r="C94" s="93"/>
      <c r="D94" s="93"/>
      <c r="E94" s="93"/>
      <c r="F94" s="93"/>
      <c r="G94" s="93"/>
      <c r="H94" s="93"/>
      <c r="I94" s="93"/>
      <c r="J94" s="93"/>
      <c r="K94" s="93"/>
      <c r="L94" s="93"/>
      <c r="M94" s="93"/>
      <c r="N94" s="128"/>
      <c r="O94" s="32"/>
    </row>
    <row r="95" spans="1:15" x14ac:dyDescent="0.25">
      <c r="A95" s="199"/>
      <c r="B95" s="93"/>
      <c r="C95" s="93"/>
      <c r="D95" s="93"/>
      <c r="E95" s="93"/>
      <c r="F95" s="93"/>
      <c r="G95" s="93"/>
      <c r="H95" s="93"/>
      <c r="I95" s="93"/>
      <c r="J95" s="93"/>
      <c r="K95" s="93"/>
      <c r="L95" s="93"/>
      <c r="M95" s="93"/>
      <c r="N95" s="120"/>
      <c r="O95" s="1"/>
    </row>
    <row r="96" spans="1:15" x14ac:dyDescent="0.25">
      <c r="A96" s="114"/>
      <c r="B96" s="93"/>
      <c r="C96" s="93"/>
      <c r="D96" s="93"/>
      <c r="E96" s="93"/>
      <c r="F96" s="93"/>
      <c r="G96" s="93"/>
      <c r="H96" s="93"/>
      <c r="I96" s="93"/>
      <c r="J96" s="93"/>
      <c r="K96" s="93"/>
      <c r="L96" s="93"/>
      <c r="M96" s="93"/>
      <c r="N96" s="120"/>
      <c r="O96" s="1"/>
    </row>
    <row r="97" spans="1:15" x14ac:dyDescent="0.25">
      <c r="A97" s="114"/>
      <c r="B97" s="93"/>
      <c r="C97" s="93"/>
      <c r="D97" s="93"/>
      <c r="E97" s="93"/>
      <c r="F97" s="93"/>
      <c r="G97" s="93"/>
      <c r="H97" s="93"/>
      <c r="I97" s="93"/>
      <c r="J97" s="93"/>
      <c r="K97" s="93"/>
      <c r="L97" s="93"/>
      <c r="M97" s="93"/>
      <c r="N97" s="120"/>
      <c r="O97" s="1"/>
    </row>
    <row r="98" spans="1:15" x14ac:dyDescent="0.25">
      <c r="A98" s="114"/>
      <c r="B98" s="112"/>
      <c r="C98" s="112"/>
      <c r="D98" s="112"/>
      <c r="E98" s="112"/>
      <c r="F98" s="112"/>
      <c r="G98" s="112"/>
      <c r="H98" s="112"/>
      <c r="I98" s="112"/>
      <c r="J98" s="112"/>
      <c r="K98" s="112"/>
      <c r="L98" s="112"/>
      <c r="M98" s="112"/>
      <c r="N98" s="120"/>
      <c r="O98" s="1"/>
    </row>
    <row r="99" spans="1:15" x14ac:dyDescent="0.25">
      <c r="A99" s="114"/>
      <c r="B99" s="112"/>
      <c r="C99" s="112"/>
      <c r="D99" s="112"/>
      <c r="E99" s="112"/>
      <c r="F99" s="112"/>
      <c r="G99" s="112"/>
      <c r="H99" s="112"/>
      <c r="I99" s="112"/>
      <c r="J99" s="112"/>
      <c r="K99" s="112"/>
      <c r="L99" s="112"/>
      <c r="M99" s="112"/>
      <c r="N99" s="120"/>
      <c r="O99" s="1"/>
    </row>
    <row r="100" spans="1:15" x14ac:dyDescent="0.25">
      <c r="A100" s="114"/>
      <c r="B100" s="93"/>
      <c r="C100" s="93"/>
      <c r="D100" s="93"/>
      <c r="E100" s="93"/>
      <c r="F100" s="93"/>
      <c r="G100" s="93"/>
      <c r="H100" s="93"/>
      <c r="I100" s="93"/>
      <c r="J100" s="93"/>
      <c r="K100" s="93"/>
      <c r="L100" s="93"/>
      <c r="M100" s="93"/>
      <c r="N100" s="120"/>
      <c r="O100" s="1"/>
    </row>
    <row r="101" spans="1:15" x14ac:dyDescent="0.25">
      <c r="A101" s="114"/>
      <c r="B101" s="93"/>
      <c r="C101" s="93"/>
      <c r="D101" s="93"/>
      <c r="E101" s="93"/>
      <c r="F101" s="93"/>
      <c r="G101" s="93"/>
      <c r="H101" s="93"/>
      <c r="I101" s="93"/>
      <c r="J101" s="93"/>
      <c r="K101" s="93"/>
      <c r="L101" s="93"/>
      <c r="M101" s="93"/>
      <c r="N101" s="120"/>
      <c r="O101" s="1"/>
    </row>
    <row r="102" spans="1:15" x14ac:dyDescent="0.25">
      <c r="A102" s="114"/>
      <c r="B102" s="93"/>
      <c r="C102" s="93"/>
      <c r="D102" s="93"/>
      <c r="E102" s="93"/>
      <c r="F102" s="93"/>
      <c r="G102" s="93"/>
      <c r="H102" s="93"/>
      <c r="I102" s="93"/>
      <c r="J102" s="93"/>
      <c r="K102" s="93"/>
      <c r="L102" s="93"/>
      <c r="M102" s="93"/>
      <c r="N102" s="120"/>
      <c r="O102" s="1"/>
    </row>
    <row r="103" spans="1:15" x14ac:dyDescent="0.25">
      <c r="A103" s="114"/>
      <c r="B103" s="93"/>
      <c r="C103" s="93"/>
      <c r="D103" s="93"/>
      <c r="E103" s="93"/>
      <c r="F103" s="93"/>
      <c r="G103" s="93"/>
      <c r="H103" s="93"/>
      <c r="I103" s="93"/>
      <c r="J103" s="93"/>
      <c r="K103" s="93"/>
      <c r="L103" s="93"/>
      <c r="M103" s="93"/>
      <c r="N103" s="120"/>
      <c r="O103" s="1"/>
    </row>
    <row r="104" spans="1:15" x14ac:dyDescent="0.25">
      <c r="A104" s="114"/>
      <c r="B104" s="93"/>
      <c r="C104" s="93"/>
      <c r="D104" s="93"/>
      <c r="E104" s="93"/>
      <c r="F104" s="93"/>
      <c r="G104" s="93"/>
      <c r="H104" s="93"/>
      <c r="I104" s="93"/>
      <c r="J104" s="93"/>
      <c r="K104" s="93"/>
      <c r="L104" s="93"/>
      <c r="M104" s="93"/>
      <c r="N104" s="120"/>
      <c r="O104" s="1"/>
    </row>
    <row r="105" spans="1:15" x14ac:dyDescent="0.25">
      <c r="A105" s="114"/>
      <c r="B105" s="93"/>
      <c r="C105" s="93"/>
      <c r="D105" s="93"/>
      <c r="E105" s="93"/>
      <c r="F105" s="93"/>
      <c r="G105" s="93"/>
      <c r="H105" s="93"/>
      <c r="I105" s="93"/>
      <c r="J105" s="93"/>
      <c r="K105" s="93"/>
      <c r="L105" s="93"/>
      <c r="M105" s="93"/>
      <c r="N105" s="120"/>
      <c r="O105" s="1"/>
    </row>
    <row r="106" spans="1:15" x14ac:dyDescent="0.25">
      <c r="A106" s="114"/>
      <c r="B106" s="93"/>
      <c r="C106" s="93"/>
      <c r="D106" s="93"/>
      <c r="E106" s="93"/>
      <c r="F106" s="93"/>
      <c r="G106" s="93"/>
      <c r="H106" s="93"/>
      <c r="I106" s="93"/>
      <c r="J106" s="93"/>
      <c r="K106" s="93"/>
      <c r="L106" s="93"/>
      <c r="M106" s="93"/>
      <c r="N106" s="120"/>
      <c r="O106" s="1"/>
    </row>
    <row r="107" spans="1:15" x14ac:dyDescent="0.25">
      <c r="A107" s="114"/>
      <c r="B107" s="93"/>
      <c r="C107" s="93"/>
      <c r="D107" s="93"/>
      <c r="E107" s="93"/>
      <c r="F107" s="93"/>
      <c r="G107" s="93"/>
      <c r="H107" s="93"/>
      <c r="I107" s="93"/>
      <c r="J107" s="93"/>
      <c r="K107" s="93"/>
      <c r="L107" s="93"/>
      <c r="M107" s="93"/>
      <c r="N107" s="120"/>
      <c r="O107" s="1"/>
    </row>
    <row r="108" spans="1:15" x14ac:dyDescent="0.25">
      <c r="A108" s="114"/>
      <c r="B108" s="93"/>
      <c r="C108" s="93"/>
      <c r="D108" s="93"/>
      <c r="E108" s="93"/>
      <c r="F108" s="93"/>
      <c r="G108" s="93"/>
      <c r="H108" s="93"/>
      <c r="I108" s="93"/>
      <c r="J108" s="93"/>
      <c r="K108" s="93"/>
      <c r="L108" s="93"/>
      <c r="M108" s="93"/>
      <c r="N108" s="120"/>
      <c r="O108" s="1"/>
    </row>
    <row r="109" spans="1:15" x14ac:dyDescent="0.25">
      <c r="A109" s="114"/>
      <c r="B109" s="93"/>
      <c r="C109" s="93"/>
      <c r="D109" s="93"/>
      <c r="E109" s="93"/>
      <c r="F109" s="93"/>
      <c r="G109" s="93"/>
      <c r="H109" s="93"/>
      <c r="I109" s="93"/>
      <c r="J109" s="93"/>
      <c r="K109" s="93"/>
      <c r="L109" s="93"/>
      <c r="M109" s="93"/>
      <c r="N109" s="120"/>
      <c r="O109" s="1"/>
    </row>
    <row r="110" spans="1:15" x14ac:dyDescent="0.25">
      <c r="A110" s="114"/>
      <c r="B110" s="93"/>
      <c r="C110" s="93"/>
      <c r="D110" s="93"/>
      <c r="E110" s="93"/>
      <c r="F110" s="93"/>
      <c r="G110" s="93"/>
      <c r="H110" s="93"/>
      <c r="I110" s="93"/>
      <c r="J110" s="93"/>
      <c r="K110" s="93"/>
      <c r="L110" s="93"/>
      <c r="M110" s="93"/>
      <c r="N110" s="120"/>
      <c r="O110" s="1"/>
    </row>
    <row r="111" spans="1:15" x14ac:dyDescent="0.25">
      <c r="A111" s="114"/>
      <c r="B111" s="93"/>
      <c r="C111" s="93"/>
      <c r="D111" s="93"/>
      <c r="E111" s="93"/>
      <c r="F111" s="93"/>
      <c r="G111" s="93"/>
      <c r="H111" s="93"/>
      <c r="I111" s="93"/>
      <c r="J111" s="93"/>
      <c r="K111" s="93"/>
      <c r="L111" s="93"/>
      <c r="M111" s="93"/>
      <c r="N111" s="120"/>
      <c r="O111" s="1"/>
    </row>
    <row r="112" spans="1:15" x14ac:dyDescent="0.25">
      <c r="A112" s="114"/>
      <c r="B112" s="93"/>
      <c r="C112" s="93"/>
      <c r="D112" s="93"/>
      <c r="E112" s="93"/>
      <c r="F112" s="93"/>
      <c r="G112" s="93"/>
      <c r="H112" s="93"/>
      <c r="I112" s="93"/>
      <c r="J112" s="93"/>
      <c r="K112" s="93"/>
      <c r="L112" s="93"/>
      <c r="M112" s="93"/>
      <c r="N112" s="120"/>
      <c r="O112" s="1"/>
    </row>
    <row r="113" spans="1:15" x14ac:dyDescent="0.25">
      <c r="A113" s="114"/>
      <c r="B113" s="93"/>
      <c r="C113" s="93"/>
      <c r="D113" s="93"/>
      <c r="E113" s="93"/>
      <c r="F113" s="93"/>
      <c r="G113" s="93"/>
      <c r="H113" s="93"/>
      <c r="I113" s="93"/>
      <c r="J113" s="93"/>
      <c r="K113" s="93"/>
      <c r="L113" s="93"/>
      <c r="M113" s="93"/>
      <c r="N113" s="120"/>
      <c r="O113" s="1"/>
    </row>
    <row r="114" spans="1:15" x14ac:dyDescent="0.25">
      <c r="A114" s="114"/>
      <c r="B114" s="93"/>
      <c r="C114" s="93"/>
      <c r="D114" s="93"/>
      <c r="E114" s="93"/>
      <c r="F114" s="93"/>
      <c r="G114" s="93"/>
      <c r="H114" s="93"/>
      <c r="I114" s="93"/>
      <c r="J114" s="93"/>
      <c r="K114" s="93"/>
      <c r="L114" s="93"/>
      <c r="M114" s="93"/>
      <c r="N114" s="120"/>
      <c r="O114" s="1"/>
    </row>
    <row r="115" spans="1:15" x14ac:dyDescent="0.25">
      <c r="A115" s="114"/>
      <c r="B115" s="93"/>
      <c r="C115" s="93"/>
      <c r="D115" s="93"/>
      <c r="E115" s="93"/>
      <c r="F115" s="93"/>
      <c r="G115" s="93"/>
      <c r="H115" s="93"/>
      <c r="I115" s="93"/>
      <c r="J115" s="93"/>
      <c r="K115" s="93"/>
      <c r="L115" s="93"/>
      <c r="M115" s="93"/>
      <c r="N115" s="120"/>
      <c r="O115" s="1"/>
    </row>
    <row r="116" spans="1:15" x14ac:dyDescent="0.25">
      <c r="A116" s="114"/>
      <c r="B116" s="93"/>
      <c r="C116" s="93"/>
      <c r="D116" s="93"/>
      <c r="E116" s="93"/>
      <c r="F116" s="93"/>
      <c r="G116" s="93"/>
      <c r="H116" s="93"/>
      <c r="I116" s="93"/>
      <c r="J116" s="93"/>
      <c r="K116" s="93"/>
      <c r="L116" s="93"/>
      <c r="M116" s="93"/>
      <c r="N116" s="120"/>
      <c r="O116" s="1"/>
    </row>
    <row r="117" spans="1:15" x14ac:dyDescent="0.25">
      <c r="A117" s="114"/>
      <c r="B117" s="93"/>
      <c r="C117" s="93"/>
      <c r="D117" s="93"/>
      <c r="E117" s="93"/>
      <c r="F117" s="93"/>
      <c r="G117" s="93"/>
      <c r="H117" s="93"/>
      <c r="I117" s="93"/>
      <c r="J117" s="93"/>
      <c r="K117" s="93"/>
      <c r="L117" s="93"/>
      <c r="M117" s="93"/>
      <c r="N117" s="120"/>
      <c r="O117" s="1"/>
    </row>
    <row r="118" spans="1:15" x14ac:dyDescent="0.25">
      <c r="A118" s="114"/>
      <c r="B118" s="93"/>
      <c r="C118" s="93"/>
      <c r="D118" s="93"/>
      <c r="E118" s="93"/>
      <c r="F118" s="93"/>
      <c r="G118" s="93"/>
      <c r="H118" s="93"/>
      <c r="I118" s="93"/>
      <c r="J118" s="93"/>
      <c r="K118" s="93"/>
      <c r="L118" s="93"/>
      <c r="M118" s="93"/>
      <c r="N118" s="120"/>
      <c r="O118" s="1"/>
    </row>
    <row r="119" spans="1:15" x14ac:dyDescent="0.25">
      <c r="A119" s="114"/>
      <c r="B119" s="93"/>
      <c r="C119" s="93"/>
      <c r="D119" s="93"/>
      <c r="E119" s="93"/>
      <c r="F119" s="93"/>
      <c r="G119" s="93"/>
      <c r="H119" s="93"/>
      <c r="I119" s="93"/>
      <c r="J119" s="93"/>
      <c r="K119" s="93"/>
      <c r="L119" s="93"/>
      <c r="M119" s="93"/>
      <c r="N119" s="120"/>
      <c r="O119" s="1"/>
    </row>
    <row r="120" spans="1:15" x14ac:dyDescent="0.25">
      <c r="A120" s="114"/>
      <c r="B120" s="93"/>
      <c r="C120" s="93"/>
      <c r="D120" s="93"/>
      <c r="E120" s="93"/>
      <c r="F120" s="93"/>
      <c r="G120" s="93"/>
      <c r="H120" s="93"/>
      <c r="I120" s="93"/>
      <c r="J120" s="93"/>
      <c r="K120" s="93"/>
      <c r="L120" s="93"/>
      <c r="M120" s="93"/>
      <c r="N120" s="120"/>
      <c r="O120" s="1"/>
    </row>
    <row r="121" spans="1:15" x14ac:dyDescent="0.25">
      <c r="A121" s="114"/>
      <c r="B121" s="93"/>
      <c r="C121" s="93"/>
      <c r="D121" s="93"/>
      <c r="E121" s="93"/>
      <c r="F121" s="93"/>
      <c r="G121" s="93"/>
      <c r="H121" s="93"/>
      <c r="I121" s="93"/>
      <c r="J121" s="93"/>
      <c r="K121" s="93"/>
      <c r="L121" s="93"/>
      <c r="M121" s="93"/>
      <c r="N121" s="120"/>
      <c r="O121" s="1"/>
    </row>
    <row r="122" spans="1:15" x14ac:dyDescent="0.25">
      <c r="A122" s="114"/>
      <c r="B122" s="93"/>
      <c r="C122" s="93"/>
      <c r="D122" s="93"/>
      <c r="E122" s="93"/>
      <c r="F122" s="93"/>
      <c r="G122" s="93"/>
      <c r="H122" s="93"/>
      <c r="I122" s="93"/>
      <c r="J122" s="93"/>
      <c r="K122" s="93"/>
      <c r="L122" s="93"/>
      <c r="M122" s="93"/>
      <c r="N122" s="120"/>
      <c r="O122" s="1"/>
    </row>
    <row r="123" spans="1:15" x14ac:dyDescent="0.25">
      <c r="A123" s="114"/>
      <c r="B123" s="93"/>
      <c r="C123" s="93"/>
      <c r="D123" s="93"/>
      <c r="E123" s="93"/>
      <c r="F123" s="93"/>
      <c r="G123" s="93"/>
      <c r="H123" s="93"/>
      <c r="I123" s="93"/>
      <c r="J123" s="93"/>
      <c r="K123" s="93"/>
      <c r="L123" s="93"/>
      <c r="M123" s="93"/>
      <c r="N123" s="120"/>
      <c r="O123" s="1"/>
    </row>
    <row r="124" spans="1:15" x14ac:dyDescent="0.25">
      <c r="A124" s="114"/>
      <c r="B124" s="93"/>
      <c r="C124" s="93"/>
      <c r="D124" s="93"/>
      <c r="E124" s="93"/>
      <c r="F124" s="93"/>
      <c r="G124" s="93"/>
      <c r="H124" s="93"/>
      <c r="I124" s="93"/>
      <c r="J124" s="93"/>
      <c r="K124" s="93"/>
      <c r="L124" s="93"/>
      <c r="M124" s="93"/>
      <c r="N124" s="120"/>
      <c r="O124" s="1"/>
    </row>
    <row r="125" spans="1:15" x14ac:dyDescent="0.25">
      <c r="A125" s="114"/>
      <c r="B125" s="93"/>
      <c r="C125" s="93"/>
      <c r="D125" s="93"/>
      <c r="E125" s="93"/>
      <c r="F125" s="93"/>
      <c r="G125" s="93"/>
      <c r="H125" s="93"/>
      <c r="I125" s="93"/>
      <c r="J125" s="93"/>
      <c r="K125" s="93"/>
      <c r="L125" s="93"/>
      <c r="M125" s="93"/>
      <c r="N125" s="120"/>
      <c r="O125" s="1"/>
    </row>
    <row r="126" spans="1:15" x14ac:dyDescent="0.25">
      <c r="A126" s="114"/>
      <c r="B126" s="93"/>
      <c r="C126" s="93"/>
      <c r="D126" s="93"/>
      <c r="E126" s="93"/>
      <c r="F126" s="93"/>
      <c r="G126" s="93"/>
      <c r="H126" s="93"/>
      <c r="I126" s="93"/>
      <c r="J126" s="93"/>
      <c r="K126" s="93"/>
      <c r="L126" s="93"/>
      <c r="M126" s="93"/>
      <c r="N126" s="120"/>
      <c r="O126" s="1"/>
    </row>
    <row r="127" spans="1:15" x14ac:dyDescent="0.25">
      <c r="A127" s="114"/>
      <c r="B127" s="93"/>
      <c r="C127" s="93"/>
      <c r="D127" s="93"/>
      <c r="E127" s="93"/>
      <c r="F127" s="93"/>
      <c r="G127" s="93"/>
      <c r="H127" s="93"/>
      <c r="I127" s="93"/>
      <c r="J127" s="93"/>
      <c r="K127" s="93"/>
      <c r="L127" s="93"/>
      <c r="M127" s="93"/>
      <c r="N127" s="120"/>
      <c r="O127" s="1"/>
    </row>
    <row r="128" spans="1:15" x14ac:dyDescent="0.25">
      <c r="A128" s="114"/>
      <c r="B128" s="93"/>
      <c r="C128" s="93"/>
      <c r="D128" s="93"/>
      <c r="E128" s="93"/>
      <c r="F128" s="93"/>
      <c r="G128" s="93"/>
      <c r="H128" s="93"/>
      <c r="I128" s="93"/>
      <c r="J128" s="93"/>
      <c r="K128" s="93"/>
      <c r="L128" s="93"/>
      <c r="M128" s="93"/>
      <c r="N128" s="120"/>
      <c r="O128" s="1"/>
    </row>
    <row r="129" spans="1:15" x14ac:dyDescent="0.25">
      <c r="A129" s="114"/>
      <c r="B129" s="93"/>
      <c r="C129" s="93"/>
      <c r="D129" s="93"/>
      <c r="E129" s="93"/>
      <c r="F129" s="93"/>
      <c r="G129" s="93"/>
      <c r="H129" s="93"/>
      <c r="I129" s="93"/>
      <c r="J129" s="93"/>
      <c r="K129" s="93"/>
      <c r="L129" s="93"/>
      <c r="M129" s="93"/>
      <c r="N129" s="120"/>
      <c r="O129" s="1"/>
    </row>
    <row r="130" spans="1:15" x14ac:dyDescent="0.25">
      <c r="A130" s="114"/>
      <c r="B130" s="93"/>
      <c r="C130" s="93"/>
      <c r="D130" s="93"/>
      <c r="E130" s="93"/>
      <c r="F130" s="93"/>
      <c r="G130" s="93"/>
      <c r="H130" s="93"/>
      <c r="I130" s="93"/>
      <c r="J130" s="93"/>
      <c r="K130" s="93"/>
      <c r="L130" s="93"/>
      <c r="M130" s="93"/>
      <c r="N130" s="120"/>
      <c r="O130" s="1"/>
    </row>
    <row r="131" spans="1:15" x14ac:dyDescent="0.25">
      <c r="A131" s="114"/>
      <c r="B131" s="93"/>
      <c r="C131" s="93"/>
      <c r="D131" s="93"/>
      <c r="E131" s="93"/>
      <c r="F131" s="93"/>
      <c r="G131" s="93"/>
      <c r="H131" s="93"/>
      <c r="I131" s="93"/>
      <c r="J131" s="93"/>
      <c r="K131" s="93"/>
      <c r="L131" s="93"/>
      <c r="M131" s="93"/>
      <c r="N131" s="120"/>
      <c r="O131" s="1"/>
    </row>
    <row r="132" spans="1:15" x14ac:dyDescent="0.25">
      <c r="A132" s="114"/>
      <c r="B132" s="93"/>
      <c r="C132" s="93"/>
      <c r="D132" s="93"/>
      <c r="E132" s="93"/>
      <c r="F132" s="93"/>
      <c r="G132" s="93"/>
      <c r="H132" s="93"/>
      <c r="I132" s="93"/>
      <c r="J132" s="93"/>
      <c r="K132" s="93"/>
      <c r="L132" s="93"/>
      <c r="M132" s="93"/>
      <c r="N132" s="120"/>
      <c r="O132" s="1"/>
    </row>
    <row r="133" spans="1:15" x14ac:dyDescent="0.25">
      <c r="A133" s="114"/>
      <c r="B133" s="93"/>
      <c r="C133" s="93"/>
      <c r="D133" s="93"/>
      <c r="E133" s="93"/>
      <c r="F133" s="93"/>
      <c r="G133" s="93"/>
      <c r="H133" s="93"/>
      <c r="I133" s="93"/>
      <c r="J133" s="93"/>
      <c r="K133" s="93"/>
      <c r="L133" s="93"/>
      <c r="M133" s="93"/>
      <c r="N133" s="120"/>
      <c r="O133" s="1"/>
    </row>
    <row r="134" spans="1:15" x14ac:dyDescent="0.25">
      <c r="A134" s="114"/>
      <c r="B134" s="93"/>
      <c r="C134" s="93"/>
      <c r="D134" s="93"/>
      <c r="E134" s="93"/>
      <c r="F134" s="93"/>
      <c r="G134" s="93"/>
      <c r="H134" s="93"/>
      <c r="I134" s="93"/>
      <c r="J134" s="93"/>
      <c r="K134" s="93"/>
      <c r="L134" s="93"/>
      <c r="M134" s="93"/>
      <c r="N134" s="120"/>
      <c r="O134" s="1"/>
    </row>
    <row r="135" spans="1:15" x14ac:dyDescent="0.25">
      <c r="A135" s="114"/>
      <c r="B135" s="93"/>
      <c r="C135" s="93"/>
      <c r="D135" s="93"/>
      <c r="E135" s="93"/>
      <c r="F135" s="93"/>
      <c r="G135" s="93"/>
      <c r="H135" s="93"/>
      <c r="I135" s="93"/>
      <c r="J135" s="93"/>
      <c r="K135" s="93"/>
      <c r="L135" s="93"/>
      <c r="M135" s="93"/>
      <c r="N135" s="120"/>
      <c r="O135" s="1"/>
    </row>
    <row r="136" spans="1:15" x14ac:dyDescent="0.25">
      <c r="A136" s="114"/>
      <c r="B136" s="93"/>
      <c r="C136" s="93"/>
      <c r="D136" s="93"/>
      <c r="E136" s="93"/>
      <c r="F136" s="93"/>
      <c r="G136" s="93"/>
      <c r="H136" s="93"/>
      <c r="I136" s="93"/>
      <c r="J136" s="93"/>
      <c r="K136" s="93"/>
      <c r="L136" s="93"/>
      <c r="M136" s="93"/>
      <c r="N136" s="120"/>
      <c r="O136" s="1"/>
    </row>
    <row r="137" spans="1:15" x14ac:dyDescent="0.25">
      <c r="A137" s="114"/>
      <c r="B137" s="93"/>
      <c r="C137" s="93"/>
      <c r="D137" s="93"/>
      <c r="E137" s="93"/>
      <c r="F137" s="93"/>
      <c r="G137" s="93"/>
      <c r="H137" s="93"/>
      <c r="I137" s="93"/>
      <c r="J137" s="93"/>
      <c r="K137" s="93"/>
      <c r="L137" s="93"/>
      <c r="M137" s="93"/>
      <c r="N137" s="120"/>
      <c r="O137" s="1"/>
    </row>
    <row r="138" spans="1:15" x14ac:dyDescent="0.25">
      <c r="A138" s="114"/>
      <c r="B138" s="93"/>
      <c r="C138" s="93"/>
      <c r="D138" s="93"/>
      <c r="E138" s="93"/>
      <c r="F138" s="93"/>
      <c r="G138" s="93"/>
      <c r="H138" s="93"/>
      <c r="I138" s="93"/>
      <c r="J138" s="93"/>
      <c r="K138" s="93"/>
      <c r="L138" s="93"/>
      <c r="M138" s="93"/>
      <c r="N138" s="120"/>
      <c r="O138" s="1"/>
    </row>
    <row r="139" spans="1:15" x14ac:dyDescent="0.25">
      <c r="A139" s="114"/>
      <c r="B139" s="93"/>
      <c r="C139" s="93"/>
      <c r="D139" s="93"/>
      <c r="E139" s="93"/>
      <c r="F139" s="93"/>
      <c r="G139" s="93"/>
      <c r="H139" s="93"/>
      <c r="I139" s="93"/>
      <c r="J139" s="93"/>
      <c r="K139" s="93"/>
      <c r="L139" s="93"/>
      <c r="M139" s="93"/>
      <c r="N139" s="120"/>
      <c r="O139" s="1"/>
    </row>
    <row r="140" spans="1:15" x14ac:dyDescent="0.25">
      <c r="A140" s="114"/>
      <c r="B140" s="93"/>
      <c r="C140" s="93"/>
      <c r="D140" s="93"/>
      <c r="E140" s="93"/>
      <c r="F140" s="93"/>
      <c r="G140" s="93"/>
      <c r="H140" s="93"/>
      <c r="I140" s="93"/>
      <c r="J140" s="93"/>
      <c r="K140" s="93"/>
      <c r="L140" s="93"/>
      <c r="M140" s="93"/>
      <c r="N140" s="120"/>
      <c r="O140" s="1"/>
    </row>
    <row r="141" spans="1:15" x14ac:dyDescent="0.25">
      <c r="A141" s="114"/>
      <c r="B141" s="93"/>
      <c r="C141" s="93"/>
      <c r="D141" s="93"/>
      <c r="E141" s="93"/>
      <c r="F141" s="93"/>
      <c r="G141" s="93"/>
      <c r="H141" s="93"/>
      <c r="I141" s="93"/>
      <c r="J141" s="93"/>
      <c r="K141" s="93"/>
      <c r="L141" s="93"/>
      <c r="M141" s="93"/>
      <c r="N141" s="120"/>
      <c r="O141" s="1"/>
    </row>
    <row r="142" spans="1:15" x14ac:dyDescent="0.25">
      <c r="A142" s="114"/>
      <c r="B142" s="93"/>
      <c r="C142" s="93"/>
      <c r="D142" s="93"/>
      <c r="E142" s="93"/>
      <c r="F142" s="93"/>
      <c r="G142" s="93"/>
      <c r="H142" s="93"/>
      <c r="I142" s="93"/>
      <c r="J142" s="93"/>
      <c r="K142" s="93"/>
      <c r="L142" s="93"/>
      <c r="M142" s="93"/>
      <c r="N142" s="120"/>
      <c r="O142" s="1"/>
    </row>
    <row r="143" spans="1:15" x14ac:dyDescent="0.25">
      <c r="A143" s="114"/>
      <c r="B143" s="93"/>
      <c r="C143" s="93"/>
      <c r="D143" s="93"/>
      <c r="E143" s="93"/>
      <c r="F143" s="93"/>
      <c r="G143" s="93"/>
      <c r="H143" s="93"/>
      <c r="I143" s="93"/>
      <c r="J143" s="93"/>
      <c r="K143" s="93"/>
      <c r="L143" s="93"/>
      <c r="M143" s="93"/>
      <c r="N143" s="120"/>
      <c r="O143" s="1"/>
    </row>
    <row r="144" spans="1:15" x14ac:dyDescent="0.25">
      <c r="A144" s="114"/>
      <c r="B144" s="93"/>
      <c r="C144" s="93"/>
      <c r="D144" s="93"/>
      <c r="E144" s="93"/>
      <c r="F144" s="93"/>
      <c r="G144" s="93"/>
      <c r="H144" s="93"/>
      <c r="I144" s="93"/>
      <c r="J144" s="93"/>
      <c r="K144" s="93"/>
      <c r="L144" s="93"/>
      <c r="M144" s="93"/>
      <c r="N144" s="120"/>
      <c r="O144" s="1"/>
    </row>
    <row r="145" spans="1:15" x14ac:dyDescent="0.25">
      <c r="A145" s="114"/>
      <c r="B145" s="93"/>
      <c r="C145" s="93"/>
      <c r="D145" s="93"/>
      <c r="E145" s="93"/>
      <c r="F145" s="93"/>
      <c r="G145" s="93"/>
      <c r="H145" s="93"/>
      <c r="I145" s="93"/>
      <c r="J145" s="93"/>
      <c r="K145" s="93"/>
      <c r="L145" s="93"/>
      <c r="M145" s="93"/>
      <c r="N145" s="120"/>
      <c r="O145" s="1"/>
    </row>
    <row r="146" spans="1:15" x14ac:dyDescent="0.25">
      <c r="A146" s="114"/>
      <c r="B146" s="93"/>
      <c r="C146" s="93"/>
      <c r="D146" s="93"/>
      <c r="E146" s="93"/>
      <c r="F146" s="93"/>
      <c r="G146" s="93"/>
      <c r="H146" s="93"/>
      <c r="I146" s="93"/>
      <c r="J146" s="93"/>
      <c r="K146" s="93"/>
      <c r="L146" s="93"/>
      <c r="M146" s="93"/>
      <c r="N146" s="120"/>
      <c r="O146" s="1"/>
    </row>
    <row r="147" spans="1:15" x14ac:dyDescent="0.25">
      <c r="A147" s="114"/>
      <c r="B147" s="93"/>
      <c r="C147" s="93"/>
      <c r="D147" s="93"/>
      <c r="E147" s="93"/>
      <c r="F147" s="93"/>
      <c r="G147" s="93"/>
      <c r="H147" s="93"/>
      <c r="I147" s="93"/>
      <c r="J147" s="93"/>
      <c r="K147" s="93"/>
      <c r="L147" s="93"/>
      <c r="M147" s="93"/>
      <c r="N147" s="120"/>
      <c r="O147" s="1"/>
    </row>
    <row r="148" spans="1:15" x14ac:dyDescent="0.25">
      <c r="A148" s="114"/>
      <c r="B148" s="93"/>
      <c r="C148" s="93"/>
      <c r="D148" s="93"/>
      <c r="E148" s="93"/>
      <c r="F148" s="93"/>
      <c r="G148" s="93"/>
      <c r="H148" s="93"/>
      <c r="I148" s="93"/>
      <c r="J148" s="93"/>
      <c r="K148" s="93"/>
      <c r="L148" s="93"/>
      <c r="M148" s="93"/>
      <c r="N148" s="120"/>
      <c r="O148" s="1"/>
    </row>
    <row r="149" spans="1:15" x14ac:dyDescent="0.25">
      <c r="A149" s="114"/>
      <c r="B149" s="93"/>
      <c r="C149" s="93"/>
      <c r="D149" s="93"/>
      <c r="E149" s="93"/>
      <c r="F149" s="93"/>
      <c r="G149" s="93"/>
      <c r="H149" s="93"/>
      <c r="I149" s="93"/>
      <c r="J149" s="93"/>
      <c r="K149" s="93"/>
      <c r="L149" s="93"/>
      <c r="M149" s="93"/>
      <c r="N149" s="120"/>
      <c r="O149" s="1"/>
    </row>
    <row r="150" spans="1:15" x14ac:dyDescent="0.25">
      <c r="A150" s="114"/>
      <c r="B150" s="93"/>
      <c r="C150" s="93"/>
      <c r="D150" s="93"/>
      <c r="E150" s="93"/>
      <c r="F150" s="93"/>
      <c r="G150" s="93"/>
      <c r="H150" s="93"/>
      <c r="I150" s="93"/>
      <c r="J150" s="93"/>
      <c r="K150" s="93"/>
      <c r="L150" s="93"/>
      <c r="M150" s="93"/>
      <c r="N150" s="120"/>
      <c r="O150" s="1"/>
    </row>
    <row r="151" spans="1:15" x14ac:dyDescent="0.25">
      <c r="A151" s="114"/>
      <c r="B151" s="93"/>
      <c r="C151" s="93"/>
      <c r="D151" s="93"/>
      <c r="E151" s="93"/>
      <c r="F151" s="93"/>
      <c r="G151" s="93"/>
      <c r="H151" s="93"/>
      <c r="I151" s="93"/>
      <c r="J151" s="93"/>
      <c r="K151" s="93"/>
      <c r="L151" s="93"/>
      <c r="M151" s="93"/>
      <c r="N151" s="120"/>
      <c r="O151" s="1"/>
    </row>
    <row r="152" spans="1:15" x14ac:dyDescent="0.25">
      <c r="A152" s="114"/>
      <c r="B152" s="93"/>
      <c r="C152" s="93"/>
      <c r="D152" s="93"/>
      <c r="E152" s="93"/>
      <c r="F152" s="93"/>
      <c r="G152" s="93"/>
      <c r="H152" s="93"/>
      <c r="I152" s="93"/>
      <c r="J152" s="93"/>
      <c r="K152" s="93"/>
      <c r="L152" s="93"/>
      <c r="M152" s="93"/>
      <c r="N152" s="120"/>
      <c r="O152" s="1"/>
    </row>
    <row r="153" spans="1:15" x14ac:dyDescent="0.25">
      <c r="A153" s="114"/>
      <c r="B153" s="93"/>
      <c r="C153" s="93"/>
      <c r="D153" s="93"/>
      <c r="E153" s="93"/>
      <c r="F153" s="93"/>
      <c r="G153" s="93"/>
      <c r="H153" s="93"/>
      <c r="I153" s="93"/>
      <c r="J153" s="93"/>
      <c r="K153" s="93"/>
      <c r="L153" s="93"/>
      <c r="M153" s="93"/>
      <c r="N153" s="120"/>
      <c r="O153" s="1"/>
    </row>
    <row r="154" spans="1:15" x14ac:dyDescent="0.25">
      <c r="A154" s="114"/>
      <c r="B154" s="93"/>
      <c r="C154" s="93"/>
      <c r="D154" s="93"/>
      <c r="E154" s="93"/>
      <c r="F154" s="93"/>
      <c r="G154" s="93"/>
      <c r="H154" s="93"/>
      <c r="I154" s="93"/>
      <c r="J154" s="93"/>
      <c r="K154" s="93"/>
      <c r="L154" s="93"/>
      <c r="M154" s="93"/>
      <c r="N154" s="120"/>
      <c r="O154" s="1"/>
    </row>
    <row r="155" spans="1:15" x14ac:dyDescent="0.25">
      <c r="A155" s="114"/>
      <c r="B155" s="93"/>
      <c r="C155" s="93"/>
      <c r="D155" s="93"/>
      <c r="E155" s="93"/>
      <c r="F155" s="93"/>
      <c r="G155" s="93"/>
      <c r="H155" s="93"/>
      <c r="I155" s="93"/>
      <c r="J155" s="93"/>
      <c r="K155" s="93"/>
      <c r="L155" s="93"/>
      <c r="M155" s="93"/>
      <c r="N155" s="120"/>
      <c r="O155" s="1"/>
    </row>
    <row r="156" spans="1:15" x14ac:dyDescent="0.25">
      <c r="A156" s="114"/>
      <c r="B156" s="93"/>
      <c r="C156" s="93"/>
      <c r="D156" s="93"/>
      <c r="E156" s="93"/>
      <c r="F156" s="93"/>
      <c r="G156" s="93"/>
      <c r="H156" s="93"/>
      <c r="I156" s="93"/>
      <c r="J156" s="93"/>
      <c r="K156" s="93"/>
      <c r="L156" s="93"/>
      <c r="M156" s="93"/>
      <c r="N156" s="120"/>
      <c r="O156" s="1"/>
    </row>
    <row r="157" spans="1:15" x14ac:dyDescent="0.25">
      <c r="A157" s="114"/>
      <c r="B157" s="93"/>
      <c r="C157" s="93"/>
      <c r="D157" s="93"/>
      <c r="E157" s="93"/>
      <c r="F157" s="93"/>
      <c r="G157" s="93"/>
      <c r="H157" s="93"/>
      <c r="I157" s="93"/>
      <c r="J157" s="93"/>
      <c r="K157" s="93"/>
      <c r="L157" s="93"/>
      <c r="M157" s="93"/>
      <c r="N157" s="120"/>
      <c r="O157" s="1"/>
    </row>
    <row r="158" spans="1:15" x14ac:dyDescent="0.25">
      <c r="A158" s="114"/>
      <c r="B158" s="93"/>
      <c r="C158" s="93"/>
      <c r="D158" s="93"/>
      <c r="E158" s="93"/>
      <c r="F158" s="93"/>
      <c r="G158" s="93"/>
      <c r="H158" s="93"/>
      <c r="I158" s="93"/>
      <c r="J158" s="93"/>
      <c r="K158" s="93"/>
      <c r="L158" s="93"/>
      <c r="M158" s="93"/>
      <c r="N158" s="120"/>
      <c r="O158" s="1"/>
    </row>
    <row r="159" spans="1:15" x14ac:dyDescent="0.25">
      <c r="A159" s="114"/>
      <c r="B159" s="93"/>
      <c r="C159" s="93"/>
      <c r="D159" s="93"/>
      <c r="E159" s="93"/>
      <c r="F159" s="93"/>
      <c r="G159" s="93"/>
      <c r="H159" s="93"/>
      <c r="I159" s="93"/>
      <c r="J159" s="93"/>
      <c r="K159" s="93"/>
      <c r="L159" s="93"/>
      <c r="M159" s="93"/>
      <c r="N159" s="120"/>
      <c r="O159" s="1"/>
    </row>
    <row r="160" spans="1:15" x14ac:dyDescent="0.25">
      <c r="A160" s="114"/>
      <c r="B160" s="93"/>
      <c r="C160" s="93"/>
      <c r="D160" s="93"/>
      <c r="E160" s="93"/>
      <c r="F160" s="93"/>
      <c r="G160" s="93"/>
      <c r="H160" s="93"/>
      <c r="I160" s="93"/>
      <c r="J160" s="93"/>
      <c r="K160" s="93"/>
      <c r="L160" s="93"/>
      <c r="M160" s="93"/>
      <c r="N160" s="120"/>
      <c r="O160" s="1"/>
    </row>
    <row r="161" spans="1:15" x14ac:dyDescent="0.25">
      <c r="A161" s="114"/>
      <c r="B161" s="93"/>
      <c r="C161" s="93"/>
      <c r="D161" s="93"/>
      <c r="E161" s="93"/>
      <c r="F161" s="93"/>
      <c r="G161" s="93"/>
      <c r="H161" s="93"/>
      <c r="I161" s="93"/>
      <c r="J161" s="93"/>
      <c r="K161" s="93"/>
      <c r="L161" s="93"/>
      <c r="M161" s="93"/>
      <c r="N161" s="120"/>
      <c r="O161" s="1"/>
    </row>
    <row r="162" spans="1:15" x14ac:dyDescent="0.25">
      <c r="A162" s="114"/>
      <c r="B162" s="93"/>
      <c r="C162" s="93"/>
      <c r="D162" s="93"/>
      <c r="E162" s="93"/>
      <c r="F162" s="93"/>
      <c r="G162" s="93"/>
      <c r="H162" s="93"/>
      <c r="I162" s="93"/>
      <c r="J162" s="93"/>
      <c r="K162" s="93"/>
      <c r="L162" s="93"/>
      <c r="M162" s="93"/>
      <c r="N162" s="120"/>
      <c r="O162" s="1"/>
    </row>
    <row r="163" spans="1:15" x14ac:dyDescent="0.25">
      <c r="A163" s="114"/>
      <c r="B163" s="93"/>
      <c r="C163" s="93"/>
      <c r="D163" s="93"/>
      <c r="E163" s="93"/>
      <c r="F163" s="93"/>
      <c r="G163" s="93"/>
      <c r="H163" s="93"/>
      <c r="I163" s="93"/>
      <c r="J163" s="93"/>
      <c r="K163" s="93"/>
      <c r="L163" s="93"/>
      <c r="M163" s="93"/>
      <c r="N163" s="120"/>
      <c r="O163" s="1"/>
    </row>
    <row r="164" spans="1:15" x14ac:dyDescent="0.25">
      <c r="A164" s="114"/>
      <c r="B164" s="93"/>
      <c r="C164" s="93"/>
      <c r="D164" s="93"/>
      <c r="E164" s="93"/>
      <c r="F164" s="93"/>
      <c r="G164" s="93"/>
      <c r="H164" s="93"/>
      <c r="I164" s="93"/>
      <c r="J164" s="93"/>
      <c r="K164" s="93"/>
      <c r="L164" s="93"/>
      <c r="M164" s="93"/>
      <c r="N164" s="120"/>
      <c r="O164" s="1"/>
    </row>
    <row r="165" spans="1:15" x14ac:dyDescent="0.25">
      <c r="A165" s="114"/>
      <c r="B165" s="93"/>
      <c r="C165" s="93"/>
      <c r="D165" s="93"/>
      <c r="E165" s="93"/>
      <c r="F165" s="93"/>
      <c r="G165" s="93"/>
      <c r="H165" s="93"/>
      <c r="I165" s="93"/>
      <c r="J165" s="93"/>
      <c r="K165" s="93"/>
      <c r="L165" s="93"/>
      <c r="M165" s="93"/>
      <c r="N165" s="120"/>
      <c r="O165" s="1"/>
    </row>
    <row r="166" spans="1:15" x14ac:dyDescent="0.25">
      <c r="A166" s="114"/>
      <c r="B166" s="93"/>
      <c r="C166" s="93"/>
      <c r="D166" s="93"/>
      <c r="E166" s="93"/>
      <c r="F166" s="93"/>
      <c r="G166" s="93"/>
      <c r="H166" s="93"/>
      <c r="I166" s="93"/>
      <c r="J166" s="93"/>
      <c r="K166" s="93"/>
      <c r="L166" s="93"/>
      <c r="M166" s="93"/>
      <c r="N166" s="120"/>
      <c r="O166" s="1"/>
    </row>
    <row r="167" spans="1:15" x14ac:dyDescent="0.25">
      <c r="A167" s="114"/>
      <c r="B167" s="93"/>
      <c r="C167" s="93"/>
      <c r="D167" s="93"/>
      <c r="E167" s="93"/>
      <c r="F167" s="93"/>
      <c r="G167" s="93"/>
      <c r="H167" s="93"/>
      <c r="I167" s="93"/>
      <c r="J167" s="93"/>
      <c r="K167" s="93"/>
      <c r="L167" s="93"/>
      <c r="M167" s="93"/>
      <c r="N167" s="120"/>
      <c r="O167" s="1"/>
    </row>
    <row r="168" spans="1:15" x14ac:dyDescent="0.25">
      <c r="A168" s="114"/>
      <c r="B168" s="93"/>
      <c r="C168" s="93"/>
      <c r="D168" s="93"/>
      <c r="E168" s="93"/>
      <c r="F168" s="93"/>
      <c r="G168" s="93"/>
      <c r="H168" s="93"/>
      <c r="I168" s="93"/>
      <c r="J168" s="93"/>
      <c r="K168" s="93"/>
      <c r="L168" s="93"/>
      <c r="M168" s="93"/>
      <c r="N168" s="120"/>
      <c r="O168" s="1"/>
    </row>
    <row r="169" spans="1:15" x14ac:dyDescent="0.25">
      <c r="A169" s="114"/>
      <c r="B169" s="93"/>
      <c r="C169" s="93"/>
      <c r="D169" s="93"/>
      <c r="E169" s="93"/>
      <c r="F169" s="93"/>
      <c r="G169" s="93"/>
      <c r="H169" s="93"/>
      <c r="I169" s="93"/>
      <c r="J169" s="93"/>
      <c r="K169" s="93"/>
      <c r="L169" s="93"/>
      <c r="M169" s="93"/>
      <c r="N169" s="120"/>
      <c r="O169" s="1"/>
    </row>
    <row r="170" spans="1:15" x14ac:dyDescent="0.25">
      <c r="A170" s="114"/>
      <c r="B170" s="93"/>
      <c r="C170" s="93"/>
      <c r="D170" s="93"/>
      <c r="E170" s="93"/>
      <c r="F170" s="93"/>
      <c r="G170" s="93"/>
      <c r="H170" s="93"/>
      <c r="I170" s="93"/>
      <c r="J170" s="93"/>
      <c r="K170" s="93"/>
      <c r="L170" s="93"/>
      <c r="M170" s="93"/>
      <c r="N170" s="120"/>
      <c r="O170" s="1"/>
    </row>
    <row r="171" spans="1:15" x14ac:dyDescent="0.25">
      <c r="A171" s="114"/>
      <c r="B171" s="93"/>
      <c r="C171" s="93"/>
      <c r="D171" s="93"/>
      <c r="E171" s="93"/>
      <c r="F171" s="93"/>
      <c r="G171" s="93"/>
      <c r="H171" s="93"/>
      <c r="I171" s="93"/>
      <c r="J171" s="93"/>
      <c r="K171" s="93"/>
      <c r="L171" s="93"/>
      <c r="M171" s="93"/>
      <c r="N171" s="120"/>
      <c r="O171" s="1"/>
    </row>
    <row r="172" spans="1:15" x14ac:dyDescent="0.25">
      <c r="A172" s="114"/>
      <c r="B172" s="93"/>
      <c r="C172" s="93"/>
      <c r="D172" s="93"/>
      <c r="E172" s="93"/>
      <c r="F172" s="93"/>
      <c r="G172" s="93"/>
      <c r="H172" s="93"/>
      <c r="I172" s="93"/>
      <c r="J172" s="93"/>
      <c r="K172" s="93"/>
      <c r="L172" s="93"/>
      <c r="M172" s="93"/>
      <c r="N172" s="120"/>
      <c r="O172" s="1"/>
    </row>
    <row r="173" spans="1:15" x14ac:dyDescent="0.25">
      <c r="A173" s="114"/>
      <c r="B173" s="93"/>
      <c r="C173" s="93"/>
      <c r="D173" s="93"/>
      <c r="E173" s="93"/>
      <c r="F173" s="93"/>
      <c r="G173" s="93"/>
      <c r="H173" s="93"/>
      <c r="I173" s="93"/>
      <c r="J173" s="93"/>
      <c r="K173" s="93"/>
      <c r="L173" s="93"/>
      <c r="M173" s="93"/>
      <c r="N173" s="120"/>
      <c r="O173" s="1"/>
    </row>
    <row r="174" spans="1:15" x14ac:dyDescent="0.25">
      <c r="A174" s="114"/>
      <c r="B174" s="93"/>
      <c r="C174" s="93"/>
      <c r="D174" s="93"/>
      <c r="E174" s="93"/>
      <c r="F174" s="93"/>
      <c r="G174" s="93"/>
      <c r="H174" s="93"/>
      <c r="I174" s="93"/>
      <c r="J174" s="93"/>
      <c r="K174" s="93"/>
      <c r="L174" s="93"/>
      <c r="M174" s="93"/>
      <c r="N174" s="120"/>
      <c r="O174" s="1"/>
    </row>
    <row r="175" spans="1:15" x14ac:dyDescent="0.25">
      <c r="A175" s="114"/>
      <c r="B175" s="93"/>
      <c r="C175" s="93"/>
      <c r="D175" s="93"/>
      <c r="E175" s="93"/>
      <c r="F175" s="93"/>
      <c r="G175" s="93"/>
      <c r="H175" s="93"/>
      <c r="I175" s="93"/>
      <c r="J175" s="93"/>
      <c r="K175" s="93"/>
      <c r="L175" s="93"/>
      <c r="M175" s="93"/>
      <c r="N175" s="120"/>
      <c r="O175" s="1"/>
    </row>
    <row r="176" spans="1:15" x14ac:dyDescent="0.25">
      <c r="A176" s="114"/>
      <c r="B176" s="93"/>
      <c r="C176" s="93"/>
      <c r="D176" s="93"/>
      <c r="E176" s="93"/>
      <c r="F176" s="93"/>
      <c r="G176" s="93"/>
      <c r="H176" s="93"/>
      <c r="I176" s="93"/>
      <c r="J176" s="93"/>
      <c r="K176" s="93"/>
      <c r="L176" s="93"/>
      <c r="M176" s="93"/>
      <c r="N176" s="120"/>
      <c r="O176" s="1"/>
    </row>
    <row r="177" spans="1:15" x14ac:dyDescent="0.25">
      <c r="A177" s="114"/>
      <c r="B177" s="93"/>
      <c r="C177" s="93"/>
      <c r="D177" s="93"/>
      <c r="E177" s="93"/>
      <c r="F177" s="93"/>
      <c r="G177" s="93"/>
      <c r="H177" s="93"/>
      <c r="I177" s="93"/>
      <c r="J177" s="93"/>
      <c r="K177" s="93"/>
      <c r="L177" s="93"/>
      <c r="M177" s="93"/>
      <c r="N177" s="120"/>
      <c r="O177" s="1"/>
    </row>
    <row r="178" spans="1:15" x14ac:dyDescent="0.25">
      <c r="A178" s="114"/>
      <c r="B178" s="93"/>
      <c r="C178" s="93"/>
      <c r="D178" s="93"/>
      <c r="E178" s="93"/>
      <c r="F178" s="93"/>
      <c r="G178" s="93"/>
      <c r="H178" s="93"/>
      <c r="I178" s="93"/>
      <c r="J178" s="93"/>
      <c r="K178" s="93"/>
      <c r="L178" s="93"/>
      <c r="M178" s="93"/>
      <c r="N178" s="120"/>
      <c r="O178" s="1"/>
    </row>
    <row r="179" spans="1:15" x14ac:dyDescent="0.25">
      <c r="A179" s="114"/>
      <c r="B179" s="93"/>
      <c r="C179" s="93"/>
      <c r="D179" s="93"/>
      <c r="E179" s="93"/>
      <c r="F179" s="93"/>
      <c r="G179" s="93"/>
      <c r="H179" s="93"/>
      <c r="I179" s="93"/>
      <c r="J179" s="93"/>
      <c r="K179" s="93"/>
      <c r="L179" s="93"/>
      <c r="M179" s="93"/>
      <c r="N179" s="120"/>
      <c r="O179" s="1"/>
    </row>
    <row r="180" spans="1:15" x14ac:dyDescent="0.25">
      <c r="A180" s="114"/>
      <c r="B180" s="93"/>
      <c r="C180" s="93"/>
      <c r="D180" s="93"/>
      <c r="E180" s="93"/>
      <c r="F180" s="93"/>
      <c r="G180" s="93"/>
      <c r="H180" s="93"/>
      <c r="I180" s="93"/>
      <c r="J180" s="93"/>
      <c r="K180" s="93"/>
      <c r="L180" s="93"/>
      <c r="M180" s="93"/>
      <c r="N180" s="120"/>
      <c r="O180" s="1"/>
    </row>
    <row r="181" spans="1:15" x14ac:dyDescent="0.25">
      <c r="A181" s="114"/>
      <c r="B181" s="93"/>
      <c r="C181" s="93"/>
      <c r="D181" s="93"/>
      <c r="E181" s="93"/>
      <c r="F181" s="93"/>
      <c r="G181" s="93"/>
      <c r="H181" s="93"/>
      <c r="I181" s="93"/>
      <c r="J181" s="93"/>
      <c r="K181" s="93"/>
      <c r="L181" s="93"/>
      <c r="M181" s="93"/>
      <c r="N181" s="120"/>
      <c r="O181" s="1"/>
    </row>
    <row r="182" spans="1:15" x14ac:dyDescent="0.25">
      <c r="A182" s="114"/>
      <c r="B182" s="93"/>
      <c r="C182" s="93"/>
      <c r="D182" s="93"/>
      <c r="E182" s="93"/>
      <c r="F182" s="93"/>
      <c r="G182" s="93"/>
      <c r="H182" s="93"/>
      <c r="I182" s="93"/>
      <c r="J182" s="93"/>
      <c r="K182" s="93"/>
      <c r="L182" s="93"/>
      <c r="M182" s="93"/>
      <c r="N182" s="120"/>
      <c r="O182" s="1"/>
    </row>
    <row r="183" spans="1:15" x14ac:dyDescent="0.25">
      <c r="A183" s="114"/>
      <c r="B183" s="93"/>
      <c r="C183" s="93"/>
      <c r="D183" s="93"/>
      <c r="E183" s="93"/>
      <c r="F183" s="93"/>
      <c r="G183" s="93"/>
      <c r="H183" s="93"/>
      <c r="I183" s="93"/>
      <c r="J183" s="93"/>
      <c r="K183" s="93"/>
      <c r="L183" s="93"/>
      <c r="M183" s="93"/>
      <c r="N183" s="120"/>
      <c r="O183" s="1"/>
    </row>
    <row r="184" spans="1:15" x14ac:dyDescent="0.25">
      <c r="B184" s="1"/>
      <c r="C184" s="1"/>
      <c r="D184" s="1"/>
      <c r="E184" s="1"/>
      <c r="F184" s="1"/>
      <c r="G184" s="1"/>
      <c r="H184" s="1"/>
      <c r="I184" s="1"/>
      <c r="J184" s="1"/>
      <c r="K184" s="1"/>
      <c r="L184" s="1"/>
      <c r="M184" s="1"/>
      <c r="N184" s="120"/>
      <c r="O184" s="1"/>
    </row>
    <row r="185" spans="1:15" x14ac:dyDescent="0.25">
      <c r="B185" s="1"/>
      <c r="C185" s="1"/>
      <c r="D185" s="1"/>
      <c r="E185" s="1"/>
      <c r="F185" s="1"/>
      <c r="G185" s="1"/>
      <c r="H185" s="1"/>
      <c r="I185" s="1"/>
      <c r="J185" s="1"/>
      <c r="K185" s="1"/>
      <c r="L185" s="1"/>
      <c r="M185" s="1"/>
      <c r="N185" s="120"/>
      <c r="O185" s="1"/>
    </row>
    <row r="186" spans="1:15" x14ac:dyDescent="0.25">
      <c r="B186" s="1"/>
      <c r="C186" s="1"/>
      <c r="D186" s="1"/>
      <c r="E186" s="1"/>
      <c r="F186" s="1"/>
      <c r="G186" s="1"/>
      <c r="H186" s="1"/>
      <c r="I186" s="1"/>
      <c r="J186" s="1"/>
      <c r="K186" s="1"/>
      <c r="L186" s="1"/>
      <c r="M186" s="1"/>
      <c r="N186" s="120"/>
      <c r="O186" s="1"/>
    </row>
    <row r="187" spans="1:15" x14ac:dyDescent="0.25">
      <c r="B187" s="1"/>
      <c r="C187" s="1"/>
      <c r="D187" s="1"/>
      <c r="E187" s="1"/>
      <c r="F187" s="1"/>
      <c r="G187" s="1"/>
      <c r="H187" s="1"/>
      <c r="I187" s="1"/>
      <c r="J187" s="1"/>
      <c r="K187" s="1"/>
      <c r="L187" s="1"/>
      <c r="M187" s="1"/>
      <c r="N187" s="120"/>
      <c r="O187" s="1"/>
    </row>
  </sheetData>
  <mergeCells count="1">
    <mergeCell ref="F1:H1"/>
  </mergeCells>
  <pageMargins left="0.75" right="0.75" top="1" bottom="1" header="0.5" footer="0.5"/>
  <pageSetup orientation="landscape" r:id="rId1"/>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D6FCF"/>
  </sheetPr>
  <dimension ref="B2:P48"/>
  <sheetViews>
    <sheetView showGridLines="0" zoomScale="90" zoomScaleNormal="90" workbookViewId="0">
      <selection activeCell="J34" sqref="J34"/>
    </sheetView>
  </sheetViews>
  <sheetFormatPr defaultRowHeight="15" x14ac:dyDescent="0.25"/>
  <cols>
    <col min="1" max="1" width="2" style="325" customWidth="1"/>
    <col min="2" max="2" width="4.125" style="325" customWidth="1"/>
    <col min="3" max="3" width="53.375" style="325" bestFit="1" customWidth="1"/>
    <col min="4" max="15" width="15.25" style="325" bestFit="1" customWidth="1"/>
    <col min="16" max="16" width="12.125" style="325" customWidth="1"/>
    <col min="17" max="16384" width="9" style="325"/>
  </cols>
  <sheetData>
    <row r="2" spans="3:16" ht="18.75" x14ac:dyDescent="0.25">
      <c r="C2" s="1025" t="s">
        <v>278</v>
      </c>
      <c r="D2" s="1026"/>
      <c r="E2" s="1026"/>
      <c r="F2" s="1026"/>
      <c r="G2" s="1026"/>
      <c r="H2" s="1026"/>
      <c r="I2" s="1026"/>
      <c r="J2" s="1026"/>
      <c r="K2" s="1026"/>
      <c r="L2" s="1026"/>
      <c r="M2" s="1026"/>
      <c r="N2" s="1027"/>
      <c r="O2" s="323"/>
      <c r="P2" s="324"/>
    </row>
    <row r="3" spans="3:16" ht="6" customHeight="1" x14ac:dyDescent="0.25"/>
    <row r="4" spans="3:16" s="328" customFormat="1" ht="15.75" x14ac:dyDescent="0.25">
      <c r="C4" s="326" t="s">
        <v>279</v>
      </c>
      <c r="D4" s="327" t="s">
        <v>326</v>
      </c>
      <c r="E4" s="327" t="s">
        <v>280</v>
      </c>
      <c r="F4" s="327" t="s">
        <v>281</v>
      </c>
      <c r="G4" s="327" t="s">
        <v>282</v>
      </c>
      <c r="H4" s="327" t="s">
        <v>283</v>
      </c>
      <c r="I4" s="327" t="s">
        <v>284</v>
      </c>
      <c r="J4" s="327" t="s">
        <v>285</v>
      </c>
      <c r="K4" s="327" t="s">
        <v>286</v>
      </c>
      <c r="L4" s="327" t="s">
        <v>287</v>
      </c>
      <c r="M4" s="327" t="s">
        <v>288</v>
      </c>
      <c r="N4" s="327" t="s">
        <v>289</v>
      </c>
      <c r="O4" s="327" t="s">
        <v>290</v>
      </c>
      <c r="P4" s="324"/>
    </row>
    <row r="5" spans="3:16" ht="30" x14ac:dyDescent="0.25">
      <c r="C5" s="329" t="s">
        <v>291</v>
      </c>
      <c r="D5" s="330">
        <f>3980+27266+504851+32345</f>
        <v>568442</v>
      </c>
      <c r="E5" s="330">
        <f>23036</f>
        <v>23036</v>
      </c>
      <c r="F5" s="330">
        <f>733651-F6+266446</f>
        <v>303708</v>
      </c>
      <c r="G5" s="330">
        <v>291809</v>
      </c>
      <c r="H5" s="330">
        <v>277759</v>
      </c>
      <c r="I5" s="330">
        <f>345042-30000</f>
        <v>315042</v>
      </c>
      <c r="J5" s="330">
        <v>223894</v>
      </c>
      <c r="K5" s="330">
        <v>174077</v>
      </c>
      <c r="L5" s="330">
        <f>182997</f>
        <v>182997</v>
      </c>
      <c r="M5" s="330">
        <v>242585</v>
      </c>
      <c r="N5" s="330">
        <v>220500</v>
      </c>
      <c r="O5" s="330">
        <v>236099</v>
      </c>
      <c r="P5" s="331"/>
    </row>
    <row r="6" spans="3:16" x14ac:dyDescent="0.25">
      <c r="C6" s="332" t="s">
        <v>292</v>
      </c>
      <c r="D6" s="330">
        <f t="shared" ref="D6:O6" si="0">SUM(D7:D13)</f>
        <v>1177748</v>
      </c>
      <c r="E6" s="330">
        <f t="shared" si="0"/>
        <v>1322029</v>
      </c>
      <c r="F6" s="330">
        <f t="shared" si="0"/>
        <v>696389</v>
      </c>
      <c r="G6" s="330">
        <f t="shared" si="0"/>
        <v>7433098</v>
      </c>
      <c r="H6" s="330">
        <f t="shared" si="0"/>
        <v>7843754</v>
      </c>
      <c r="I6" s="330">
        <f t="shared" si="0"/>
        <v>10109865</v>
      </c>
      <c r="J6" s="330">
        <f t="shared" si="0"/>
        <v>9931610</v>
      </c>
      <c r="K6" s="330">
        <f t="shared" si="0"/>
        <v>10721849</v>
      </c>
      <c r="L6" s="330">
        <f t="shared" si="0"/>
        <v>12775328</v>
      </c>
      <c r="M6" s="330">
        <f t="shared" si="0"/>
        <v>13399662</v>
      </c>
      <c r="N6" s="330">
        <f t="shared" si="0"/>
        <v>13769483</v>
      </c>
      <c r="O6" s="330">
        <f t="shared" si="0"/>
        <v>13524757</v>
      </c>
      <c r="P6" s="333"/>
    </row>
    <row r="7" spans="3:16" x14ac:dyDescent="0.25">
      <c r="C7" s="334" t="s">
        <v>293</v>
      </c>
      <c r="D7" s="335">
        <v>0</v>
      </c>
      <c r="E7" s="335">
        <v>0</v>
      </c>
      <c r="F7" s="335">
        <v>0</v>
      </c>
      <c r="G7" s="335">
        <v>6717035</v>
      </c>
      <c r="H7" s="335">
        <v>6946677</v>
      </c>
      <c r="I7" s="335">
        <v>7614578</v>
      </c>
      <c r="J7" s="335">
        <v>8710543</v>
      </c>
      <c r="K7" s="335">
        <v>9413293</v>
      </c>
      <c r="L7" s="335">
        <v>11358799</v>
      </c>
      <c r="M7" s="335">
        <v>12049817</v>
      </c>
      <c r="N7" s="335">
        <f>12189976+223542</f>
        <v>12413518</v>
      </c>
      <c r="O7" s="335">
        <v>12109912</v>
      </c>
    </row>
    <row r="8" spans="3:16" x14ac:dyDescent="0.25">
      <c r="C8" s="334" t="s">
        <v>294</v>
      </c>
      <c r="D8" s="335">
        <v>0</v>
      </c>
      <c r="E8" s="335">
        <v>0</v>
      </c>
      <c r="F8" s="335">
        <v>159013</v>
      </c>
      <c r="G8" s="335">
        <f>314470+45894</f>
        <v>360364</v>
      </c>
      <c r="H8" s="335">
        <f>371498+91657</f>
        <v>463155</v>
      </c>
      <c r="I8" s="335">
        <f>407450+48425-1207</f>
        <v>454668</v>
      </c>
      <c r="J8" s="335">
        <f>286731+173942-216</f>
        <v>460457</v>
      </c>
      <c r="K8" s="335">
        <v>561056</v>
      </c>
      <c r="L8" s="335">
        <v>554338</v>
      </c>
      <c r="M8" s="335">
        <v>587345</v>
      </c>
      <c r="N8" s="335">
        <v>593465</v>
      </c>
      <c r="O8" s="335">
        <v>587345</v>
      </c>
    </row>
    <row r="9" spans="3:16" x14ac:dyDescent="0.25">
      <c r="C9" s="334" t="s">
        <v>295</v>
      </c>
      <c r="D9" s="335">
        <v>0</v>
      </c>
      <c r="E9" s="335">
        <v>0</v>
      </c>
      <c r="F9" s="335">
        <v>85000</v>
      </c>
      <c r="G9" s="335">
        <v>85000</v>
      </c>
      <c r="H9" s="335">
        <v>177500</v>
      </c>
      <c r="I9" s="335">
        <v>177500</v>
      </c>
      <c r="J9" s="335">
        <v>177500</v>
      </c>
      <c r="K9" s="335">
        <v>177500</v>
      </c>
      <c r="L9" s="335">
        <v>260000</v>
      </c>
      <c r="M9" s="335">
        <v>177500</v>
      </c>
      <c r="N9" s="335">
        <v>177500</v>
      </c>
      <c r="O9" s="335">
        <v>242500</v>
      </c>
    </row>
    <row r="10" spans="3:16" x14ac:dyDescent="0.25">
      <c r="C10" s="334" t="s">
        <v>296</v>
      </c>
      <c r="D10" s="335">
        <v>0</v>
      </c>
      <c r="E10" s="335">
        <v>0</v>
      </c>
      <c r="F10" s="335">
        <v>0</v>
      </c>
      <c r="G10" s="335">
        <v>0</v>
      </c>
      <c r="H10" s="335">
        <v>0</v>
      </c>
      <c r="I10" s="335">
        <v>0</v>
      </c>
      <c r="J10" s="335">
        <v>500000</v>
      </c>
      <c r="K10" s="335">
        <v>500000</v>
      </c>
      <c r="L10" s="335">
        <v>500000</v>
      </c>
      <c r="M10" s="335">
        <v>500000</v>
      </c>
      <c r="N10" s="335">
        <v>500000</v>
      </c>
      <c r="O10" s="335">
        <v>500000</v>
      </c>
    </row>
    <row r="11" spans="3:16" x14ac:dyDescent="0.25">
      <c r="C11" s="334" t="s">
        <v>297</v>
      </c>
      <c r="D11" s="335">
        <v>0</v>
      </c>
      <c r="E11" s="335">
        <v>0</v>
      </c>
      <c r="F11" s="335">
        <f>17999+6814+23446</f>
        <v>48259</v>
      </c>
      <c r="G11" s="335">
        <f>39276+28616</f>
        <v>67892</v>
      </c>
      <c r="H11" s="335">
        <f>28616+28616+42799+28401</f>
        <v>128432</v>
      </c>
      <c r="I11" s="335">
        <f>41590+27089</f>
        <v>68679</v>
      </c>
      <c r="J11" s="335">
        <f>45439+29671</f>
        <v>75110</v>
      </c>
      <c r="K11" s="335">
        <v>70000</v>
      </c>
      <c r="L11" s="335">
        <v>80191</v>
      </c>
      <c r="M11" s="335">
        <v>85000</v>
      </c>
      <c r="N11" s="335">
        <v>85000</v>
      </c>
      <c r="O11" s="335">
        <v>85000</v>
      </c>
    </row>
    <row r="12" spans="3:16" x14ac:dyDescent="0.25">
      <c r="C12" s="334" t="s">
        <v>298</v>
      </c>
      <c r="D12" s="335">
        <v>500000</v>
      </c>
      <c r="E12" s="335">
        <v>22275</v>
      </c>
      <c r="F12" s="335">
        <v>404117</v>
      </c>
      <c r="G12" s="335">
        <v>202807</v>
      </c>
      <c r="H12" s="335">
        <v>127990</v>
      </c>
      <c r="I12" s="335">
        <v>1764440</v>
      </c>
      <c r="J12" s="335">
        <v>0</v>
      </c>
      <c r="K12" s="335">
        <v>0</v>
      </c>
      <c r="L12" s="335">
        <v>0</v>
      </c>
      <c r="M12" s="335">
        <v>0</v>
      </c>
      <c r="N12" s="335">
        <v>0</v>
      </c>
      <c r="O12" s="335">
        <v>0</v>
      </c>
    </row>
    <row r="13" spans="3:16" ht="17.25" x14ac:dyDescent="0.25">
      <c r="C13" s="334" t="s">
        <v>314</v>
      </c>
      <c r="D13" s="335">
        <v>677748</v>
      </c>
      <c r="E13" s="335">
        <f>1322029-E12</f>
        <v>1299754</v>
      </c>
      <c r="F13" s="335">
        <v>0</v>
      </c>
      <c r="G13" s="335">
        <v>0</v>
      </c>
      <c r="H13" s="335">
        <v>0</v>
      </c>
      <c r="I13" s="335">
        <v>30000</v>
      </c>
      <c r="J13" s="335">
        <f>8000</f>
        <v>8000</v>
      </c>
      <c r="K13" s="335">
        <v>0</v>
      </c>
      <c r="L13" s="335">
        <v>22000</v>
      </c>
      <c r="M13" s="335">
        <v>0</v>
      </c>
      <c r="N13" s="335">
        <v>0</v>
      </c>
      <c r="O13" s="335">
        <v>0</v>
      </c>
    </row>
    <row r="14" spans="3:16" x14ac:dyDescent="0.25">
      <c r="C14" s="332" t="s">
        <v>299</v>
      </c>
      <c r="D14" s="330"/>
      <c r="E14" s="330"/>
      <c r="F14" s="330">
        <f>598055+2834637</f>
        <v>3432692</v>
      </c>
      <c r="G14" s="330">
        <v>0</v>
      </c>
      <c r="H14" s="330">
        <f>1219425+4300840</f>
        <v>5520265</v>
      </c>
      <c r="I14" s="330">
        <v>5574156</v>
      </c>
      <c r="J14" s="330">
        <f>7014102-450000</f>
        <v>6564102</v>
      </c>
      <c r="K14" s="330">
        <v>6432830</v>
      </c>
      <c r="L14" s="330">
        <v>6667427</v>
      </c>
      <c r="M14" s="330">
        <v>8922748</v>
      </c>
      <c r="N14" s="330">
        <v>9483597</v>
      </c>
      <c r="O14" s="330">
        <v>8922748</v>
      </c>
      <c r="P14" s="333"/>
    </row>
    <row r="15" spans="3:16" ht="17.25" x14ac:dyDescent="0.25">
      <c r="C15" s="332" t="s">
        <v>315</v>
      </c>
      <c r="D15" s="330"/>
      <c r="E15" s="330"/>
      <c r="F15" s="330"/>
      <c r="G15" s="330"/>
      <c r="H15" s="330"/>
      <c r="I15" s="330"/>
      <c r="J15" s="330">
        <v>610000</v>
      </c>
      <c r="K15" s="330">
        <v>4732782</v>
      </c>
      <c r="L15" s="330"/>
      <c r="M15" s="330">
        <v>1126343</v>
      </c>
      <c r="N15" s="330">
        <v>378000</v>
      </c>
      <c r="O15" s="330">
        <v>344343</v>
      </c>
      <c r="P15" s="333"/>
    </row>
    <row r="16" spans="3:16" hidden="1" x14ac:dyDescent="0.25">
      <c r="C16" s="334" t="s">
        <v>300</v>
      </c>
      <c r="D16" s="335"/>
      <c r="E16" s="335"/>
      <c r="F16" s="335"/>
      <c r="G16" s="335"/>
      <c r="H16" s="335"/>
      <c r="I16" s="335"/>
      <c r="J16" s="335"/>
      <c r="K16" s="335"/>
      <c r="L16" s="335"/>
      <c r="M16" s="335"/>
      <c r="N16" s="335">
        <f>230000-115000</f>
        <v>115000</v>
      </c>
      <c r="O16" s="335"/>
    </row>
    <row r="17" spans="3:16" hidden="1" x14ac:dyDescent="0.25">
      <c r="C17" s="334" t="s">
        <v>301</v>
      </c>
      <c r="D17" s="335"/>
      <c r="E17" s="335"/>
      <c r="F17" s="335"/>
      <c r="G17" s="335"/>
      <c r="H17" s="335"/>
      <c r="I17" s="335"/>
      <c r="J17" s="335"/>
      <c r="K17" s="335"/>
      <c r="L17" s="335"/>
      <c r="M17" s="335"/>
      <c r="N17" s="335">
        <f>326000-163000</f>
        <v>163000</v>
      </c>
      <c r="O17" s="335"/>
    </row>
    <row r="18" spans="3:16" hidden="1" x14ac:dyDescent="0.25">
      <c r="C18" s="334" t="s">
        <v>302</v>
      </c>
      <c r="D18" s="335"/>
      <c r="E18" s="335"/>
      <c r="F18" s="335"/>
      <c r="G18" s="335"/>
      <c r="H18" s="335"/>
      <c r="I18" s="335"/>
      <c r="J18" s="335"/>
      <c r="K18" s="335"/>
      <c r="L18" s="335"/>
      <c r="M18" s="335"/>
      <c r="N18" s="335">
        <v>100000</v>
      </c>
      <c r="O18" s="335"/>
    </row>
    <row r="19" spans="3:16" x14ac:dyDescent="0.25">
      <c r="C19" s="332" t="s">
        <v>303</v>
      </c>
      <c r="D19" s="330"/>
      <c r="E19" s="330"/>
      <c r="F19" s="330">
        <f>2748483+1578562</f>
        <v>4327045</v>
      </c>
      <c r="G19" s="330">
        <f>3351582+888868</f>
        <v>4240450</v>
      </c>
      <c r="H19" s="330">
        <f>474964+537403</f>
        <v>1012367</v>
      </c>
      <c r="I19" s="330">
        <f>2320591+382619+224115</f>
        <v>2927325</v>
      </c>
      <c r="J19" s="330">
        <v>4853894</v>
      </c>
      <c r="K19" s="330">
        <v>5557293</v>
      </c>
      <c r="L19" s="330">
        <v>11347602</v>
      </c>
      <c r="M19" s="330">
        <v>9528463</v>
      </c>
      <c r="N19" s="330">
        <v>8709851</v>
      </c>
      <c r="O19" s="330">
        <v>23467734</v>
      </c>
      <c r="P19" s="336"/>
    </row>
    <row r="20" spans="3:16" ht="17.25" x14ac:dyDescent="0.25">
      <c r="C20" s="332" t="s">
        <v>316</v>
      </c>
      <c r="D20" s="330">
        <v>5125445</v>
      </c>
      <c r="E20" s="330">
        <f>5261708-E23</f>
        <v>5081773</v>
      </c>
      <c r="F20" s="330">
        <v>0</v>
      </c>
      <c r="G20" s="330"/>
      <c r="H20" s="330"/>
      <c r="I20" s="330"/>
      <c r="J20" s="330">
        <v>1460987</v>
      </c>
      <c r="K20" s="330"/>
      <c r="L20" s="330"/>
      <c r="M20" s="330"/>
      <c r="N20" s="330">
        <v>0</v>
      </c>
      <c r="O20" s="330"/>
      <c r="P20" s="333"/>
    </row>
    <row r="21" spans="3:16" x14ac:dyDescent="0.25">
      <c r="C21" s="332" t="s">
        <v>304</v>
      </c>
      <c r="D21" s="330"/>
      <c r="E21" s="330"/>
      <c r="F21" s="330"/>
      <c r="G21" s="330"/>
      <c r="H21" s="330"/>
      <c r="I21" s="330"/>
      <c r="J21" s="330">
        <v>450000</v>
      </c>
      <c r="K21" s="330">
        <v>450000</v>
      </c>
      <c r="L21" s="330">
        <v>950000</v>
      </c>
      <c r="M21" s="330">
        <v>450000</v>
      </c>
      <c r="N21" s="330"/>
      <c r="O21" s="330">
        <v>650000</v>
      </c>
      <c r="P21" s="333"/>
    </row>
    <row r="22" spans="3:16" x14ac:dyDescent="0.25">
      <c r="C22" s="332" t="s">
        <v>305</v>
      </c>
      <c r="D22" s="330"/>
      <c r="E22" s="330"/>
      <c r="F22" s="330"/>
      <c r="G22" s="330"/>
      <c r="H22" s="330"/>
      <c r="I22" s="330"/>
      <c r="J22" s="330"/>
      <c r="K22" s="330"/>
      <c r="L22" s="330">
        <v>400000</v>
      </c>
      <c r="M22" s="330">
        <v>557239</v>
      </c>
      <c r="N22" s="330">
        <v>576917</v>
      </c>
      <c r="O22" s="330">
        <v>557239</v>
      </c>
      <c r="P22" s="333"/>
    </row>
    <row r="23" spans="3:16" x14ac:dyDescent="0.25">
      <c r="C23" s="332" t="s">
        <v>306</v>
      </c>
      <c r="D23" s="330"/>
      <c r="E23" s="330">
        <v>179935</v>
      </c>
      <c r="F23" s="330">
        <v>97485</v>
      </c>
      <c r="G23" s="330">
        <v>97000</v>
      </c>
      <c r="H23" s="330">
        <f>792471+1000000</f>
        <v>1792471</v>
      </c>
      <c r="I23" s="330">
        <f>10021+10576+752983</f>
        <v>773580</v>
      </c>
      <c r="J23" s="330">
        <v>750000</v>
      </c>
      <c r="K23" s="330">
        <f>254920+755640</f>
        <v>1010560</v>
      </c>
      <c r="L23" s="330">
        <f>750000+401768</f>
        <v>1151768</v>
      </c>
      <c r="M23" s="330">
        <f>254920+1236+750000</f>
        <v>1006156</v>
      </c>
      <c r="N23" s="330">
        <v>254920</v>
      </c>
      <c r="O23" s="330">
        <f>254920+750000+1236</f>
        <v>1006156</v>
      </c>
      <c r="P23" s="333"/>
    </row>
    <row r="24" spans="3:16" s="328" customFormat="1" ht="15.75" x14ac:dyDescent="0.25">
      <c r="C24" s="337" t="s">
        <v>307</v>
      </c>
      <c r="D24" s="338">
        <f t="shared" ref="D24:I24" si="1">D5+D6+D14+D15+D19+D22+D23+D20</f>
        <v>6871635</v>
      </c>
      <c r="E24" s="338">
        <f t="shared" si="1"/>
        <v>6606773</v>
      </c>
      <c r="F24" s="338">
        <f t="shared" si="1"/>
        <v>8857319</v>
      </c>
      <c r="G24" s="338">
        <f t="shared" si="1"/>
        <v>12062357</v>
      </c>
      <c r="H24" s="338">
        <f t="shared" si="1"/>
        <v>16446616</v>
      </c>
      <c r="I24" s="338">
        <f t="shared" si="1"/>
        <v>19699968</v>
      </c>
      <c r="J24" s="338">
        <f t="shared" ref="J24:O24" si="2">J5+J6+J14+J15+J19+J22+J23+J20+J21</f>
        <v>24844487</v>
      </c>
      <c r="K24" s="338">
        <f t="shared" si="2"/>
        <v>29079391</v>
      </c>
      <c r="L24" s="338">
        <f t="shared" si="2"/>
        <v>33475122</v>
      </c>
      <c r="M24" s="338">
        <f t="shared" si="2"/>
        <v>35233196</v>
      </c>
      <c r="N24" s="338">
        <f t="shared" si="2"/>
        <v>33393268</v>
      </c>
      <c r="O24" s="338">
        <f t="shared" si="2"/>
        <v>48709076</v>
      </c>
      <c r="P24" s="324"/>
    </row>
    <row r="25" spans="3:16" ht="6" customHeight="1" x14ac:dyDescent="0.25">
      <c r="C25" s="333"/>
      <c r="P25" s="333"/>
    </row>
    <row r="26" spans="3:16" ht="20.25" customHeight="1" x14ac:dyDescent="0.25">
      <c r="C26" s="333"/>
      <c r="P26" s="333"/>
    </row>
    <row r="27" spans="3:16" s="339" customFormat="1" ht="20.100000000000001" hidden="1" customHeight="1" x14ac:dyDescent="0.25">
      <c r="D27" s="339" t="b">
        <f>D28=D24</f>
        <v>1</v>
      </c>
      <c r="E27" s="339" t="b">
        <f t="shared" ref="E27:N27" si="3">E28=E24</f>
        <v>1</v>
      </c>
      <c r="F27" s="339" t="b">
        <f t="shared" si="3"/>
        <v>1</v>
      </c>
      <c r="G27" s="339" t="b">
        <f t="shared" si="3"/>
        <v>1</v>
      </c>
      <c r="H27" s="339" t="b">
        <f t="shared" si="3"/>
        <v>1</v>
      </c>
      <c r="I27" s="339" t="b">
        <f t="shared" si="3"/>
        <v>1</v>
      </c>
      <c r="J27" s="339" t="b">
        <f t="shared" si="3"/>
        <v>1</v>
      </c>
      <c r="K27" s="339" t="b">
        <f t="shared" si="3"/>
        <v>1</v>
      </c>
      <c r="L27" s="339" t="b">
        <f t="shared" si="3"/>
        <v>1</v>
      </c>
      <c r="M27" s="339" t="b">
        <f t="shared" si="3"/>
        <v>1</v>
      </c>
      <c r="N27" s="339" t="b">
        <f t="shared" si="3"/>
        <v>1</v>
      </c>
      <c r="O27" s="340" t="b">
        <f>O28=O24</f>
        <v>1</v>
      </c>
    </row>
    <row r="28" spans="3:16" s="339" customFormat="1" ht="20.100000000000001" hidden="1" customHeight="1" x14ac:dyDescent="0.25">
      <c r="D28" s="340">
        <v>6871635</v>
      </c>
      <c r="E28" s="340">
        <v>6606773</v>
      </c>
      <c r="F28" s="340">
        <v>8857319</v>
      </c>
      <c r="G28" s="340">
        <v>12062357</v>
      </c>
      <c r="H28" s="340">
        <v>16446616</v>
      </c>
      <c r="I28" s="340">
        <v>19699968</v>
      </c>
      <c r="J28" s="340">
        <v>24844487</v>
      </c>
      <c r="K28" s="340">
        <v>29079391</v>
      </c>
      <c r="L28" s="340">
        <v>33475122</v>
      </c>
      <c r="M28" s="340">
        <v>35233196</v>
      </c>
      <c r="N28" s="340">
        <v>33393268</v>
      </c>
      <c r="O28" s="340">
        <f>48715562-6486</f>
        <v>48709076</v>
      </c>
    </row>
    <row r="29" spans="3:16" s="328" customFormat="1" ht="15.75" x14ac:dyDescent="0.25">
      <c r="C29" s="326" t="s">
        <v>308</v>
      </c>
      <c r="D29" s="327" t="s">
        <v>326</v>
      </c>
      <c r="E29" s="327" t="s">
        <v>280</v>
      </c>
      <c r="F29" s="327" t="s">
        <v>281</v>
      </c>
      <c r="G29" s="327" t="s">
        <v>282</v>
      </c>
      <c r="H29" s="327" t="s">
        <v>283</v>
      </c>
      <c r="I29" s="327" t="s">
        <v>284</v>
      </c>
      <c r="J29" s="327" t="s">
        <v>285</v>
      </c>
      <c r="K29" s="327" t="s">
        <v>286</v>
      </c>
      <c r="L29" s="327" t="s">
        <v>287</v>
      </c>
      <c r="M29" s="327" t="s">
        <v>288</v>
      </c>
      <c r="N29" s="327" t="s">
        <v>289</v>
      </c>
      <c r="O29" s="327" t="s">
        <v>290</v>
      </c>
      <c r="P29" s="324"/>
    </row>
    <row r="30" spans="3:16" x14ac:dyDescent="0.25">
      <c r="C30" s="332" t="s">
        <v>309</v>
      </c>
      <c r="D30" s="330">
        <v>359983</v>
      </c>
      <c r="E30" s="330"/>
      <c r="F30" s="330"/>
      <c r="G30" s="330"/>
      <c r="H30" s="330"/>
      <c r="I30" s="330"/>
      <c r="J30" s="330"/>
      <c r="K30" s="330"/>
      <c r="L30" s="330"/>
      <c r="M30" s="330"/>
      <c r="N30" s="330"/>
      <c r="O30" s="330"/>
      <c r="P30" s="333"/>
    </row>
    <row r="31" spans="3:16" x14ac:dyDescent="0.25">
      <c r="C31" s="332" t="s">
        <v>321</v>
      </c>
      <c r="D31" s="330">
        <v>0</v>
      </c>
      <c r="E31" s="330">
        <v>417107</v>
      </c>
      <c r="F31" s="330">
        <v>1372402</v>
      </c>
      <c r="G31" s="330">
        <v>526822</v>
      </c>
      <c r="H31" s="330">
        <v>2228230</v>
      </c>
      <c r="I31" s="330">
        <v>6346306</v>
      </c>
      <c r="J31" s="330">
        <v>0</v>
      </c>
      <c r="K31" s="330">
        <v>3910</v>
      </c>
      <c r="L31" s="330">
        <v>0</v>
      </c>
      <c r="M31" s="330">
        <v>252500</v>
      </c>
      <c r="N31" s="330">
        <v>0</v>
      </c>
      <c r="O31" s="330">
        <v>2188074</v>
      </c>
      <c r="P31" s="333"/>
    </row>
    <row r="32" spans="3:16" x14ac:dyDescent="0.25">
      <c r="C32" s="332" t="s">
        <v>310</v>
      </c>
      <c r="D32" s="330">
        <v>0</v>
      </c>
      <c r="E32" s="330">
        <v>0</v>
      </c>
      <c r="F32" s="330">
        <v>0</v>
      </c>
      <c r="G32" s="330">
        <v>0</v>
      </c>
      <c r="H32" s="330">
        <v>0</v>
      </c>
      <c r="I32" s="330">
        <v>0</v>
      </c>
      <c r="J32" s="330">
        <v>0</v>
      </c>
      <c r="K32" s="330">
        <v>0</v>
      </c>
      <c r="L32" s="330">
        <v>20793626</v>
      </c>
      <c r="M32" s="330">
        <v>176763</v>
      </c>
      <c r="N32" s="330">
        <v>0</v>
      </c>
      <c r="O32" s="330">
        <v>8686975</v>
      </c>
      <c r="P32" s="333"/>
    </row>
    <row r="33" spans="2:16" x14ac:dyDescent="0.25">
      <c r="C33" s="332" t="s">
        <v>330</v>
      </c>
      <c r="D33" s="330">
        <f>'Non Dept '!B21</f>
        <v>12380996</v>
      </c>
      <c r="E33" s="330">
        <f>'Non Dept '!C21</f>
        <v>22343692</v>
      </c>
      <c r="F33" s="330">
        <f>'Non Dept '!D21</f>
        <v>14053997</v>
      </c>
      <c r="G33" s="330">
        <f>'Non Dept '!E21</f>
        <v>4598556</v>
      </c>
      <c r="H33" s="330">
        <f>'Non Dept '!F21</f>
        <v>7542067</v>
      </c>
      <c r="I33" s="330">
        <f>'Non Dept '!G21</f>
        <v>14838850</v>
      </c>
      <c r="J33" s="330">
        <f>'Non Dept '!H21</f>
        <v>5579346</v>
      </c>
      <c r="K33" s="330">
        <f>'Non Dept '!I21</f>
        <v>2931288</v>
      </c>
      <c r="L33" s="330">
        <f>'Non Dept '!J21</f>
        <v>9599330</v>
      </c>
      <c r="M33" s="330">
        <f>'Non Dept '!M21</f>
        <v>21010600</v>
      </c>
      <c r="N33" s="330">
        <f>'Non Dept '!L21</f>
        <v>3293000</v>
      </c>
      <c r="O33" s="330">
        <f>'Non Dept '!K21</f>
        <v>34921705</v>
      </c>
      <c r="P33" s="333"/>
    </row>
    <row r="34" spans="2:16" s="328" customFormat="1" ht="15.75" x14ac:dyDescent="0.25">
      <c r="C34" s="326" t="s">
        <v>329</v>
      </c>
      <c r="D34" s="338">
        <f>SUM(D30:D33)</f>
        <v>12740979</v>
      </c>
      <c r="E34" s="338">
        <f t="shared" ref="E34:O34" si="4">SUM(E30:E33)</f>
        <v>22760799</v>
      </c>
      <c r="F34" s="338">
        <f t="shared" si="4"/>
        <v>15426399</v>
      </c>
      <c r="G34" s="338">
        <f t="shared" si="4"/>
        <v>5125378</v>
      </c>
      <c r="H34" s="338">
        <f t="shared" si="4"/>
        <v>9770297</v>
      </c>
      <c r="I34" s="338">
        <f t="shared" si="4"/>
        <v>21185156</v>
      </c>
      <c r="J34" s="338">
        <f t="shared" si="4"/>
        <v>5579346</v>
      </c>
      <c r="K34" s="338">
        <f t="shared" si="4"/>
        <v>2935198</v>
      </c>
      <c r="L34" s="338">
        <f t="shared" si="4"/>
        <v>30392956</v>
      </c>
      <c r="M34" s="338">
        <f t="shared" si="4"/>
        <v>21439863</v>
      </c>
      <c r="N34" s="338">
        <f t="shared" si="4"/>
        <v>3293000</v>
      </c>
      <c r="O34" s="338">
        <f t="shared" si="4"/>
        <v>45796754</v>
      </c>
      <c r="P34" s="324"/>
    </row>
    <row r="35" spans="2:16" ht="6" customHeight="1" x14ac:dyDescent="0.25">
      <c r="D35" s="341"/>
      <c r="E35" s="341"/>
      <c r="F35" s="341"/>
      <c r="G35" s="341"/>
      <c r="H35" s="341"/>
      <c r="I35" s="341"/>
      <c r="J35" s="341"/>
      <c r="K35" s="341"/>
      <c r="L35" s="341"/>
      <c r="M35" s="341"/>
      <c r="N35" s="341"/>
      <c r="O35" s="341"/>
    </row>
    <row r="36" spans="2:16" s="339" customFormat="1" ht="20.100000000000001" hidden="1" customHeight="1" x14ac:dyDescent="0.25">
      <c r="D36" s="342" t="b">
        <f>D37=D34</f>
        <v>0</v>
      </c>
      <c r="E36" s="339" t="b">
        <f t="shared" ref="E36:O36" si="5">E37=E34</f>
        <v>0</v>
      </c>
      <c r="F36" s="339" t="b">
        <f t="shared" si="5"/>
        <v>0</v>
      </c>
      <c r="G36" s="339" t="b">
        <f t="shared" si="5"/>
        <v>0</v>
      </c>
      <c r="H36" s="339" t="b">
        <f t="shared" si="5"/>
        <v>0</v>
      </c>
      <c r="I36" s="339" t="b">
        <f t="shared" si="5"/>
        <v>0</v>
      </c>
      <c r="J36" s="339" t="b">
        <f t="shared" si="5"/>
        <v>0</v>
      </c>
      <c r="K36" s="339" t="b">
        <f t="shared" si="5"/>
        <v>0</v>
      </c>
      <c r="L36" s="339" t="b">
        <f t="shared" si="5"/>
        <v>0</v>
      </c>
      <c r="M36" s="339" t="b">
        <f t="shared" si="5"/>
        <v>0</v>
      </c>
      <c r="N36" s="339" t="b">
        <f t="shared" si="5"/>
        <v>0</v>
      </c>
      <c r="O36" s="339" t="b">
        <f t="shared" si="5"/>
        <v>0</v>
      </c>
    </row>
    <row r="37" spans="2:16" s="343" customFormat="1" ht="20.100000000000001" hidden="1" customHeight="1" x14ac:dyDescent="0.25">
      <c r="D37" s="343">
        <v>359983</v>
      </c>
      <c r="E37" s="343">
        <v>417107</v>
      </c>
      <c r="F37" s="343">
        <v>1372402</v>
      </c>
      <c r="G37" s="343">
        <v>526822</v>
      </c>
      <c r="H37" s="343">
        <v>2228230</v>
      </c>
      <c r="I37" s="343">
        <v>6346306</v>
      </c>
      <c r="J37" s="343">
        <v>0</v>
      </c>
      <c r="K37" s="343">
        <v>3910</v>
      </c>
      <c r="L37" s="343">
        <v>20793626</v>
      </c>
      <c r="M37" s="343">
        <v>429263</v>
      </c>
      <c r="N37" s="343">
        <v>0</v>
      </c>
      <c r="O37" s="343">
        <v>10875049</v>
      </c>
    </row>
    <row r="38" spans="2:16" s="328" customFormat="1" ht="18.75" x14ac:dyDescent="0.25">
      <c r="C38" s="344" t="s">
        <v>311</v>
      </c>
      <c r="D38" s="345">
        <f t="shared" ref="D38:O38" si="6">+D34+D24</f>
        <v>19612614</v>
      </c>
      <c r="E38" s="345">
        <f t="shared" si="6"/>
        <v>29367572</v>
      </c>
      <c r="F38" s="345">
        <f t="shared" si="6"/>
        <v>24283718</v>
      </c>
      <c r="G38" s="345">
        <f t="shared" si="6"/>
        <v>17187735</v>
      </c>
      <c r="H38" s="345">
        <f t="shared" si="6"/>
        <v>26216913</v>
      </c>
      <c r="I38" s="345">
        <f t="shared" si="6"/>
        <v>40885124</v>
      </c>
      <c r="J38" s="345">
        <f t="shared" si="6"/>
        <v>30423833</v>
      </c>
      <c r="K38" s="345">
        <f t="shared" si="6"/>
        <v>32014589</v>
      </c>
      <c r="L38" s="345">
        <f t="shared" si="6"/>
        <v>63868078</v>
      </c>
      <c r="M38" s="345">
        <f t="shared" si="6"/>
        <v>56673059</v>
      </c>
      <c r="N38" s="345">
        <f t="shared" si="6"/>
        <v>36686268</v>
      </c>
      <c r="O38" s="345">
        <f t="shared" si="6"/>
        <v>94505830</v>
      </c>
      <c r="P38" s="324"/>
    </row>
    <row r="39" spans="2:16" ht="15.75" hidden="1" x14ac:dyDescent="0.25">
      <c r="C39" s="325" t="s">
        <v>312</v>
      </c>
      <c r="D39" s="346">
        <v>7231618</v>
      </c>
      <c r="E39" s="346">
        <v>7023880</v>
      </c>
      <c r="F39" s="346">
        <v>10229721</v>
      </c>
      <c r="G39" s="346">
        <v>12589179</v>
      </c>
      <c r="H39" s="346">
        <v>18674846</v>
      </c>
      <c r="I39" s="346">
        <v>26046274</v>
      </c>
      <c r="J39" s="346">
        <v>24844487</v>
      </c>
      <c r="K39" s="346">
        <v>29083301</v>
      </c>
      <c r="L39" s="346">
        <v>54268748</v>
      </c>
      <c r="M39" s="346">
        <v>35662459</v>
      </c>
      <c r="N39" s="346">
        <v>33393268</v>
      </c>
      <c r="O39" s="346">
        <f>+O37+O28</f>
        <v>59584125</v>
      </c>
    </row>
    <row r="40" spans="2:16" hidden="1" x14ac:dyDescent="0.25">
      <c r="C40" s="325" t="s">
        <v>313</v>
      </c>
      <c r="D40" s="325" t="b">
        <f>D39=D38</f>
        <v>0</v>
      </c>
      <c r="E40" s="325" t="b">
        <f t="shared" ref="E40:O40" si="7">E39=E38</f>
        <v>0</v>
      </c>
      <c r="F40" s="325" t="b">
        <f t="shared" si="7"/>
        <v>0</v>
      </c>
      <c r="G40" s="325" t="b">
        <f t="shared" si="7"/>
        <v>0</v>
      </c>
      <c r="H40" s="325" t="b">
        <f t="shared" si="7"/>
        <v>0</v>
      </c>
      <c r="I40" s="325" t="b">
        <f t="shared" si="7"/>
        <v>0</v>
      </c>
      <c r="J40" s="325" t="b">
        <f t="shared" si="7"/>
        <v>0</v>
      </c>
      <c r="K40" s="325" t="b">
        <f t="shared" si="7"/>
        <v>0</v>
      </c>
      <c r="L40" s="325" t="b">
        <f t="shared" si="7"/>
        <v>0</v>
      </c>
      <c r="M40" s="325" t="b">
        <f t="shared" si="7"/>
        <v>0</v>
      </c>
      <c r="N40" s="325" t="b">
        <f t="shared" si="7"/>
        <v>0</v>
      </c>
      <c r="O40" s="325" t="b">
        <f t="shared" si="7"/>
        <v>0</v>
      </c>
    </row>
    <row r="42" spans="2:16" hidden="1" x14ac:dyDescent="0.25">
      <c r="C42" s="325" t="s">
        <v>322</v>
      </c>
      <c r="D42" s="325" t="b">
        <f>D38='Non Dept '!B23</f>
        <v>1</v>
      </c>
      <c r="E42" s="325" t="b">
        <f>E38='Non Dept '!C23</f>
        <v>1</v>
      </c>
      <c r="F42" s="325" t="b">
        <f>F38='Non Dept '!D23</f>
        <v>1</v>
      </c>
      <c r="G42" s="325" t="b">
        <f>G38='Non Dept '!E23</f>
        <v>1</v>
      </c>
      <c r="H42" s="325" t="b">
        <f>H38='Non Dept '!F23</f>
        <v>1</v>
      </c>
      <c r="I42" s="325" t="b">
        <f>I38='Non Dept '!G23</f>
        <v>1</v>
      </c>
      <c r="J42" s="325" t="b">
        <f>J38='Non Dept '!H23</f>
        <v>1</v>
      </c>
      <c r="K42" s="325" t="b">
        <f>K38='Non Dept '!I23</f>
        <v>1</v>
      </c>
      <c r="L42" s="325" t="b">
        <f>L38='Non Dept '!J23</f>
        <v>1</v>
      </c>
      <c r="M42" s="325" t="b">
        <f>M38='Non Dept '!M23</f>
        <v>1</v>
      </c>
      <c r="N42" s="325" t="b">
        <f>N38='Non Dept '!L23</f>
        <v>1</v>
      </c>
      <c r="O42" s="325" t="b">
        <f>O38='Non Dept '!K23</f>
        <v>1</v>
      </c>
    </row>
    <row r="43" spans="2:16" ht="23.25" hidden="1" x14ac:dyDescent="0.35">
      <c r="B43" s="347" t="s">
        <v>317</v>
      </c>
      <c r="C43" s="348"/>
      <c r="D43" s="325">
        <v>12380996</v>
      </c>
      <c r="E43" s="325">
        <v>22343692</v>
      </c>
      <c r="F43" s="325">
        <v>14053997</v>
      </c>
      <c r="G43" s="325">
        <v>4598556</v>
      </c>
      <c r="H43" s="325">
        <v>7542067</v>
      </c>
      <c r="I43" s="325">
        <v>14838850</v>
      </c>
      <c r="J43" s="325">
        <v>5579346</v>
      </c>
      <c r="K43" s="325">
        <v>2931288</v>
      </c>
      <c r="L43" s="325">
        <v>9599330</v>
      </c>
      <c r="M43" s="325">
        <v>21010600</v>
      </c>
      <c r="N43" s="325">
        <v>3293000</v>
      </c>
      <c r="O43" s="325">
        <v>34921705</v>
      </c>
    </row>
    <row r="44" spans="2:16" ht="23.25" hidden="1" x14ac:dyDescent="0.35">
      <c r="B44" s="347"/>
      <c r="C44" s="348"/>
      <c r="D44" s="356">
        <f>D43+D38</f>
        <v>31993610</v>
      </c>
      <c r="E44" s="356">
        <f t="shared" ref="E44:O44" si="8">E43+E38</f>
        <v>51711264</v>
      </c>
      <c r="F44" s="356">
        <f t="shared" si="8"/>
        <v>38337715</v>
      </c>
      <c r="G44" s="356">
        <f t="shared" si="8"/>
        <v>21786291</v>
      </c>
      <c r="H44" s="356">
        <f t="shared" si="8"/>
        <v>33758980</v>
      </c>
      <c r="I44" s="356">
        <f t="shared" si="8"/>
        <v>55723974</v>
      </c>
      <c r="J44" s="356">
        <f t="shared" si="8"/>
        <v>36003179</v>
      </c>
      <c r="K44" s="356">
        <f t="shared" si="8"/>
        <v>34945877</v>
      </c>
      <c r="L44" s="356">
        <f t="shared" si="8"/>
        <v>73467408</v>
      </c>
      <c r="M44" s="356">
        <f t="shared" si="8"/>
        <v>77683659</v>
      </c>
      <c r="N44" s="356">
        <f t="shared" si="8"/>
        <v>39979268</v>
      </c>
      <c r="O44" s="356">
        <f t="shared" si="8"/>
        <v>129427535</v>
      </c>
    </row>
    <row r="45" spans="2:16" ht="23.25" x14ac:dyDescent="0.35">
      <c r="B45" s="347"/>
      <c r="C45" s="348"/>
      <c r="D45" s="356"/>
      <c r="E45" s="356"/>
      <c r="F45" s="356"/>
      <c r="G45" s="356"/>
      <c r="H45" s="356"/>
      <c r="I45" s="356"/>
      <c r="J45" s="356"/>
      <c r="K45" s="356"/>
      <c r="L45" s="356"/>
      <c r="M45" s="356"/>
      <c r="N45" s="356"/>
      <c r="O45" s="356"/>
    </row>
    <row r="46" spans="2:16" ht="32.25" customHeight="1" x14ac:dyDescent="0.25">
      <c r="B46" s="350" t="s">
        <v>318</v>
      </c>
      <c r="C46" s="1028" t="s">
        <v>325</v>
      </c>
      <c r="D46" s="1028"/>
      <c r="E46" s="1028"/>
      <c r="F46" s="1028"/>
      <c r="G46" s="1028"/>
      <c r="H46" s="1028"/>
      <c r="I46" s="1028"/>
      <c r="J46" s="1028"/>
      <c r="K46" s="1028"/>
      <c r="L46" s="1028"/>
      <c r="M46" s="1028"/>
      <c r="N46" s="1028"/>
      <c r="O46" s="1028"/>
    </row>
    <row r="47" spans="2:16" ht="15.75" x14ac:dyDescent="0.25">
      <c r="B47" s="349" t="s">
        <v>319</v>
      </c>
      <c r="C47" s="348" t="s">
        <v>323</v>
      </c>
    </row>
    <row r="48" spans="2:16" ht="15.75" x14ac:dyDescent="0.25">
      <c r="B48" s="349" t="s">
        <v>320</v>
      </c>
      <c r="C48" s="348" t="s">
        <v>324</v>
      </c>
    </row>
  </sheetData>
  <mergeCells count="2">
    <mergeCell ref="C2:N2"/>
    <mergeCell ref="C46:O46"/>
  </mergeCells>
  <pageMargins left="0.7" right="0.7" top="0.75" bottom="0.75" header="0.3" footer="0.3"/>
  <pageSetup orientation="portrait" r:id="rId1"/>
  <ignoredErrors>
    <ignoredError sqref="K6:M6 O6" formulaRange="1"/>
  </ignoredError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108001"/>
  </sheetPr>
  <dimension ref="A1:N189"/>
  <sheetViews>
    <sheetView topLeftCell="A8" workbookViewId="0">
      <selection activeCell="E9" sqref="E9:L13"/>
    </sheetView>
  </sheetViews>
  <sheetFormatPr defaultColWidth="11" defaultRowHeight="15.75" x14ac:dyDescent="0.25"/>
  <cols>
    <col min="1" max="1" width="25.625" customWidth="1"/>
    <col min="2" max="2" width="15.125" bestFit="1" customWidth="1"/>
    <col min="3" max="9" width="12.5" bestFit="1" customWidth="1"/>
    <col min="10" max="12" width="13.875" customWidth="1"/>
    <col min="13" max="13" width="11" style="124"/>
  </cols>
  <sheetData>
    <row r="1" spans="1:14" ht="18.75" x14ac:dyDescent="0.3">
      <c r="J1" s="1020" t="s">
        <v>154</v>
      </c>
      <c r="K1" s="1020"/>
      <c r="L1" s="1020"/>
    </row>
    <row r="2" spans="1:14" x14ac:dyDescent="0.25">
      <c r="A2" s="2"/>
      <c r="B2" s="2">
        <v>2009</v>
      </c>
      <c r="C2" s="2">
        <v>2010</v>
      </c>
      <c r="D2" s="2">
        <v>2011</v>
      </c>
      <c r="E2" s="2">
        <v>2012</v>
      </c>
      <c r="F2" s="2">
        <v>2013</v>
      </c>
      <c r="G2" s="2">
        <v>2014</v>
      </c>
      <c r="H2" s="2">
        <v>2015</v>
      </c>
      <c r="I2" s="195">
        <v>2016</v>
      </c>
      <c r="J2" s="195">
        <v>2017</v>
      </c>
      <c r="K2" s="195">
        <v>2018</v>
      </c>
      <c r="L2" s="191">
        <v>2019</v>
      </c>
    </row>
    <row r="3" spans="1:14" x14ac:dyDescent="0.25">
      <c r="A3" s="2"/>
      <c r="B3" s="19"/>
      <c r="C3" s="19"/>
      <c r="D3" s="19"/>
      <c r="E3" s="19"/>
      <c r="F3" s="19"/>
      <c r="G3" s="19"/>
      <c r="H3" s="19"/>
      <c r="I3" s="19"/>
      <c r="J3" s="70" t="s">
        <v>58</v>
      </c>
      <c r="K3" s="70" t="s">
        <v>58</v>
      </c>
      <c r="L3" s="70" t="s">
        <v>58</v>
      </c>
    </row>
    <row r="4" spans="1:14" x14ac:dyDescent="0.25">
      <c r="A4" s="2"/>
      <c r="B4" s="30"/>
      <c r="C4" s="30"/>
      <c r="D4" s="30"/>
      <c r="E4" s="30"/>
      <c r="F4" s="30"/>
      <c r="G4" s="30"/>
      <c r="H4" s="30"/>
      <c r="I4" s="30"/>
      <c r="J4" s="29" t="s">
        <v>55</v>
      </c>
      <c r="K4" s="29" t="s">
        <v>151</v>
      </c>
      <c r="L4" s="29" t="s">
        <v>56</v>
      </c>
    </row>
    <row r="5" spans="1:14" x14ac:dyDescent="0.25">
      <c r="A5" s="10" t="s">
        <v>44</v>
      </c>
      <c r="B5" s="31" t="s">
        <v>95</v>
      </c>
      <c r="C5" s="31" t="s">
        <v>95</v>
      </c>
      <c r="D5" s="31" t="s">
        <v>95</v>
      </c>
      <c r="E5" s="31" t="s">
        <v>95</v>
      </c>
      <c r="F5" s="31" t="s">
        <v>95</v>
      </c>
      <c r="G5" s="31" t="s">
        <v>95</v>
      </c>
      <c r="H5" s="31" t="s">
        <v>95</v>
      </c>
      <c r="I5" s="31" t="s">
        <v>95</v>
      </c>
      <c r="J5" s="31" t="s">
        <v>95</v>
      </c>
      <c r="K5" s="31" t="s">
        <v>95</v>
      </c>
      <c r="L5" s="31" t="s">
        <v>95</v>
      </c>
      <c r="M5" s="126"/>
      <c r="N5" s="2"/>
    </row>
    <row r="6" spans="1:14" x14ac:dyDescent="0.25">
      <c r="A6" s="2"/>
      <c r="B6" s="30"/>
      <c r="C6" s="30"/>
      <c r="D6" s="30"/>
      <c r="E6" s="30"/>
      <c r="F6" s="30"/>
      <c r="G6" s="31"/>
      <c r="H6" s="30"/>
      <c r="I6" s="30"/>
      <c r="J6" s="30"/>
      <c r="K6" s="30"/>
      <c r="L6" s="30"/>
      <c r="M6" s="126"/>
      <c r="N6" s="2"/>
    </row>
    <row r="7" spans="1:14" ht="18.75" x14ac:dyDescent="0.3">
      <c r="A7" s="80" t="s">
        <v>90</v>
      </c>
      <c r="B7" s="30"/>
      <c r="C7" s="30"/>
      <c r="D7" s="30"/>
      <c r="E7" s="30"/>
      <c r="F7" s="30"/>
      <c r="G7" s="30"/>
      <c r="H7" s="30"/>
      <c r="I7" s="30"/>
      <c r="J7" s="30"/>
      <c r="K7" s="30"/>
      <c r="L7" s="30"/>
      <c r="M7" s="126"/>
      <c r="N7" s="2"/>
    </row>
    <row r="8" spans="1:14" s="60" customFormat="1" x14ac:dyDescent="0.25">
      <c r="A8" s="2"/>
      <c r="B8" s="30"/>
      <c r="C8" s="30"/>
      <c r="D8" s="30"/>
      <c r="E8" s="30"/>
      <c r="F8" s="30"/>
      <c r="G8" s="30"/>
      <c r="H8" s="30"/>
      <c r="I8" s="30"/>
      <c r="J8" s="30"/>
      <c r="K8" s="30"/>
      <c r="L8" s="30"/>
      <c r="M8" s="126"/>
      <c r="N8" s="2"/>
    </row>
    <row r="9" spans="1:14" x14ac:dyDescent="0.25">
      <c r="A9" s="10" t="s">
        <v>92</v>
      </c>
      <c r="B9" s="31"/>
      <c r="C9" s="31"/>
      <c r="D9" s="31"/>
      <c r="E9" s="31"/>
      <c r="F9" s="31"/>
      <c r="G9" s="31"/>
      <c r="H9" s="31"/>
      <c r="I9" s="31"/>
      <c r="J9" s="31"/>
      <c r="K9" s="31"/>
      <c r="L9" s="31"/>
      <c r="M9" s="121"/>
      <c r="N9" s="3"/>
    </row>
    <row r="10" spans="1:14" x14ac:dyDescent="0.25">
      <c r="A10" s="83" t="s">
        <v>88</v>
      </c>
      <c r="B10" s="31"/>
      <c r="C10" s="31"/>
      <c r="D10" s="31"/>
      <c r="E10" s="31"/>
      <c r="F10" s="31"/>
      <c r="G10" s="31"/>
      <c r="H10" s="31"/>
      <c r="I10" s="31"/>
      <c r="J10" s="31"/>
      <c r="K10" s="31"/>
      <c r="L10" s="31"/>
      <c r="M10" s="121"/>
      <c r="N10" s="3"/>
    </row>
    <row r="11" spans="1:14" s="19" customFormat="1" x14ac:dyDescent="0.25">
      <c r="A11" s="81" t="s">
        <v>93</v>
      </c>
      <c r="B11" s="31"/>
      <c r="C11" s="31"/>
      <c r="D11" s="31"/>
      <c r="E11" s="31"/>
      <c r="F11" s="31"/>
      <c r="G11" s="31"/>
      <c r="H11" s="31"/>
      <c r="I11" s="31"/>
      <c r="J11" s="31"/>
      <c r="K11" s="31"/>
      <c r="L11" s="31"/>
      <c r="M11" s="121"/>
      <c r="N11" s="3"/>
    </row>
    <row r="12" spans="1:14" s="19" customFormat="1" x14ac:dyDescent="0.25">
      <c r="A12" s="63" t="s">
        <v>78</v>
      </c>
      <c r="B12" s="31"/>
      <c r="C12" s="31"/>
      <c r="D12" s="31"/>
      <c r="E12" s="31"/>
      <c r="F12" s="31"/>
      <c r="G12" s="31"/>
      <c r="H12" s="31"/>
      <c r="I12" s="31"/>
      <c r="J12" s="31"/>
      <c r="K12" s="31"/>
      <c r="L12" s="31"/>
      <c r="M12" s="121"/>
      <c r="N12" s="3"/>
    </row>
    <row r="13" spans="1:14" s="19" customFormat="1" ht="16.5" thickBot="1" x14ac:dyDescent="0.3">
      <c r="A13" s="38"/>
      <c r="B13" s="99"/>
      <c r="C13" s="99"/>
      <c r="D13" s="99"/>
      <c r="E13" s="99"/>
      <c r="F13" s="99"/>
      <c r="G13" s="99"/>
      <c r="H13" s="99"/>
      <c r="I13" s="99"/>
      <c r="J13" s="99"/>
      <c r="K13" s="99"/>
      <c r="L13" s="99"/>
      <c r="M13" s="126"/>
      <c r="N13" s="2"/>
    </row>
    <row r="14" spans="1:14" x14ac:dyDescent="0.25">
      <c r="A14" s="82" t="s">
        <v>100</v>
      </c>
      <c r="B14" s="31" t="s">
        <v>95</v>
      </c>
      <c r="C14" s="31" t="s">
        <v>95</v>
      </c>
      <c r="D14" s="31" t="s">
        <v>95</v>
      </c>
      <c r="E14" s="31" t="s">
        <v>95</v>
      </c>
      <c r="F14" s="31" t="s">
        <v>95</v>
      </c>
      <c r="G14" s="31" t="s">
        <v>95</v>
      </c>
      <c r="H14" s="31" t="s">
        <v>95</v>
      </c>
      <c r="I14" s="31" t="s">
        <v>95</v>
      </c>
      <c r="J14" s="31" t="s">
        <v>95</v>
      </c>
      <c r="K14" s="31" t="s">
        <v>95</v>
      </c>
      <c r="L14" s="31" t="s">
        <v>95</v>
      </c>
      <c r="M14" s="126"/>
      <c r="N14" s="2"/>
    </row>
    <row r="15" spans="1:14" x14ac:dyDescent="0.25">
      <c r="A15" s="2"/>
      <c r="B15" s="30"/>
      <c r="C15" s="30"/>
      <c r="D15" s="30"/>
      <c r="E15" s="30"/>
      <c r="F15" s="30"/>
      <c r="G15" s="30"/>
      <c r="H15" s="30"/>
      <c r="I15" s="30"/>
      <c r="J15" s="30"/>
      <c r="K15" s="30"/>
      <c r="L15" s="30"/>
      <c r="M15" s="126"/>
      <c r="N15" s="2"/>
    </row>
    <row r="16" spans="1:14" x14ac:dyDescent="0.25">
      <c r="B16" s="26"/>
      <c r="C16" s="26"/>
      <c r="D16" s="26"/>
      <c r="E16" s="26"/>
      <c r="F16" s="26"/>
      <c r="G16" s="26"/>
      <c r="H16" s="26"/>
      <c r="I16" s="26"/>
      <c r="J16" s="26"/>
      <c r="K16" s="26"/>
      <c r="L16" s="26"/>
    </row>
    <row r="17" spans="1:14" x14ac:dyDescent="0.25">
      <c r="B17" s="19"/>
      <c r="C17" s="19"/>
      <c r="D17" s="19"/>
      <c r="E17" s="19"/>
      <c r="F17" s="19"/>
      <c r="G17" s="19"/>
      <c r="H17" s="19"/>
      <c r="I17" s="19"/>
      <c r="J17" s="19"/>
      <c r="K17" s="19"/>
      <c r="L17" s="19"/>
    </row>
    <row r="18" spans="1:14" x14ac:dyDescent="0.25">
      <c r="B18" s="1"/>
      <c r="C18" s="1"/>
      <c r="D18" s="1"/>
      <c r="E18" s="1"/>
      <c r="F18" s="1"/>
      <c r="G18" s="1"/>
      <c r="H18" s="1"/>
      <c r="I18" s="1"/>
      <c r="J18" s="1"/>
      <c r="K18" s="1"/>
      <c r="L18" s="1"/>
      <c r="M18" s="120"/>
      <c r="N18" s="1"/>
    </row>
    <row r="19" spans="1:14" ht="18.75" x14ac:dyDescent="0.3">
      <c r="A19" s="80"/>
      <c r="B19" s="1"/>
      <c r="C19" s="1"/>
      <c r="D19" s="1"/>
      <c r="E19" s="1"/>
      <c r="F19" s="1"/>
      <c r="G19" s="1"/>
      <c r="H19" s="1"/>
      <c r="I19" s="1"/>
      <c r="J19" s="1"/>
      <c r="K19" s="1"/>
      <c r="L19" s="1"/>
      <c r="M19" s="120"/>
      <c r="N19" s="1"/>
    </row>
    <row r="20" spans="1:14" ht="18.75" x14ac:dyDescent="0.3">
      <c r="A20" s="80" t="s">
        <v>68</v>
      </c>
      <c r="B20" s="1"/>
      <c r="C20" s="1"/>
      <c r="D20" s="1"/>
      <c r="E20" s="1"/>
      <c r="F20" s="1"/>
      <c r="G20" s="1"/>
      <c r="H20" s="1"/>
      <c r="I20" s="1"/>
      <c r="J20" s="1"/>
      <c r="K20" s="1"/>
      <c r="L20" s="1"/>
      <c r="M20" s="120"/>
      <c r="N20" s="1"/>
    </row>
    <row r="21" spans="1:14" x14ac:dyDescent="0.25">
      <c r="A21" s="10" t="s">
        <v>92</v>
      </c>
      <c r="B21" s="1">
        <v>0</v>
      </c>
      <c r="C21" s="1">
        <v>0</v>
      </c>
      <c r="D21" s="1">
        <v>0</v>
      </c>
      <c r="E21" s="1">
        <v>0</v>
      </c>
      <c r="F21" s="1">
        <v>0</v>
      </c>
      <c r="G21" s="1">
        <v>0</v>
      </c>
      <c r="H21" s="1">
        <v>0</v>
      </c>
      <c r="I21" s="1">
        <v>0</v>
      </c>
      <c r="J21" s="1">
        <v>0</v>
      </c>
      <c r="K21" s="1">
        <v>0</v>
      </c>
      <c r="L21" s="1">
        <v>0</v>
      </c>
      <c r="M21" s="120"/>
      <c r="N21" s="1"/>
    </row>
    <row r="22" spans="1:14" x14ac:dyDescent="0.25">
      <c r="A22" s="83" t="s">
        <v>88</v>
      </c>
      <c r="B22" s="1"/>
      <c r="C22" s="1"/>
      <c r="D22" s="1"/>
      <c r="E22" s="1"/>
      <c r="F22" s="1"/>
      <c r="G22" s="1"/>
      <c r="H22" s="1"/>
      <c r="I22" s="1"/>
      <c r="J22" s="1"/>
      <c r="K22" s="1"/>
      <c r="L22" s="1"/>
      <c r="M22" s="120"/>
      <c r="N22" s="1"/>
    </row>
    <row r="23" spans="1:14" x14ac:dyDescent="0.25">
      <c r="A23" s="81" t="s">
        <v>93</v>
      </c>
      <c r="B23" s="1"/>
      <c r="C23" s="1"/>
      <c r="D23" s="1"/>
      <c r="E23" s="1"/>
      <c r="F23" s="1"/>
      <c r="G23" s="1"/>
      <c r="H23" s="1"/>
      <c r="I23" s="1"/>
      <c r="J23" s="1"/>
      <c r="K23" s="1"/>
      <c r="L23" s="1"/>
      <c r="M23" s="120"/>
      <c r="N23" s="1"/>
    </row>
    <row r="24" spans="1:14" x14ac:dyDescent="0.25">
      <c r="A24" s="63" t="s">
        <v>78</v>
      </c>
      <c r="B24" s="1">
        <v>0</v>
      </c>
      <c r="C24" s="1">
        <v>0</v>
      </c>
      <c r="D24" s="1">
        <v>0</v>
      </c>
      <c r="E24" s="1">
        <v>0</v>
      </c>
      <c r="F24" s="1">
        <v>0</v>
      </c>
      <c r="G24" s="1">
        <v>0</v>
      </c>
      <c r="H24" s="1">
        <v>0</v>
      </c>
      <c r="I24" s="1">
        <v>0</v>
      </c>
      <c r="J24" s="1">
        <v>0</v>
      </c>
      <c r="K24" s="1">
        <v>2188074</v>
      </c>
      <c r="L24" s="1">
        <v>0</v>
      </c>
      <c r="M24" s="120"/>
      <c r="N24" s="1"/>
    </row>
    <row r="25" spans="1:14" x14ac:dyDescent="0.25">
      <c r="A25" s="108" t="s">
        <v>129</v>
      </c>
      <c r="B25" s="1"/>
      <c r="C25" s="1"/>
      <c r="D25" s="1"/>
      <c r="E25" s="1"/>
      <c r="F25" s="1"/>
      <c r="G25" s="1"/>
      <c r="H25" s="1"/>
      <c r="I25" s="1"/>
      <c r="J25" s="1"/>
      <c r="K25" s="1"/>
      <c r="L25" s="1"/>
      <c r="M25" s="120"/>
      <c r="N25" s="1"/>
    </row>
    <row r="26" spans="1:14" x14ac:dyDescent="0.25">
      <c r="A26" s="82" t="s">
        <v>109</v>
      </c>
      <c r="B26" s="1">
        <f t="shared" ref="B26:L26" si="0">SUM(B21:B25)</f>
        <v>0</v>
      </c>
      <c r="C26" s="1">
        <f t="shared" si="0"/>
        <v>0</v>
      </c>
      <c r="D26" s="1">
        <f t="shared" si="0"/>
        <v>0</v>
      </c>
      <c r="E26" s="1">
        <f t="shared" si="0"/>
        <v>0</v>
      </c>
      <c r="F26" s="1">
        <f t="shared" si="0"/>
        <v>0</v>
      </c>
      <c r="G26" s="1">
        <f t="shared" si="0"/>
        <v>0</v>
      </c>
      <c r="H26" s="1">
        <f t="shared" si="0"/>
        <v>0</v>
      </c>
      <c r="I26" s="1">
        <f t="shared" si="0"/>
        <v>0</v>
      </c>
      <c r="J26" s="1">
        <f t="shared" si="0"/>
        <v>0</v>
      </c>
      <c r="K26" s="1">
        <f t="shared" si="0"/>
        <v>2188074</v>
      </c>
      <c r="L26" s="1">
        <f t="shared" si="0"/>
        <v>0</v>
      </c>
      <c r="M26" s="120"/>
      <c r="N26" s="1"/>
    </row>
    <row r="27" spans="1:14" ht="18.75" x14ac:dyDescent="0.3">
      <c r="A27" s="138"/>
      <c r="B27" s="120"/>
      <c r="C27" s="120"/>
      <c r="D27" s="120"/>
      <c r="E27" s="120"/>
      <c r="F27" s="120"/>
      <c r="G27" s="120"/>
      <c r="H27" s="120"/>
      <c r="I27" s="120"/>
      <c r="J27" s="120"/>
      <c r="K27" s="120"/>
      <c r="L27" s="120"/>
      <c r="M27" s="120"/>
      <c r="N27" s="1"/>
    </row>
    <row r="28" spans="1:14" ht="18.75" x14ac:dyDescent="0.3">
      <c r="A28" s="80"/>
      <c r="B28" s="1"/>
      <c r="C28" s="1"/>
      <c r="D28" s="1"/>
      <c r="E28" s="1"/>
      <c r="F28" s="1"/>
      <c r="G28" s="1"/>
      <c r="H28" s="1"/>
      <c r="I28" s="1"/>
      <c r="J28" s="1"/>
      <c r="K28" s="1"/>
      <c r="L28" s="1"/>
      <c r="M28" s="120"/>
      <c r="N28" s="1"/>
    </row>
    <row r="29" spans="1:14" ht="18.75" x14ac:dyDescent="0.3">
      <c r="A29" s="80"/>
      <c r="B29" s="1"/>
      <c r="C29" s="1"/>
      <c r="D29" s="1"/>
      <c r="E29" s="1"/>
      <c r="F29" s="1"/>
      <c r="G29" s="1"/>
      <c r="H29" s="1"/>
      <c r="I29" s="1"/>
      <c r="J29" s="1"/>
      <c r="K29" s="1"/>
      <c r="L29" s="1"/>
      <c r="M29" s="120"/>
      <c r="N29" s="1"/>
    </row>
    <row r="30" spans="1:14" ht="18.75" x14ac:dyDescent="0.3">
      <c r="A30" s="80"/>
      <c r="B30" s="1"/>
      <c r="C30" s="1"/>
      <c r="D30" s="1"/>
      <c r="E30" s="1"/>
      <c r="F30" s="1"/>
      <c r="G30" s="1"/>
      <c r="H30" s="1"/>
      <c r="I30" s="1"/>
      <c r="J30" s="1"/>
      <c r="K30" s="1"/>
      <c r="L30" s="1"/>
      <c r="M30" s="120"/>
      <c r="N30" s="1"/>
    </row>
    <row r="31" spans="1:14" ht="18.75" x14ac:dyDescent="0.3">
      <c r="A31" s="80"/>
      <c r="B31" s="1"/>
      <c r="C31" s="1"/>
      <c r="D31" s="1"/>
      <c r="E31" s="1"/>
      <c r="F31" s="1"/>
      <c r="G31" s="1"/>
      <c r="H31" s="1"/>
      <c r="I31" s="1"/>
      <c r="J31" s="1"/>
      <c r="K31" s="1"/>
      <c r="L31" s="1"/>
      <c r="M31" s="120"/>
      <c r="N31" s="1"/>
    </row>
    <row r="32" spans="1:14" x14ac:dyDescent="0.25">
      <c r="A32" s="208"/>
      <c r="B32" s="93"/>
      <c r="C32" s="93"/>
      <c r="D32" s="93"/>
      <c r="E32" s="93"/>
      <c r="F32" s="93"/>
      <c r="G32" s="93"/>
      <c r="H32" s="93"/>
      <c r="I32" s="93"/>
      <c r="J32" s="93"/>
      <c r="K32" s="93"/>
      <c r="L32" s="93"/>
      <c r="M32" s="120"/>
      <c r="N32" s="1"/>
    </row>
    <row r="33" spans="1:14" x14ac:dyDescent="0.25">
      <c r="A33" s="201"/>
      <c r="B33" s="93"/>
      <c r="C33" s="93"/>
      <c r="D33" s="93"/>
      <c r="E33" s="93"/>
      <c r="F33" s="93"/>
      <c r="G33" s="93"/>
      <c r="H33" s="93"/>
      <c r="I33" s="93"/>
      <c r="J33" s="93"/>
      <c r="K33" s="93"/>
      <c r="L33" s="93"/>
      <c r="M33" s="120"/>
      <c r="N33" s="1"/>
    </row>
    <row r="34" spans="1:14" x14ac:dyDescent="0.25">
      <c r="A34" s="201"/>
      <c r="B34" s="93"/>
      <c r="C34" s="93"/>
      <c r="D34" s="93"/>
      <c r="E34" s="93"/>
      <c r="F34" s="93"/>
      <c r="G34" s="93"/>
      <c r="H34" s="93"/>
      <c r="I34" s="93"/>
      <c r="J34" s="93"/>
      <c r="K34" s="93"/>
      <c r="L34" s="93"/>
      <c r="M34" s="120"/>
      <c r="N34" s="1"/>
    </row>
    <row r="35" spans="1:14" x14ac:dyDescent="0.25">
      <c r="A35" s="201"/>
      <c r="B35" s="93"/>
      <c r="C35" s="93"/>
      <c r="D35" s="93"/>
      <c r="E35" s="93"/>
      <c r="F35" s="93"/>
      <c r="G35" s="93"/>
      <c r="H35" s="93"/>
      <c r="I35" s="93"/>
      <c r="J35" s="93"/>
      <c r="K35" s="93"/>
      <c r="L35" s="93"/>
      <c r="M35" s="120"/>
      <c r="N35" s="1"/>
    </row>
    <row r="36" spans="1:14" x14ac:dyDescent="0.25">
      <c r="A36" s="201"/>
      <c r="B36" s="93"/>
      <c r="C36" s="93"/>
      <c r="D36" s="93"/>
      <c r="E36" s="93"/>
      <c r="F36" s="93"/>
      <c r="G36" s="93"/>
      <c r="H36" s="93"/>
      <c r="I36" s="93"/>
      <c r="J36" s="93"/>
      <c r="K36" s="93"/>
      <c r="L36" s="93"/>
      <c r="M36" s="120"/>
      <c r="N36" s="1"/>
    </row>
    <row r="37" spans="1:14" x14ac:dyDescent="0.25">
      <c r="A37" s="114"/>
      <c r="B37" s="93"/>
      <c r="C37" s="93"/>
      <c r="D37" s="93"/>
      <c r="E37" s="93"/>
      <c r="F37" s="93"/>
      <c r="G37" s="93"/>
      <c r="H37" s="93"/>
      <c r="I37" s="93"/>
      <c r="J37" s="93"/>
      <c r="K37" s="93"/>
      <c r="L37" s="93"/>
      <c r="M37" s="120"/>
      <c r="N37" s="1"/>
    </row>
    <row r="38" spans="1:14" x14ac:dyDescent="0.25">
      <c r="A38" s="199"/>
      <c r="B38" s="93"/>
      <c r="C38" s="93"/>
      <c r="D38" s="93"/>
      <c r="E38" s="93"/>
      <c r="F38" s="93"/>
      <c r="G38" s="93"/>
      <c r="H38" s="93"/>
      <c r="I38" s="93"/>
      <c r="J38" s="93"/>
      <c r="K38" s="93"/>
      <c r="L38" s="93"/>
      <c r="M38" s="120"/>
      <c r="N38" s="1"/>
    </row>
    <row r="39" spans="1:14" x14ac:dyDescent="0.25">
      <c r="A39" s="205"/>
      <c r="B39" s="93"/>
      <c r="C39" s="193"/>
      <c r="D39" s="193"/>
      <c r="E39" s="193"/>
      <c r="F39" s="193"/>
      <c r="G39" s="193"/>
      <c r="H39" s="193"/>
      <c r="I39" s="193"/>
      <c r="J39" s="193"/>
      <c r="K39" s="193"/>
      <c r="L39" s="193"/>
      <c r="M39" s="120"/>
      <c r="N39" s="1"/>
    </row>
    <row r="40" spans="1:14" x14ac:dyDescent="0.25">
      <c r="A40" s="210"/>
      <c r="B40" s="93"/>
      <c r="C40" s="93"/>
      <c r="D40" s="93"/>
      <c r="E40" s="93"/>
      <c r="F40" s="93"/>
      <c r="G40" s="93"/>
      <c r="H40" s="93"/>
      <c r="I40" s="93"/>
      <c r="J40" s="93"/>
      <c r="K40" s="93"/>
      <c r="L40" s="193"/>
      <c r="M40" s="120"/>
      <c r="N40" s="1"/>
    </row>
    <row r="41" spans="1:14" x14ac:dyDescent="0.25">
      <c r="A41" s="114"/>
      <c r="B41" s="93"/>
      <c r="C41" s="93"/>
      <c r="D41" s="93"/>
      <c r="E41" s="93"/>
      <c r="F41" s="93"/>
      <c r="G41" s="93"/>
      <c r="H41" s="93"/>
      <c r="I41" s="93"/>
      <c r="J41" s="93"/>
      <c r="K41" s="93"/>
      <c r="L41" s="93"/>
      <c r="M41" s="120"/>
      <c r="N41" s="1"/>
    </row>
    <row r="42" spans="1:14" x14ac:dyDescent="0.25">
      <c r="A42" s="211"/>
      <c r="B42" s="93"/>
      <c r="C42" s="93"/>
      <c r="D42" s="93"/>
      <c r="E42" s="93"/>
      <c r="F42" s="93"/>
      <c r="G42" s="93"/>
      <c r="H42" s="93"/>
      <c r="I42" s="93"/>
      <c r="J42" s="93"/>
      <c r="K42" s="93"/>
      <c r="L42" s="93"/>
      <c r="M42" s="120"/>
      <c r="N42" s="1"/>
    </row>
    <row r="43" spans="1:14" x14ac:dyDescent="0.25">
      <c r="A43" s="114"/>
      <c r="B43" s="93"/>
      <c r="C43" s="93"/>
      <c r="D43" s="93"/>
      <c r="E43" s="93"/>
      <c r="F43" s="93"/>
      <c r="G43" s="93"/>
      <c r="H43" s="93"/>
      <c r="I43" s="93"/>
      <c r="J43" s="93"/>
      <c r="K43" s="93"/>
      <c r="L43" s="93"/>
      <c r="M43" s="120"/>
      <c r="N43" s="1"/>
    </row>
    <row r="44" spans="1:14" x14ac:dyDescent="0.25">
      <c r="A44" s="114"/>
      <c r="B44" s="93"/>
      <c r="C44" s="93"/>
      <c r="D44" s="93"/>
      <c r="E44" s="93"/>
      <c r="F44" s="93"/>
      <c r="G44" s="93"/>
      <c r="H44" s="93"/>
      <c r="I44" s="93"/>
      <c r="J44" s="93"/>
      <c r="K44" s="93"/>
      <c r="L44" s="93"/>
      <c r="M44" s="120"/>
      <c r="N44" s="1"/>
    </row>
    <row r="45" spans="1:14" x14ac:dyDescent="0.25">
      <c r="A45" s="114"/>
      <c r="B45" s="93"/>
      <c r="C45" s="93"/>
      <c r="D45" s="93"/>
      <c r="E45" s="93"/>
      <c r="F45" s="93"/>
      <c r="G45" s="93"/>
      <c r="H45" s="93"/>
      <c r="I45" s="93"/>
      <c r="J45" s="93"/>
      <c r="K45" s="93"/>
      <c r="L45" s="93"/>
      <c r="M45" s="120"/>
      <c r="N45" s="1"/>
    </row>
    <row r="46" spans="1:14" x14ac:dyDescent="0.25">
      <c r="A46" s="114"/>
      <c r="B46" s="93"/>
      <c r="C46" s="93"/>
      <c r="D46" s="93"/>
      <c r="E46" s="93"/>
      <c r="F46" s="93"/>
      <c r="G46" s="93"/>
      <c r="H46" s="93"/>
      <c r="I46" s="93"/>
      <c r="J46" s="93"/>
      <c r="K46" s="93"/>
      <c r="L46" s="93"/>
      <c r="M46" s="120"/>
      <c r="N46" s="1"/>
    </row>
    <row r="47" spans="1:14" x14ac:dyDescent="0.25">
      <c r="A47" s="114"/>
      <c r="B47" s="93"/>
      <c r="C47" s="93"/>
      <c r="D47" s="93"/>
      <c r="E47" s="93"/>
      <c r="F47" s="93"/>
      <c r="G47" s="93"/>
      <c r="H47" s="93"/>
      <c r="I47" s="93"/>
      <c r="J47" s="93"/>
      <c r="K47" s="93"/>
      <c r="L47" s="93"/>
      <c r="M47" s="120"/>
      <c r="N47" s="1"/>
    </row>
    <row r="48" spans="1:14" x14ac:dyDescent="0.25">
      <c r="A48" s="114"/>
      <c r="B48" s="93"/>
      <c r="C48" s="93"/>
      <c r="D48" s="93"/>
      <c r="E48" s="93"/>
      <c r="F48" s="93"/>
      <c r="G48" s="93"/>
      <c r="H48" s="93"/>
      <c r="I48" s="93"/>
      <c r="J48" s="93"/>
      <c r="K48" s="93"/>
      <c r="L48" s="93"/>
      <c r="M48" s="120"/>
      <c r="N48" s="1"/>
    </row>
    <row r="49" spans="1:14" x14ac:dyDescent="0.25">
      <c r="A49" s="114"/>
      <c r="B49" s="93"/>
      <c r="C49" s="93"/>
      <c r="D49" s="93"/>
      <c r="E49" s="93"/>
      <c r="F49" s="93"/>
      <c r="G49" s="93"/>
      <c r="H49" s="93"/>
      <c r="I49" s="93"/>
      <c r="J49" s="93"/>
      <c r="K49" s="93"/>
      <c r="L49" s="93"/>
      <c r="M49" s="120"/>
      <c r="N49" s="1"/>
    </row>
    <row r="50" spans="1:14" x14ac:dyDescent="0.25">
      <c r="A50" s="114"/>
      <c r="B50" s="93"/>
      <c r="C50" s="93"/>
      <c r="D50" s="93"/>
      <c r="E50" s="93"/>
      <c r="F50" s="93"/>
      <c r="G50" s="93"/>
      <c r="H50" s="93"/>
      <c r="I50" s="93"/>
      <c r="J50" s="93"/>
      <c r="K50" s="93"/>
      <c r="L50" s="93"/>
      <c r="M50" s="120"/>
      <c r="N50" s="1"/>
    </row>
    <row r="51" spans="1:14" x14ac:dyDescent="0.25">
      <c r="A51" s="114"/>
      <c r="B51" s="93"/>
      <c r="C51" s="93"/>
      <c r="D51" s="93"/>
      <c r="E51" s="93"/>
      <c r="F51" s="93"/>
      <c r="G51" s="93"/>
      <c r="H51" s="93"/>
      <c r="I51" s="93"/>
      <c r="J51" s="93"/>
      <c r="K51" s="93"/>
      <c r="L51" s="93"/>
      <c r="M51" s="120"/>
      <c r="N51" s="1"/>
    </row>
    <row r="52" spans="1:14" x14ac:dyDescent="0.25">
      <c r="A52" s="114"/>
      <c r="B52" s="93"/>
      <c r="C52" s="93"/>
      <c r="D52" s="93"/>
      <c r="E52" s="93"/>
      <c r="F52" s="93"/>
      <c r="G52" s="93"/>
      <c r="H52" s="93"/>
      <c r="I52" s="93"/>
      <c r="J52" s="93"/>
      <c r="K52" s="93"/>
      <c r="L52" s="93"/>
      <c r="M52" s="120"/>
      <c r="N52" s="1"/>
    </row>
    <row r="53" spans="1:14" x14ac:dyDescent="0.25">
      <c r="A53" s="224"/>
      <c r="B53" s="93"/>
      <c r="C53" s="93"/>
      <c r="D53" s="93"/>
      <c r="E53" s="93"/>
      <c r="F53" s="93"/>
      <c r="G53" s="93"/>
      <c r="H53" s="93"/>
      <c r="I53" s="93"/>
      <c r="J53" s="93"/>
      <c r="K53" s="93"/>
      <c r="L53" s="93"/>
      <c r="M53" s="120"/>
      <c r="N53" s="1"/>
    </row>
    <row r="54" spans="1:14" x14ac:dyDescent="0.25">
      <c r="A54" s="114"/>
      <c r="B54" s="93"/>
      <c r="C54" s="93"/>
      <c r="D54" s="93"/>
      <c r="E54" s="93"/>
      <c r="F54" s="93"/>
      <c r="G54" s="93"/>
      <c r="H54" s="93"/>
      <c r="I54" s="93"/>
      <c r="J54" s="93"/>
      <c r="K54" s="93"/>
      <c r="L54" s="93"/>
      <c r="M54" s="120"/>
      <c r="N54" s="1"/>
    </row>
    <row r="55" spans="1:14" x14ac:dyDescent="0.25">
      <c r="A55" s="114"/>
      <c r="B55" s="93"/>
      <c r="C55" s="93"/>
      <c r="D55" s="93"/>
      <c r="E55" s="93"/>
      <c r="F55" s="93"/>
      <c r="G55" s="93"/>
      <c r="H55" s="93"/>
      <c r="I55" s="93"/>
      <c r="J55" s="93"/>
      <c r="K55" s="93"/>
      <c r="L55" s="93"/>
      <c r="M55" s="120"/>
      <c r="N55" s="1"/>
    </row>
    <row r="56" spans="1:14" x14ac:dyDescent="0.25">
      <c r="A56" s="114"/>
      <c r="B56" s="114"/>
      <c r="C56" s="114"/>
      <c r="D56" s="114"/>
      <c r="E56" s="114"/>
      <c r="F56" s="114"/>
      <c r="G56" s="114"/>
      <c r="H56" s="114"/>
      <c r="I56" s="114"/>
      <c r="J56" s="114"/>
      <c r="K56" s="114"/>
      <c r="L56" s="114"/>
    </row>
    <row r="57" spans="1:14" x14ac:dyDescent="0.25">
      <c r="A57" s="114"/>
      <c r="B57" s="114"/>
      <c r="C57" s="114"/>
      <c r="D57" s="114"/>
      <c r="E57" s="114"/>
      <c r="F57" s="114"/>
      <c r="G57" s="114"/>
      <c r="H57" s="114"/>
      <c r="I57" s="114"/>
      <c r="J57" s="114"/>
      <c r="K57" s="114"/>
      <c r="L57" s="114"/>
    </row>
    <row r="58" spans="1:14" x14ac:dyDescent="0.25">
      <c r="A58" s="114"/>
      <c r="B58" s="114"/>
      <c r="C58" s="114"/>
      <c r="D58" s="114"/>
      <c r="E58" s="114"/>
      <c r="F58" s="114"/>
      <c r="G58" s="114"/>
      <c r="H58" s="114"/>
      <c r="I58" s="114"/>
      <c r="J58" s="114"/>
      <c r="K58" s="114"/>
      <c r="L58" s="114"/>
    </row>
    <row r="59" spans="1:14" x14ac:dyDescent="0.25">
      <c r="A59" s="114"/>
      <c r="B59" s="114"/>
      <c r="C59" s="114"/>
      <c r="D59" s="114"/>
      <c r="E59" s="114"/>
      <c r="F59" s="114"/>
      <c r="G59" s="114"/>
      <c r="H59" s="114"/>
      <c r="I59" s="114"/>
      <c r="J59" s="114"/>
      <c r="K59" s="114"/>
      <c r="L59" s="114"/>
    </row>
    <row r="60" spans="1:14" x14ac:dyDescent="0.25">
      <c r="A60" s="114"/>
      <c r="B60" s="114"/>
      <c r="C60" s="114"/>
      <c r="D60" s="114"/>
      <c r="E60" s="114"/>
      <c r="F60" s="114"/>
      <c r="G60" s="114"/>
      <c r="H60" s="114"/>
      <c r="I60" s="114"/>
      <c r="J60" s="114"/>
      <c r="K60" s="114"/>
      <c r="L60" s="114"/>
    </row>
    <row r="61" spans="1:14" x14ac:dyDescent="0.25">
      <c r="A61" s="114"/>
      <c r="B61" s="114"/>
      <c r="C61" s="114"/>
      <c r="D61" s="114"/>
      <c r="E61" s="114"/>
      <c r="F61" s="114"/>
      <c r="G61" s="114"/>
      <c r="H61" s="114"/>
      <c r="I61" s="114"/>
      <c r="J61" s="114"/>
      <c r="K61" s="114"/>
      <c r="L61" s="114"/>
    </row>
    <row r="62" spans="1:14" x14ac:dyDescent="0.25">
      <c r="A62" s="114"/>
      <c r="B62" s="114"/>
      <c r="C62" s="114"/>
      <c r="D62" s="114"/>
      <c r="E62" s="114"/>
      <c r="F62" s="114"/>
      <c r="G62" s="114"/>
      <c r="H62" s="114"/>
      <c r="I62" s="114"/>
      <c r="J62" s="114"/>
      <c r="K62" s="114"/>
      <c r="L62" s="114"/>
    </row>
    <row r="63" spans="1:14" x14ac:dyDescent="0.25">
      <c r="A63" s="114"/>
      <c r="B63" s="93"/>
      <c r="C63" s="93"/>
      <c r="D63" s="93"/>
      <c r="E63" s="93"/>
      <c r="F63" s="93"/>
      <c r="G63" s="93"/>
      <c r="H63" s="93"/>
      <c r="I63" s="93"/>
      <c r="J63" s="93"/>
      <c r="K63" s="93"/>
      <c r="L63" s="93"/>
      <c r="M63" s="120"/>
      <c r="N63" s="1"/>
    </row>
    <row r="64" spans="1:14" x14ac:dyDescent="0.25">
      <c r="A64" s="114"/>
      <c r="B64" s="93"/>
      <c r="C64" s="93"/>
      <c r="D64" s="93"/>
      <c r="E64" s="93"/>
      <c r="F64" s="93"/>
      <c r="G64" s="93"/>
      <c r="H64" s="93"/>
      <c r="I64" s="93"/>
      <c r="J64" s="93"/>
      <c r="K64" s="93"/>
      <c r="L64" s="93"/>
      <c r="M64" s="120"/>
      <c r="N64" s="1"/>
    </row>
    <row r="65" spans="1:14" x14ac:dyDescent="0.25">
      <c r="A65" s="114"/>
      <c r="B65" s="93"/>
      <c r="C65" s="93"/>
      <c r="D65" s="93"/>
      <c r="E65" s="93"/>
      <c r="F65" s="93"/>
      <c r="G65" s="93"/>
      <c r="H65" s="93"/>
      <c r="I65" s="93"/>
      <c r="J65" s="93"/>
      <c r="K65" s="93"/>
      <c r="L65" s="93"/>
      <c r="M65" s="120"/>
      <c r="N65" s="1"/>
    </row>
    <row r="66" spans="1:14" x14ac:dyDescent="0.25">
      <c r="A66" s="114"/>
      <c r="B66" s="93"/>
      <c r="C66" s="93"/>
      <c r="D66" s="93"/>
      <c r="E66" s="93"/>
      <c r="F66" s="93"/>
      <c r="G66" s="93"/>
      <c r="H66" s="93"/>
      <c r="I66" s="93"/>
      <c r="J66" s="93"/>
      <c r="K66" s="93"/>
      <c r="L66" s="93"/>
      <c r="M66" s="120"/>
      <c r="N66" s="1"/>
    </row>
    <row r="67" spans="1:14" x14ac:dyDescent="0.25">
      <c r="A67" s="114"/>
      <c r="B67" s="93"/>
      <c r="C67" s="93"/>
      <c r="D67" s="93"/>
      <c r="E67" s="93"/>
      <c r="F67" s="93"/>
      <c r="G67" s="93"/>
      <c r="H67" s="93"/>
      <c r="I67" s="93"/>
      <c r="J67" s="93"/>
      <c r="K67" s="93"/>
      <c r="L67" s="93"/>
      <c r="M67" s="120"/>
      <c r="N67" s="1"/>
    </row>
    <row r="68" spans="1:14" x14ac:dyDescent="0.25">
      <c r="A68" s="199"/>
      <c r="B68" s="93"/>
      <c r="C68" s="93"/>
      <c r="D68" s="93"/>
      <c r="E68" s="93"/>
      <c r="F68" s="93"/>
      <c r="G68" s="93"/>
      <c r="H68" s="93"/>
      <c r="I68" s="93"/>
      <c r="J68" s="93"/>
      <c r="K68" s="93"/>
      <c r="L68" s="93"/>
      <c r="M68" s="120"/>
      <c r="N68" s="1"/>
    </row>
    <row r="69" spans="1:14" x14ac:dyDescent="0.25">
      <c r="A69" s="114"/>
      <c r="B69" s="93"/>
      <c r="C69" s="93"/>
      <c r="D69" s="93"/>
      <c r="E69" s="93"/>
      <c r="F69" s="93"/>
      <c r="G69" s="93"/>
      <c r="H69" s="93"/>
      <c r="I69" s="93"/>
      <c r="J69" s="93"/>
      <c r="K69" s="93"/>
      <c r="L69" s="93"/>
      <c r="M69" s="120"/>
      <c r="N69" s="1"/>
    </row>
    <row r="70" spans="1:14" x14ac:dyDescent="0.25">
      <c r="A70" s="199"/>
      <c r="B70" s="93"/>
      <c r="C70" s="93"/>
      <c r="D70" s="93"/>
      <c r="E70" s="93"/>
      <c r="F70" s="93"/>
      <c r="G70" s="93"/>
      <c r="H70" s="93"/>
      <c r="I70" s="93"/>
      <c r="J70" s="93"/>
      <c r="K70" s="93"/>
      <c r="L70" s="93"/>
      <c r="M70" s="120"/>
      <c r="N70" s="1"/>
    </row>
    <row r="71" spans="1:14" x14ac:dyDescent="0.25">
      <c r="A71" s="114"/>
      <c r="B71" s="93"/>
      <c r="C71" s="93"/>
      <c r="D71" s="93"/>
      <c r="E71" s="93"/>
      <c r="F71" s="93"/>
      <c r="G71" s="93"/>
      <c r="H71" s="93"/>
      <c r="I71" s="93"/>
      <c r="J71" s="93"/>
      <c r="K71" s="93"/>
      <c r="L71" s="93"/>
      <c r="M71" s="120"/>
      <c r="N71" s="1"/>
    </row>
    <row r="72" spans="1:14" x14ac:dyDescent="0.25">
      <c r="A72" s="114"/>
      <c r="B72" s="93"/>
      <c r="C72" s="93"/>
      <c r="D72" s="93"/>
      <c r="E72" s="93"/>
      <c r="F72" s="93"/>
      <c r="G72" s="93"/>
      <c r="H72" s="93"/>
      <c r="I72" s="93"/>
      <c r="J72" s="93"/>
      <c r="K72" s="93"/>
      <c r="L72" s="93"/>
      <c r="M72" s="120"/>
      <c r="N72" s="1"/>
    </row>
    <row r="73" spans="1:14" x14ac:dyDescent="0.25">
      <c r="A73" s="114"/>
      <c r="B73" s="93"/>
      <c r="C73" s="93"/>
      <c r="D73" s="93"/>
      <c r="E73" s="93"/>
      <c r="F73" s="93"/>
      <c r="G73" s="93"/>
      <c r="H73" s="93"/>
      <c r="I73" s="93"/>
      <c r="J73" s="93"/>
      <c r="K73" s="93"/>
      <c r="L73" s="93"/>
      <c r="M73" s="120"/>
      <c r="N73" s="1"/>
    </row>
    <row r="74" spans="1:14" x14ac:dyDescent="0.25">
      <c r="A74" s="199"/>
      <c r="B74" s="125"/>
      <c r="C74" s="125"/>
      <c r="D74" s="125"/>
      <c r="E74" s="125"/>
      <c r="F74" s="125"/>
      <c r="G74" s="125"/>
      <c r="H74" s="125"/>
      <c r="I74" s="125"/>
      <c r="J74" s="125"/>
      <c r="K74" s="125"/>
      <c r="L74" s="125"/>
      <c r="M74" s="120"/>
      <c r="N74" s="1"/>
    </row>
    <row r="75" spans="1:14" x14ac:dyDescent="0.25">
      <c r="A75" s="199"/>
      <c r="B75" s="114"/>
      <c r="C75" s="114"/>
      <c r="D75" s="114"/>
      <c r="E75" s="114"/>
      <c r="F75" s="114"/>
      <c r="G75" s="114"/>
      <c r="H75" s="114"/>
      <c r="I75" s="114"/>
      <c r="J75" s="114"/>
      <c r="K75" s="114"/>
      <c r="L75" s="114"/>
    </row>
    <row r="76" spans="1:14" x14ac:dyDescent="0.25">
      <c r="A76" s="199"/>
      <c r="B76" s="93"/>
      <c r="C76" s="93"/>
      <c r="D76" s="93"/>
      <c r="E76" s="93"/>
      <c r="F76" s="93"/>
      <c r="G76" s="93"/>
      <c r="H76" s="93"/>
      <c r="I76" s="93"/>
      <c r="J76" s="93"/>
      <c r="K76" s="93"/>
      <c r="L76" s="93"/>
      <c r="M76" s="120"/>
      <c r="N76" s="1"/>
    </row>
    <row r="77" spans="1:14" x14ac:dyDescent="0.25">
      <c r="A77" s="199"/>
      <c r="B77" s="200"/>
      <c r="C77" s="200"/>
      <c r="D77" s="200"/>
      <c r="E77" s="200"/>
      <c r="F77" s="200"/>
      <c r="G77" s="200"/>
      <c r="H77" s="200"/>
      <c r="I77" s="200"/>
      <c r="J77" s="200"/>
      <c r="K77" s="200"/>
      <c r="L77" s="200"/>
      <c r="M77" s="120"/>
      <c r="N77" s="1"/>
    </row>
    <row r="78" spans="1:14" x14ac:dyDescent="0.25">
      <c r="A78" s="201"/>
      <c r="B78" s="202"/>
      <c r="C78" s="202"/>
      <c r="D78" s="202"/>
      <c r="E78" s="202"/>
      <c r="F78" s="202"/>
      <c r="G78" s="202"/>
      <c r="H78" s="202"/>
      <c r="I78" s="202"/>
      <c r="J78" s="202"/>
      <c r="K78" s="202"/>
      <c r="L78" s="202"/>
      <c r="M78" s="120"/>
      <c r="N78" s="1"/>
    </row>
    <row r="79" spans="1:14" x14ac:dyDescent="0.25">
      <c r="A79" s="201"/>
      <c r="B79" s="202"/>
      <c r="C79" s="202"/>
      <c r="D79" s="202"/>
      <c r="E79" s="202"/>
      <c r="F79" s="202"/>
      <c r="G79" s="202"/>
      <c r="H79" s="202"/>
      <c r="I79" s="202"/>
      <c r="J79" s="202"/>
      <c r="K79" s="202"/>
      <c r="L79" s="202"/>
      <c r="M79" s="120"/>
      <c r="N79" s="1"/>
    </row>
    <row r="80" spans="1:14" x14ac:dyDescent="0.25">
      <c r="A80" s="201"/>
      <c r="B80" s="202"/>
      <c r="C80" s="202"/>
      <c r="D80" s="202"/>
      <c r="E80" s="202"/>
      <c r="F80" s="202"/>
      <c r="G80" s="202"/>
      <c r="H80" s="202"/>
      <c r="I80" s="202"/>
      <c r="J80" s="202"/>
      <c r="K80" s="202"/>
      <c r="L80" s="202"/>
      <c r="M80" s="120"/>
      <c r="N80" s="1"/>
    </row>
    <row r="81" spans="1:14" x14ac:dyDescent="0.25">
      <c r="A81" s="201"/>
      <c r="B81" s="202"/>
      <c r="C81" s="202"/>
      <c r="D81" s="202"/>
      <c r="E81" s="202"/>
      <c r="F81" s="202"/>
      <c r="G81" s="202"/>
      <c r="H81" s="202"/>
      <c r="I81" s="202"/>
      <c r="J81" s="202"/>
      <c r="K81" s="202"/>
      <c r="L81" s="202"/>
      <c r="M81" s="120"/>
      <c r="N81" s="1"/>
    </row>
    <row r="82" spans="1:14" s="17" customFormat="1" x14ac:dyDescent="0.25">
      <c r="A82" s="203"/>
      <c r="B82" s="204"/>
      <c r="C82" s="204"/>
      <c r="D82" s="204"/>
      <c r="E82" s="204"/>
      <c r="F82" s="204"/>
      <c r="G82" s="204"/>
      <c r="H82" s="204"/>
      <c r="I82" s="204"/>
      <c r="J82" s="204"/>
      <c r="K82" s="204"/>
      <c r="L82" s="204"/>
      <c r="M82" s="128"/>
      <c r="N82" s="32"/>
    </row>
    <row r="83" spans="1:14" x14ac:dyDescent="0.25">
      <c r="A83" s="205"/>
      <c r="B83" s="200"/>
      <c r="C83" s="140"/>
      <c r="D83" s="140"/>
      <c r="E83" s="140"/>
      <c r="F83" s="140"/>
      <c r="G83" s="140"/>
      <c r="H83" s="140"/>
      <c r="I83" s="140"/>
      <c r="J83" s="140"/>
      <c r="K83" s="140"/>
      <c r="L83" s="140"/>
      <c r="M83" s="120"/>
      <c r="N83" s="1"/>
    </row>
    <row r="84" spans="1:14" x14ac:dyDescent="0.25">
      <c r="A84" s="141"/>
      <c r="B84" s="200"/>
      <c r="C84" s="140"/>
      <c r="D84" s="140"/>
      <c r="E84" s="140"/>
      <c r="F84" s="140"/>
      <c r="G84" s="140"/>
      <c r="H84" s="140"/>
      <c r="I84" s="140"/>
      <c r="J84" s="140"/>
      <c r="K84" s="140"/>
      <c r="L84" s="140"/>
      <c r="M84" s="120"/>
      <c r="N84" s="1"/>
    </row>
    <row r="85" spans="1:14" x14ac:dyDescent="0.25">
      <c r="A85" s="114"/>
      <c r="B85" s="93"/>
      <c r="C85" s="93"/>
      <c r="D85" s="93"/>
      <c r="E85" s="93"/>
      <c r="F85" s="93"/>
      <c r="G85" s="93"/>
      <c r="H85" s="93"/>
      <c r="I85" s="93"/>
      <c r="J85" s="93"/>
      <c r="K85" s="93"/>
      <c r="L85" s="93"/>
      <c r="M85" s="120"/>
      <c r="N85" s="1"/>
    </row>
    <row r="86" spans="1:14" ht="18.75" x14ac:dyDescent="0.3">
      <c r="A86" s="206"/>
      <c r="B86" s="93"/>
      <c r="C86" s="93"/>
      <c r="D86" s="93"/>
      <c r="E86" s="93"/>
      <c r="F86" s="93"/>
      <c r="G86" s="93"/>
      <c r="H86" s="93"/>
      <c r="I86" s="93"/>
      <c r="J86" s="93"/>
      <c r="K86" s="93"/>
      <c r="L86" s="93"/>
      <c r="M86" s="120"/>
      <c r="N86" s="1"/>
    </row>
    <row r="87" spans="1:14" x14ac:dyDescent="0.25">
      <c r="A87" s="116"/>
      <c r="B87" s="207"/>
      <c r="C87" s="207"/>
      <c r="D87" s="207"/>
      <c r="E87" s="207"/>
      <c r="F87" s="207"/>
      <c r="G87" s="207"/>
      <c r="H87" s="207"/>
      <c r="I87" s="207"/>
      <c r="J87" s="207"/>
      <c r="K87" s="207"/>
      <c r="L87" s="207"/>
      <c r="M87" s="120"/>
      <c r="N87" s="1"/>
    </row>
    <row r="88" spans="1:14" x14ac:dyDescent="0.25">
      <c r="A88" s="114"/>
      <c r="B88" s="93"/>
      <c r="C88" s="93"/>
      <c r="D88" s="93"/>
      <c r="E88" s="93"/>
      <c r="F88" s="93"/>
      <c r="G88" s="93"/>
      <c r="H88" s="93"/>
      <c r="I88" s="93"/>
      <c r="J88" s="93"/>
      <c r="K88" s="93"/>
      <c r="L88" s="93"/>
      <c r="M88" s="120"/>
      <c r="N88" s="1"/>
    </row>
    <row r="89" spans="1:14" x14ac:dyDescent="0.25">
      <c r="A89" s="114"/>
      <c r="B89" s="93"/>
      <c r="C89" s="93"/>
      <c r="D89" s="93"/>
      <c r="E89" s="93"/>
      <c r="F89" s="93"/>
      <c r="G89" s="93"/>
      <c r="H89" s="93"/>
      <c r="I89" s="93"/>
      <c r="J89" s="93"/>
      <c r="K89" s="93"/>
      <c r="L89" s="93"/>
      <c r="M89" s="120"/>
      <c r="N89" s="1"/>
    </row>
    <row r="90" spans="1:14" x14ac:dyDescent="0.25">
      <c r="A90" s="201"/>
      <c r="B90" s="93"/>
      <c r="C90" s="93"/>
      <c r="D90" s="93"/>
      <c r="E90" s="93"/>
      <c r="F90" s="93"/>
      <c r="G90" s="93"/>
      <c r="H90" s="93"/>
      <c r="I90" s="93"/>
      <c r="J90" s="93"/>
      <c r="K90" s="93"/>
      <c r="L90" s="93"/>
      <c r="M90" s="120"/>
      <c r="N90" s="1"/>
    </row>
    <row r="91" spans="1:14" x14ac:dyDescent="0.25">
      <c r="A91" s="201"/>
      <c r="B91" s="93"/>
      <c r="C91" s="93"/>
      <c r="D91" s="93"/>
      <c r="E91" s="93"/>
      <c r="F91" s="93"/>
      <c r="G91" s="93"/>
      <c r="H91" s="93"/>
      <c r="I91" s="93"/>
      <c r="J91" s="93"/>
      <c r="K91" s="93"/>
      <c r="L91" s="93"/>
      <c r="M91" s="120"/>
      <c r="N91" s="1"/>
    </row>
    <row r="92" spans="1:14" x14ac:dyDescent="0.25">
      <c r="A92" s="201"/>
      <c r="B92" s="93"/>
      <c r="C92" s="93"/>
      <c r="D92" s="93"/>
      <c r="E92" s="93"/>
      <c r="F92" s="93"/>
      <c r="G92" s="93"/>
      <c r="H92" s="93"/>
      <c r="I92" s="93"/>
      <c r="J92" s="93"/>
      <c r="K92" s="93"/>
      <c r="L92" s="93"/>
      <c r="M92" s="120"/>
      <c r="N92" s="1"/>
    </row>
    <row r="93" spans="1:14" x14ac:dyDescent="0.25">
      <c r="A93" s="201"/>
      <c r="B93" s="93"/>
      <c r="C93" s="93"/>
      <c r="D93" s="93"/>
      <c r="E93" s="93"/>
      <c r="F93" s="93"/>
      <c r="G93" s="93"/>
      <c r="H93" s="93"/>
      <c r="I93" s="93"/>
      <c r="J93" s="93"/>
      <c r="K93" s="93"/>
      <c r="L93" s="93"/>
      <c r="M93" s="120"/>
      <c r="N93" s="1"/>
    </row>
    <row r="94" spans="1:14" x14ac:dyDescent="0.25">
      <c r="A94" s="199"/>
      <c r="B94" s="93"/>
      <c r="C94" s="93"/>
      <c r="D94" s="93"/>
      <c r="E94" s="93"/>
      <c r="F94" s="93"/>
      <c r="G94" s="93"/>
      <c r="H94" s="93"/>
      <c r="I94" s="93"/>
      <c r="J94" s="93"/>
      <c r="K94" s="93"/>
      <c r="L94" s="93"/>
      <c r="M94" s="120"/>
      <c r="N94" s="1"/>
    </row>
    <row r="95" spans="1:14" x14ac:dyDescent="0.25">
      <c r="A95" s="114"/>
      <c r="B95" s="93"/>
      <c r="C95" s="93"/>
      <c r="D95" s="93"/>
      <c r="E95" s="93"/>
      <c r="F95" s="93"/>
      <c r="G95" s="93"/>
      <c r="H95" s="93"/>
      <c r="I95" s="93"/>
      <c r="J95" s="93"/>
      <c r="K95" s="93"/>
      <c r="L95" s="93"/>
      <c r="M95" s="120"/>
      <c r="N95" s="1"/>
    </row>
    <row r="96" spans="1:14" x14ac:dyDescent="0.25">
      <c r="A96" s="114"/>
      <c r="B96" s="93"/>
      <c r="C96" s="93"/>
      <c r="D96" s="93"/>
      <c r="E96" s="93"/>
      <c r="F96" s="93"/>
      <c r="G96" s="93"/>
      <c r="H96" s="93"/>
      <c r="I96" s="93"/>
      <c r="J96" s="93"/>
      <c r="K96" s="93"/>
      <c r="L96" s="93"/>
      <c r="M96" s="120"/>
      <c r="N96" s="1"/>
    </row>
    <row r="97" spans="1:14" x14ac:dyDescent="0.25">
      <c r="A97" s="114"/>
      <c r="B97" s="112"/>
      <c r="C97" s="112"/>
      <c r="D97" s="112"/>
      <c r="E97" s="112"/>
      <c r="F97" s="112"/>
      <c r="G97" s="112"/>
      <c r="H97" s="112"/>
      <c r="I97" s="112"/>
      <c r="J97" s="112"/>
      <c r="K97" s="112"/>
      <c r="L97" s="112"/>
      <c r="M97" s="120"/>
      <c r="N97" s="1"/>
    </row>
    <row r="98" spans="1:14" x14ac:dyDescent="0.25">
      <c r="A98" s="114"/>
      <c r="B98" s="112"/>
      <c r="C98" s="112"/>
      <c r="D98" s="112"/>
      <c r="E98" s="112"/>
      <c r="F98" s="112"/>
      <c r="G98" s="112"/>
      <c r="H98" s="112"/>
      <c r="I98" s="112"/>
      <c r="J98" s="112"/>
      <c r="K98" s="112"/>
      <c r="L98" s="112"/>
      <c r="M98" s="120"/>
      <c r="N98" s="1"/>
    </row>
    <row r="99" spans="1:14" x14ac:dyDescent="0.25">
      <c r="A99" s="114"/>
      <c r="B99" s="93"/>
      <c r="C99" s="93"/>
      <c r="D99" s="93"/>
      <c r="E99" s="93"/>
      <c r="F99" s="93"/>
      <c r="G99" s="93"/>
      <c r="H99" s="93"/>
      <c r="I99" s="93"/>
      <c r="J99" s="93"/>
      <c r="K99" s="93"/>
      <c r="L99" s="93"/>
      <c r="M99" s="120"/>
      <c r="N99" s="1"/>
    </row>
    <row r="100" spans="1:14" x14ac:dyDescent="0.25">
      <c r="A100" s="114"/>
      <c r="B100" s="93"/>
      <c r="C100" s="93"/>
      <c r="D100" s="93"/>
      <c r="E100" s="93"/>
      <c r="F100" s="93"/>
      <c r="G100" s="93"/>
      <c r="H100" s="93"/>
      <c r="I100" s="93"/>
      <c r="J100" s="93"/>
      <c r="K100" s="93"/>
      <c r="L100" s="93"/>
      <c r="M100" s="120"/>
      <c r="N100" s="1"/>
    </row>
    <row r="101" spans="1:14" x14ac:dyDescent="0.25">
      <c r="A101" s="114"/>
      <c r="B101" s="93"/>
      <c r="C101" s="93"/>
      <c r="D101" s="93"/>
      <c r="E101" s="93"/>
      <c r="F101" s="93"/>
      <c r="G101" s="93"/>
      <c r="H101" s="93"/>
      <c r="I101" s="93"/>
      <c r="J101" s="93"/>
      <c r="K101" s="93"/>
      <c r="L101" s="93"/>
      <c r="M101" s="120"/>
      <c r="N101" s="1"/>
    </row>
    <row r="102" spans="1:14" x14ac:dyDescent="0.25">
      <c r="A102" s="114"/>
      <c r="B102" s="93"/>
      <c r="C102" s="93"/>
      <c r="D102" s="93"/>
      <c r="E102" s="93"/>
      <c r="F102" s="93"/>
      <c r="G102" s="93"/>
      <c r="H102" s="93"/>
      <c r="I102" s="93"/>
      <c r="J102" s="93"/>
      <c r="K102" s="93"/>
      <c r="L102" s="93"/>
      <c r="M102" s="120"/>
      <c r="N102" s="1"/>
    </row>
    <row r="103" spans="1:14" x14ac:dyDescent="0.25">
      <c r="A103" s="114"/>
      <c r="B103" s="93"/>
      <c r="C103" s="93"/>
      <c r="D103" s="93"/>
      <c r="E103" s="93"/>
      <c r="F103" s="93"/>
      <c r="G103" s="93"/>
      <c r="H103" s="93"/>
      <c r="I103" s="93"/>
      <c r="J103" s="93"/>
      <c r="K103" s="93"/>
      <c r="L103" s="93"/>
      <c r="M103" s="120"/>
      <c r="N103" s="1"/>
    </row>
    <row r="104" spans="1:14" x14ac:dyDescent="0.25">
      <c r="A104" s="114"/>
      <c r="B104" s="93"/>
      <c r="C104" s="93"/>
      <c r="D104" s="93"/>
      <c r="E104" s="93"/>
      <c r="F104" s="93"/>
      <c r="G104" s="93"/>
      <c r="H104" s="93"/>
      <c r="I104" s="93"/>
      <c r="J104" s="93"/>
      <c r="K104" s="93"/>
      <c r="L104" s="93"/>
      <c r="M104" s="120"/>
      <c r="N104" s="1"/>
    </row>
    <row r="105" spans="1:14" x14ac:dyDescent="0.25">
      <c r="A105" s="114"/>
      <c r="B105" s="93"/>
      <c r="C105" s="93"/>
      <c r="D105" s="93"/>
      <c r="E105" s="93"/>
      <c r="F105" s="93"/>
      <c r="G105" s="93"/>
      <c r="H105" s="93"/>
      <c r="I105" s="93"/>
      <c r="J105" s="93"/>
      <c r="K105" s="93"/>
      <c r="L105" s="93"/>
      <c r="M105" s="120"/>
      <c r="N105" s="1"/>
    </row>
    <row r="106" spans="1:14" x14ac:dyDescent="0.25">
      <c r="A106" s="114"/>
      <c r="B106" s="93"/>
      <c r="C106" s="93"/>
      <c r="D106" s="93"/>
      <c r="E106" s="93"/>
      <c r="F106" s="93"/>
      <c r="G106" s="93"/>
      <c r="H106" s="93"/>
      <c r="I106" s="93"/>
      <c r="J106" s="93"/>
      <c r="K106" s="93"/>
      <c r="L106" s="93"/>
      <c r="M106" s="120"/>
      <c r="N106" s="1"/>
    </row>
    <row r="107" spans="1:14" x14ac:dyDescent="0.25">
      <c r="A107" s="114"/>
      <c r="B107" s="93"/>
      <c r="C107" s="93"/>
      <c r="D107" s="93"/>
      <c r="E107" s="93"/>
      <c r="F107" s="93"/>
      <c r="G107" s="93"/>
      <c r="H107" s="93"/>
      <c r="I107" s="93"/>
      <c r="J107" s="93"/>
      <c r="K107" s="93"/>
      <c r="L107" s="93"/>
      <c r="M107" s="120"/>
      <c r="N107" s="1"/>
    </row>
    <row r="108" spans="1:14" x14ac:dyDescent="0.25">
      <c r="A108" s="114"/>
      <c r="B108" s="93"/>
      <c r="C108" s="93"/>
      <c r="D108" s="93"/>
      <c r="E108" s="93"/>
      <c r="F108" s="93"/>
      <c r="G108" s="93"/>
      <c r="H108" s="93"/>
      <c r="I108" s="93"/>
      <c r="J108" s="93"/>
      <c r="K108" s="93"/>
      <c r="L108" s="93"/>
      <c r="M108" s="120"/>
      <c r="N108" s="1"/>
    </row>
    <row r="109" spans="1:14" x14ac:dyDescent="0.25">
      <c r="A109" s="114"/>
      <c r="B109" s="93"/>
      <c r="C109" s="93"/>
      <c r="D109" s="93"/>
      <c r="E109" s="93"/>
      <c r="F109" s="93"/>
      <c r="G109" s="93"/>
      <c r="H109" s="93"/>
      <c r="I109" s="93"/>
      <c r="J109" s="93"/>
      <c r="K109" s="93"/>
      <c r="L109" s="93"/>
      <c r="M109" s="120"/>
      <c r="N109" s="1"/>
    </row>
    <row r="110" spans="1:14" x14ac:dyDescent="0.25">
      <c r="A110" s="114"/>
      <c r="B110" s="93"/>
      <c r="C110" s="93"/>
      <c r="D110" s="93"/>
      <c r="E110" s="93"/>
      <c r="F110" s="93"/>
      <c r="G110" s="93"/>
      <c r="H110" s="93"/>
      <c r="I110" s="93"/>
      <c r="J110" s="93"/>
      <c r="K110" s="93"/>
      <c r="L110" s="93"/>
      <c r="M110" s="120"/>
      <c r="N110" s="1"/>
    </row>
    <row r="111" spans="1:14" x14ac:dyDescent="0.25">
      <c r="A111" s="114"/>
      <c r="B111" s="93"/>
      <c r="C111" s="93"/>
      <c r="D111" s="93"/>
      <c r="E111" s="93"/>
      <c r="F111" s="93"/>
      <c r="G111" s="93"/>
      <c r="H111" s="93"/>
      <c r="I111" s="93"/>
      <c r="J111" s="93"/>
      <c r="K111" s="93"/>
      <c r="L111" s="93"/>
      <c r="M111" s="120"/>
      <c r="N111" s="1"/>
    </row>
    <row r="112" spans="1:14" x14ac:dyDescent="0.25">
      <c r="A112" s="114"/>
      <c r="B112" s="93"/>
      <c r="C112" s="93"/>
      <c r="D112" s="93"/>
      <c r="E112" s="93"/>
      <c r="F112" s="93"/>
      <c r="G112" s="93"/>
      <c r="H112" s="93"/>
      <c r="I112" s="93"/>
      <c r="J112" s="93"/>
      <c r="K112" s="93"/>
      <c r="L112" s="93"/>
      <c r="M112" s="120"/>
      <c r="N112" s="1"/>
    </row>
    <row r="113" spans="1:14" x14ac:dyDescent="0.25">
      <c r="A113" s="114"/>
      <c r="B113" s="93"/>
      <c r="C113" s="93"/>
      <c r="D113" s="93"/>
      <c r="E113" s="93"/>
      <c r="F113" s="93"/>
      <c r="G113" s="93"/>
      <c r="H113" s="93"/>
      <c r="I113" s="93"/>
      <c r="J113" s="93"/>
      <c r="K113" s="93"/>
      <c r="L113" s="93"/>
      <c r="M113" s="120"/>
      <c r="N113" s="1"/>
    </row>
    <row r="114" spans="1:14" x14ac:dyDescent="0.25">
      <c r="A114" s="114"/>
      <c r="B114" s="93"/>
      <c r="C114" s="93"/>
      <c r="D114" s="93"/>
      <c r="E114" s="93"/>
      <c r="F114" s="93"/>
      <c r="G114" s="93"/>
      <c r="H114" s="93"/>
      <c r="I114" s="93"/>
      <c r="J114" s="93"/>
      <c r="K114" s="93"/>
      <c r="L114" s="93"/>
      <c r="M114" s="120"/>
      <c r="N114" s="1"/>
    </row>
    <row r="115" spans="1:14" x14ac:dyDescent="0.25">
      <c r="A115" s="114"/>
      <c r="B115" s="93"/>
      <c r="C115" s="93"/>
      <c r="D115" s="93"/>
      <c r="E115" s="93"/>
      <c r="F115" s="93"/>
      <c r="G115" s="93"/>
      <c r="H115" s="93"/>
      <c r="I115" s="93"/>
      <c r="J115" s="93"/>
      <c r="K115" s="93"/>
      <c r="L115" s="93"/>
      <c r="M115" s="120"/>
      <c r="N115" s="1"/>
    </row>
    <row r="116" spans="1:14" x14ac:dyDescent="0.25">
      <c r="A116" s="114"/>
      <c r="B116" s="93"/>
      <c r="C116" s="93"/>
      <c r="D116" s="93"/>
      <c r="E116" s="93"/>
      <c r="F116" s="93"/>
      <c r="G116" s="93"/>
      <c r="H116" s="93"/>
      <c r="I116" s="93"/>
      <c r="J116" s="93"/>
      <c r="K116" s="93"/>
      <c r="L116" s="93"/>
      <c r="M116" s="120"/>
      <c r="N116" s="1"/>
    </row>
    <row r="117" spans="1:14" x14ac:dyDescent="0.25">
      <c r="A117" s="114"/>
      <c r="B117" s="93"/>
      <c r="C117" s="93"/>
      <c r="D117" s="93"/>
      <c r="E117" s="93"/>
      <c r="F117" s="93"/>
      <c r="G117" s="93"/>
      <c r="H117" s="93"/>
      <c r="I117" s="93"/>
      <c r="J117" s="93"/>
      <c r="K117" s="93"/>
      <c r="L117" s="93"/>
      <c r="M117" s="120"/>
      <c r="N117" s="1"/>
    </row>
    <row r="118" spans="1:14" x14ac:dyDescent="0.25">
      <c r="A118" s="114"/>
      <c r="B118" s="93"/>
      <c r="C118" s="93"/>
      <c r="D118" s="93"/>
      <c r="E118" s="93"/>
      <c r="F118" s="93"/>
      <c r="G118" s="93"/>
      <c r="H118" s="93"/>
      <c r="I118" s="93"/>
      <c r="J118" s="93"/>
      <c r="K118" s="93"/>
      <c r="L118" s="93"/>
      <c r="M118" s="120"/>
      <c r="N118" s="1"/>
    </row>
    <row r="119" spans="1:14" x14ac:dyDescent="0.25">
      <c r="A119" s="114"/>
      <c r="B119" s="93"/>
      <c r="C119" s="93"/>
      <c r="D119" s="93"/>
      <c r="E119" s="93"/>
      <c r="F119" s="93"/>
      <c r="G119" s="93"/>
      <c r="H119" s="93"/>
      <c r="I119" s="93"/>
      <c r="J119" s="93"/>
      <c r="K119" s="93"/>
      <c r="L119" s="93"/>
      <c r="M119" s="120"/>
      <c r="N119" s="1"/>
    </row>
    <row r="120" spans="1:14" x14ac:dyDescent="0.25">
      <c r="A120" s="114"/>
      <c r="B120" s="93"/>
      <c r="C120" s="93"/>
      <c r="D120" s="93"/>
      <c r="E120" s="93"/>
      <c r="F120" s="93"/>
      <c r="G120" s="93"/>
      <c r="H120" s="93"/>
      <c r="I120" s="93"/>
      <c r="J120" s="93"/>
      <c r="K120" s="93"/>
      <c r="L120" s="93"/>
      <c r="M120" s="120"/>
      <c r="N120" s="1"/>
    </row>
    <row r="121" spans="1:14" x14ac:dyDescent="0.25">
      <c r="A121" s="114"/>
      <c r="B121" s="93"/>
      <c r="C121" s="93"/>
      <c r="D121" s="93"/>
      <c r="E121" s="93"/>
      <c r="F121" s="93"/>
      <c r="G121" s="93"/>
      <c r="H121" s="93"/>
      <c r="I121" s="93"/>
      <c r="J121" s="93"/>
      <c r="K121" s="93"/>
      <c r="L121" s="93"/>
      <c r="M121" s="120"/>
      <c r="N121" s="1"/>
    </row>
    <row r="122" spans="1:14" x14ac:dyDescent="0.25">
      <c r="A122" s="114"/>
      <c r="B122" s="93"/>
      <c r="C122" s="93"/>
      <c r="D122" s="93"/>
      <c r="E122" s="93"/>
      <c r="F122" s="93"/>
      <c r="G122" s="93"/>
      <c r="H122" s="93"/>
      <c r="I122" s="93"/>
      <c r="J122" s="93"/>
      <c r="K122" s="93"/>
      <c r="L122" s="93"/>
      <c r="M122" s="120"/>
      <c r="N122" s="1"/>
    </row>
    <row r="123" spans="1:14" x14ac:dyDescent="0.25">
      <c r="A123" s="114"/>
      <c r="B123" s="93"/>
      <c r="C123" s="93"/>
      <c r="D123" s="93"/>
      <c r="E123" s="93"/>
      <c r="F123" s="93"/>
      <c r="G123" s="93"/>
      <c r="H123" s="93"/>
      <c r="I123" s="93"/>
      <c r="J123" s="93"/>
      <c r="K123" s="93"/>
      <c r="L123" s="93"/>
      <c r="M123" s="120"/>
      <c r="N123" s="1"/>
    </row>
    <row r="124" spans="1:14" x14ac:dyDescent="0.25">
      <c r="A124" s="114"/>
      <c r="B124" s="93"/>
      <c r="C124" s="93"/>
      <c r="D124" s="93"/>
      <c r="E124" s="93"/>
      <c r="F124" s="93"/>
      <c r="G124" s="93"/>
      <c r="H124" s="93"/>
      <c r="I124" s="93"/>
      <c r="J124" s="93"/>
      <c r="K124" s="93"/>
      <c r="L124" s="93"/>
      <c r="M124" s="120"/>
      <c r="N124" s="1"/>
    </row>
    <row r="125" spans="1:14" x14ac:dyDescent="0.25">
      <c r="A125" s="114"/>
      <c r="B125" s="93"/>
      <c r="C125" s="93"/>
      <c r="D125" s="93"/>
      <c r="E125" s="93"/>
      <c r="F125" s="93"/>
      <c r="G125" s="93"/>
      <c r="H125" s="93"/>
      <c r="I125" s="93"/>
      <c r="J125" s="93"/>
      <c r="K125" s="93"/>
      <c r="L125" s="93"/>
      <c r="M125" s="120"/>
      <c r="N125" s="1"/>
    </row>
    <row r="126" spans="1:14" x14ac:dyDescent="0.25">
      <c r="A126" s="114"/>
      <c r="B126" s="93"/>
      <c r="C126" s="93"/>
      <c r="D126" s="93"/>
      <c r="E126" s="93"/>
      <c r="F126" s="93"/>
      <c r="G126" s="93"/>
      <c r="H126" s="93"/>
      <c r="I126" s="93"/>
      <c r="J126" s="93"/>
      <c r="K126" s="93"/>
      <c r="L126" s="93"/>
      <c r="M126" s="120"/>
      <c r="N126" s="1"/>
    </row>
    <row r="127" spans="1:14" x14ac:dyDescent="0.25">
      <c r="A127" s="114"/>
      <c r="B127" s="93"/>
      <c r="C127" s="93"/>
      <c r="D127" s="93"/>
      <c r="E127" s="93"/>
      <c r="F127" s="93"/>
      <c r="G127" s="93"/>
      <c r="H127" s="93"/>
      <c r="I127" s="93"/>
      <c r="J127" s="93"/>
      <c r="K127" s="93"/>
      <c r="L127" s="93"/>
      <c r="M127" s="120"/>
      <c r="N127" s="1"/>
    </row>
    <row r="128" spans="1:14" x14ac:dyDescent="0.25">
      <c r="A128" s="114"/>
      <c r="B128" s="93"/>
      <c r="C128" s="93"/>
      <c r="D128" s="93"/>
      <c r="E128" s="93"/>
      <c r="F128" s="93"/>
      <c r="G128" s="93"/>
      <c r="H128" s="93"/>
      <c r="I128" s="93"/>
      <c r="J128" s="93"/>
      <c r="K128" s="93"/>
      <c r="L128" s="93"/>
      <c r="M128" s="120"/>
      <c r="N128" s="1"/>
    </row>
    <row r="129" spans="1:14" x14ac:dyDescent="0.25">
      <c r="A129" s="114"/>
      <c r="B129" s="93"/>
      <c r="C129" s="93"/>
      <c r="D129" s="93"/>
      <c r="E129" s="93"/>
      <c r="F129" s="93"/>
      <c r="G129" s="93"/>
      <c r="H129" s="93"/>
      <c r="I129" s="93"/>
      <c r="J129" s="93"/>
      <c r="K129" s="93"/>
      <c r="L129" s="93"/>
      <c r="M129" s="120"/>
      <c r="N129" s="1"/>
    </row>
    <row r="130" spans="1:14" x14ac:dyDescent="0.25">
      <c r="B130" s="1"/>
      <c r="C130" s="1"/>
      <c r="D130" s="1"/>
      <c r="E130" s="1"/>
      <c r="F130" s="1"/>
      <c r="G130" s="1"/>
      <c r="H130" s="1"/>
      <c r="I130" s="1"/>
      <c r="J130" s="1"/>
      <c r="K130" s="1"/>
      <c r="L130" s="1"/>
      <c r="M130" s="120"/>
      <c r="N130" s="1"/>
    </row>
    <row r="131" spans="1:14" x14ac:dyDescent="0.25">
      <c r="B131" s="1"/>
      <c r="C131" s="1"/>
      <c r="D131" s="1"/>
      <c r="E131" s="1"/>
      <c r="F131" s="1"/>
      <c r="G131" s="1"/>
      <c r="H131" s="1"/>
      <c r="I131" s="1"/>
      <c r="J131" s="1"/>
      <c r="K131" s="1"/>
      <c r="L131" s="1"/>
      <c r="M131" s="120"/>
      <c r="N131" s="1"/>
    </row>
    <row r="132" spans="1:14" x14ac:dyDescent="0.25">
      <c r="B132" s="1"/>
      <c r="C132" s="1"/>
      <c r="D132" s="1"/>
      <c r="E132" s="1"/>
      <c r="F132" s="1"/>
      <c r="G132" s="1"/>
      <c r="H132" s="1"/>
      <c r="I132" s="1"/>
      <c r="J132" s="1"/>
      <c r="K132" s="1"/>
      <c r="L132" s="1"/>
      <c r="M132" s="120"/>
      <c r="N132" s="1"/>
    </row>
    <row r="133" spans="1:14" x14ac:dyDescent="0.25">
      <c r="B133" s="1"/>
      <c r="C133" s="1"/>
      <c r="D133" s="1"/>
      <c r="E133" s="1"/>
      <c r="F133" s="1"/>
      <c r="G133" s="1"/>
      <c r="H133" s="1"/>
      <c r="I133" s="1"/>
      <c r="J133" s="1"/>
      <c r="K133" s="1"/>
      <c r="L133" s="1"/>
      <c r="M133" s="120"/>
      <c r="N133" s="1"/>
    </row>
    <row r="134" spans="1:14" x14ac:dyDescent="0.25">
      <c r="B134" s="1"/>
      <c r="C134" s="1"/>
      <c r="D134" s="1"/>
      <c r="E134" s="1"/>
      <c r="F134" s="1"/>
      <c r="G134" s="1"/>
      <c r="H134" s="1"/>
      <c r="I134" s="1"/>
      <c r="J134" s="1"/>
      <c r="K134" s="1"/>
      <c r="L134" s="1"/>
      <c r="M134" s="120"/>
      <c r="N134" s="1"/>
    </row>
    <row r="135" spans="1:14" x14ac:dyDescent="0.25">
      <c r="B135" s="1"/>
      <c r="C135" s="1"/>
      <c r="D135" s="1"/>
      <c r="E135" s="1"/>
      <c r="F135" s="1"/>
      <c r="G135" s="1"/>
      <c r="H135" s="1"/>
      <c r="I135" s="1"/>
      <c r="J135" s="1"/>
      <c r="K135" s="1"/>
      <c r="L135" s="1"/>
      <c r="M135" s="120"/>
      <c r="N135" s="1"/>
    </row>
    <row r="136" spans="1:14" x14ac:dyDescent="0.25">
      <c r="B136" s="1"/>
      <c r="C136" s="1"/>
      <c r="D136" s="1"/>
      <c r="E136" s="1"/>
      <c r="F136" s="1"/>
      <c r="G136" s="1"/>
      <c r="H136" s="1"/>
      <c r="I136" s="1"/>
      <c r="J136" s="1"/>
      <c r="K136" s="1"/>
      <c r="L136" s="1"/>
      <c r="M136" s="120"/>
      <c r="N136" s="1"/>
    </row>
    <row r="137" spans="1:14" x14ac:dyDescent="0.25">
      <c r="B137" s="1"/>
      <c r="C137" s="1"/>
      <c r="D137" s="1"/>
      <c r="E137" s="1"/>
      <c r="F137" s="1"/>
      <c r="G137" s="1"/>
      <c r="H137" s="1"/>
      <c r="I137" s="1"/>
      <c r="J137" s="1"/>
      <c r="K137" s="1"/>
      <c r="L137" s="1"/>
      <c r="M137" s="120"/>
      <c r="N137" s="1"/>
    </row>
    <row r="138" spans="1:14" x14ac:dyDescent="0.25">
      <c r="B138" s="1"/>
      <c r="C138" s="1"/>
      <c r="D138" s="1"/>
      <c r="E138" s="1"/>
      <c r="F138" s="1"/>
      <c r="G138" s="1"/>
      <c r="H138" s="1"/>
      <c r="I138" s="1"/>
      <c r="J138" s="1"/>
      <c r="K138" s="1"/>
      <c r="L138" s="1"/>
      <c r="M138" s="120"/>
      <c r="N138" s="1"/>
    </row>
    <row r="139" spans="1:14" x14ac:dyDescent="0.25">
      <c r="B139" s="1"/>
      <c r="C139" s="1"/>
      <c r="D139" s="1"/>
      <c r="E139" s="1"/>
      <c r="F139" s="1"/>
      <c r="G139" s="1"/>
      <c r="H139" s="1"/>
      <c r="I139" s="1"/>
      <c r="J139" s="1"/>
      <c r="K139" s="1"/>
      <c r="L139" s="1"/>
      <c r="M139" s="120"/>
      <c r="N139" s="1"/>
    </row>
    <row r="140" spans="1:14" x14ac:dyDescent="0.25">
      <c r="B140" s="1"/>
      <c r="C140" s="1"/>
      <c r="D140" s="1"/>
      <c r="E140" s="1"/>
      <c r="F140" s="1"/>
      <c r="G140" s="1"/>
      <c r="H140" s="1"/>
      <c r="I140" s="1"/>
      <c r="J140" s="1"/>
      <c r="K140" s="1"/>
      <c r="L140" s="1"/>
      <c r="M140" s="120"/>
      <c r="N140" s="1"/>
    </row>
    <row r="141" spans="1:14" x14ac:dyDescent="0.25">
      <c r="B141" s="1"/>
      <c r="C141" s="1"/>
      <c r="D141" s="1"/>
      <c r="E141" s="1"/>
      <c r="F141" s="1"/>
      <c r="G141" s="1"/>
      <c r="H141" s="1"/>
      <c r="I141" s="1"/>
      <c r="J141" s="1"/>
      <c r="K141" s="1"/>
      <c r="L141" s="1"/>
      <c r="M141" s="120"/>
      <c r="N141" s="1"/>
    </row>
    <row r="142" spans="1:14" x14ac:dyDescent="0.25">
      <c r="B142" s="1"/>
      <c r="C142" s="1"/>
      <c r="D142" s="1"/>
      <c r="E142" s="1"/>
      <c r="F142" s="1"/>
      <c r="G142" s="1"/>
      <c r="H142" s="1"/>
      <c r="I142" s="1"/>
      <c r="J142" s="1"/>
      <c r="K142" s="1"/>
      <c r="L142" s="1"/>
      <c r="M142" s="120"/>
      <c r="N142" s="1"/>
    </row>
    <row r="143" spans="1:14" x14ac:dyDescent="0.25">
      <c r="B143" s="1"/>
      <c r="C143" s="1"/>
      <c r="D143" s="1"/>
      <c r="E143" s="1"/>
      <c r="F143" s="1"/>
      <c r="G143" s="1"/>
      <c r="H143" s="1"/>
      <c r="I143" s="1"/>
      <c r="J143" s="1"/>
      <c r="K143" s="1"/>
      <c r="L143" s="1"/>
      <c r="M143" s="120"/>
      <c r="N143" s="1"/>
    </row>
    <row r="144" spans="1:14" x14ac:dyDescent="0.25">
      <c r="B144" s="1"/>
      <c r="C144" s="1"/>
      <c r="D144" s="1"/>
      <c r="E144" s="1"/>
      <c r="F144" s="1"/>
      <c r="G144" s="1"/>
      <c r="H144" s="1"/>
      <c r="I144" s="1"/>
      <c r="J144" s="1"/>
      <c r="K144" s="1"/>
      <c r="L144" s="1"/>
      <c r="M144" s="120"/>
      <c r="N144" s="1"/>
    </row>
    <row r="145" spans="2:14" x14ac:dyDescent="0.25">
      <c r="B145" s="1"/>
      <c r="C145" s="1"/>
      <c r="D145" s="1"/>
      <c r="E145" s="1"/>
      <c r="F145" s="1"/>
      <c r="G145" s="1"/>
      <c r="H145" s="1"/>
      <c r="I145" s="1"/>
      <c r="J145" s="1"/>
      <c r="K145" s="1"/>
      <c r="L145" s="1"/>
      <c r="M145" s="120"/>
      <c r="N145" s="1"/>
    </row>
    <row r="146" spans="2:14" x14ac:dyDescent="0.25">
      <c r="B146" s="1"/>
      <c r="C146" s="1"/>
      <c r="D146" s="1"/>
      <c r="E146" s="1"/>
      <c r="F146" s="1"/>
      <c r="G146" s="1"/>
      <c r="H146" s="1"/>
      <c r="I146" s="1"/>
      <c r="J146" s="1"/>
      <c r="K146" s="1"/>
      <c r="L146" s="1"/>
      <c r="M146" s="120"/>
      <c r="N146" s="1"/>
    </row>
    <row r="147" spans="2:14" x14ac:dyDescent="0.25">
      <c r="B147" s="1"/>
      <c r="C147" s="1"/>
      <c r="D147" s="1"/>
      <c r="E147" s="1"/>
      <c r="F147" s="1"/>
      <c r="G147" s="1"/>
      <c r="H147" s="1"/>
      <c r="I147" s="1"/>
      <c r="J147" s="1"/>
      <c r="K147" s="1"/>
      <c r="L147" s="1"/>
      <c r="M147" s="120"/>
      <c r="N147" s="1"/>
    </row>
    <row r="148" spans="2:14" x14ac:dyDescent="0.25">
      <c r="B148" s="1"/>
      <c r="C148" s="1"/>
      <c r="D148" s="1"/>
      <c r="E148" s="1"/>
      <c r="F148" s="1"/>
      <c r="G148" s="1"/>
      <c r="H148" s="1"/>
      <c r="I148" s="1"/>
      <c r="J148" s="1"/>
      <c r="K148" s="1"/>
      <c r="L148" s="1"/>
      <c r="M148" s="120"/>
      <c r="N148" s="1"/>
    </row>
    <row r="149" spans="2:14" x14ac:dyDescent="0.25">
      <c r="B149" s="1"/>
      <c r="C149" s="1"/>
      <c r="D149" s="1"/>
      <c r="E149" s="1"/>
      <c r="F149" s="1"/>
      <c r="G149" s="1"/>
      <c r="H149" s="1"/>
      <c r="I149" s="1"/>
      <c r="J149" s="1"/>
      <c r="K149" s="1"/>
      <c r="L149" s="1"/>
      <c r="M149" s="120"/>
      <c r="N149" s="1"/>
    </row>
    <row r="150" spans="2:14" x14ac:dyDescent="0.25">
      <c r="B150" s="1"/>
      <c r="C150" s="1"/>
      <c r="D150" s="1"/>
      <c r="E150" s="1"/>
      <c r="F150" s="1"/>
      <c r="G150" s="1"/>
      <c r="H150" s="1"/>
      <c r="I150" s="1"/>
      <c r="J150" s="1"/>
      <c r="K150" s="1"/>
      <c r="L150" s="1"/>
      <c r="M150" s="120"/>
      <c r="N150" s="1"/>
    </row>
    <row r="151" spans="2:14" x14ac:dyDescent="0.25">
      <c r="B151" s="1"/>
      <c r="C151" s="1"/>
      <c r="D151" s="1"/>
      <c r="E151" s="1"/>
      <c r="F151" s="1"/>
      <c r="G151" s="1"/>
      <c r="H151" s="1"/>
      <c r="I151" s="1"/>
      <c r="J151" s="1"/>
      <c r="K151" s="1"/>
      <c r="L151" s="1"/>
      <c r="M151" s="120"/>
      <c r="N151" s="1"/>
    </row>
    <row r="152" spans="2:14" x14ac:dyDescent="0.25">
      <c r="B152" s="1"/>
      <c r="C152" s="1"/>
      <c r="D152" s="1"/>
      <c r="E152" s="1"/>
      <c r="F152" s="1"/>
      <c r="G152" s="1"/>
      <c r="H152" s="1"/>
      <c r="I152" s="1"/>
      <c r="J152" s="1"/>
      <c r="K152" s="1"/>
      <c r="L152" s="1"/>
      <c r="M152" s="120"/>
      <c r="N152" s="1"/>
    </row>
    <row r="153" spans="2:14" x14ac:dyDescent="0.25">
      <c r="B153" s="1"/>
      <c r="C153" s="1"/>
      <c r="D153" s="1"/>
      <c r="E153" s="1"/>
      <c r="F153" s="1"/>
      <c r="G153" s="1"/>
      <c r="H153" s="1"/>
      <c r="I153" s="1"/>
      <c r="J153" s="1"/>
      <c r="K153" s="1"/>
      <c r="L153" s="1"/>
      <c r="M153" s="120"/>
      <c r="N153" s="1"/>
    </row>
    <row r="154" spans="2:14" x14ac:dyDescent="0.25">
      <c r="B154" s="1"/>
      <c r="C154" s="1"/>
      <c r="D154" s="1"/>
      <c r="E154" s="1"/>
      <c r="F154" s="1"/>
      <c r="G154" s="1"/>
      <c r="H154" s="1"/>
      <c r="I154" s="1"/>
      <c r="J154" s="1"/>
      <c r="K154" s="1"/>
      <c r="L154" s="1"/>
      <c r="M154" s="120"/>
      <c r="N154" s="1"/>
    </row>
    <row r="155" spans="2:14" x14ac:dyDescent="0.25">
      <c r="B155" s="1"/>
      <c r="C155" s="1"/>
      <c r="D155" s="1"/>
      <c r="E155" s="1"/>
      <c r="F155" s="1"/>
      <c r="G155" s="1"/>
      <c r="H155" s="1"/>
      <c r="I155" s="1"/>
      <c r="J155" s="1"/>
      <c r="K155" s="1"/>
      <c r="L155" s="1"/>
      <c r="M155" s="120"/>
      <c r="N155" s="1"/>
    </row>
    <row r="156" spans="2:14" x14ac:dyDescent="0.25">
      <c r="B156" s="1"/>
      <c r="C156" s="1"/>
      <c r="D156" s="1"/>
      <c r="E156" s="1"/>
      <c r="F156" s="1"/>
      <c r="G156" s="1"/>
      <c r="H156" s="1"/>
      <c r="I156" s="1"/>
      <c r="J156" s="1"/>
      <c r="K156" s="1"/>
      <c r="L156" s="1"/>
      <c r="M156" s="120"/>
      <c r="N156" s="1"/>
    </row>
    <row r="157" spans="2:14" x14ac:dyDescent="0.25">
      <c r="B157" s="1"/>
      <c r="C157" s="1"/>
      <c r="D157" s="1"/>
      <c r="E157" s="1"/>
      <c r="F157" s="1"/>
      <c r="G157" s="1"/>
      <c r="H157" s="1"/>
      <c r="I157" s="1"/>
      <c r="J157" s="1"/>
      <c r="K157" s="1"/>
      <c r="L157" s="1"/>
      <c r="M157" s="120"/>
      <c r="N157" s="1"/>
    </row>
    <row r="158" spans="2:14" x14ac:dyDescent="0.25">
      <c r="B158" s="1"/>
      <c r="C158" s="1"/>
      <c r="D158" s="1"/>
      <c r="E158" s="1"/>
      <c r="F158" s="1"/>
      <c r="G158" s="1"/>
      <c r="H158" s="1"/>
      <c r="I158" s="1"/>
      <c r="J158" s="1"/>
      <c r="K158" s="1"/>
      <c r="L158" s="1"/>
      <c r="M158" s="120"/>
      <c r="N158" s="1"/>
    </row>
    <row r="159" spans="2:14" x14ac:dyDescent="0.25">
      <c r="B159" s="1"/>
      <c r="C159" s="1"/>
      <c r="D159" s="1"/>
      <c r="E159" s="1"/>
      <c r="F159" s="1"/>
      <c r="G159" s="1"/>
      <c r="H159" s="1"/>
      <c r="I159" s="1"/>
      <c r="J159" s="1"/>
      <c r="K159" s="1"/>
      <c r="L159" s="1"/>
      <c r="M159" s="120"/>
      <c r="N159" s="1"/>
    </row>
    <row r="160" spans="2:14" x14ac:dyDescent="0.25">
      <c r="B160" s="1"/>
      <c r="C160" s="1"/>
      <c r="D160" s="1"/>
      <c r="E160" s="1"/>
      <c r="F160" s="1"/>
      <c r="G160" s="1"/>
      <c r="H160" s="1"/>
      <c r="I160" s="1"/>
      <c r="J160" s="1"/>
      <c r="K160" s="1"/>
      <c r="L160" s="1"/>
      <c r="M160" s="120"/>
      <c r="N160" s="1"/>
    </row>
    <row r="161" spans="2:14" x14ac:dyDescent="0.25">
      <c r="B161" s="1"/>
      <c r="C161" s="1"/>
      <c r="D161" s="1"/>
      <c r="E161" s="1"/>
      <c r="F161" s="1"/>
      <c r="G161" s="1"/>
      <c r="H161" s="1"/>
      <c r="I161" s="1"/>
      <c r="J161" s="1"/>
      <c r="K161" s="1"/>
      <c r="L161" s="1"/>
      <c r="M161" s="120"/>
      <c r="N161" s="1"/>
    </row>
    <row r="162" spans="2:14" x14ac:dyDescent="0.25">
      <c r="B162" s="1"/>
      <c r="C162" s="1"/>
      <c r="D162" s="1"/>
      <c r="E162" s="1"/>
      <c r="F162" s="1"/>
      <c r="G162" s="1"/>
      <c r="H162" s="1"/>
      <c r="I162" s="1"/>
      <c r="J162" s="1"/>
      <c r="K162" s="1"/>
      <c r="L162" s="1"/>
      <c r="M162" s="120"/>
      <c r="N162" s="1"/>
    </row>
    <row r="163" spans="2:14" x14ac:dyDescent="0.25">
      <c r="B163" s="1"/>
      <c r="C163" s="1"/>
      <c r="D163" s="1"/>
      <c r="E163" s="1"/>
      <c r="F163" s="1"/>
      <c r="G163" s="1"/>
      <c r="H163" s="1"/>
      <c r="I163" s="1"/>
      <c r="J163" s="1"/>
      <c r="K163" s="1"/>
      <c r="L163" s="1"/>
      <c r="M163" s="120"/>
      <c r="N163" s="1"/>
    </row>
    <row r="164" spans="2:14" x14ac:dyDescent="0.25">
      <c r="B164" s="1"/>
      <c r="C164" s="1"/>
      <c r="D164" s="1"/>
      <c r="E164" s="1"/>
      <c r="F164" s="1"/>
      <c r="G164" s="1"/>
      <c r="H164" s="1"/>
      <c r="I164" s="1"/>
      <c r="J164" s="1"/>
      <c r="K164" s="1"/>
      <c r="L164" s="1"/>
      <c r="M164" s="120"/>
      <c r="N164" s="1"/>
    </row>
    <row r="165" spans="2:14" x14ac:dyDescent="0.25">
      <c r="B165" s="1"/>
      <c r="C165" s="1"/>
      <c r="D165" s="1"/>
      <c r="E165" s="1"/>
      <c r="F165" s="1"/>
      <c r="G165" s="1"/>
      <c r="H165" s="1"/>
      <c r="I165" s="1"/>
      <c r="J165" s="1"/>
      <c r="K165" s="1"/>
      <c r="L165" s="1"/>
      <c r="M165" s="120"/>
      <c r="N165" s="1"/>
    </row>
    <row r="166" spans="2:14" x14ac:dyDescent="0.25">
      <c r="B166" s="1"/>
      <c r="C166" s="1"/>
      <c r="D166" s="1"/>
      <c r="E166" s="1"/>
      <c r="F166" s="1"/>
      <c r="G166" s="1"/>
      <c r="H166" s="1"/>
      <c r="I166" s="1"/>
      <c r="J166" s="1"/>
      <c r="K166" s="1"/>
      <c r="L166" s="1"/>
      <c r="M166" s="120"/>
      <c r="N166" s="1"/>
    </row>
    <row r="167" spans="2:14" x14ac:dyDescent="0.25">
      <c r="B167" s="1"/>
      <c r="C167" s="1"/>
      <c r="D167" s="1"/>
      <c r="E167" s="1"/>
      <c r="F167" s="1"/>
      <c r="G167" s="1"/>
      <c r="H167" s="1"/>
      <c r="I167" s="1"/>
      <c r="J167" s="1"/>
      <c r="K167" s="1"/>
      <c r="L167" s="1"/>
      <c r="M167" s="120"/>
      <c r="N167" s="1"/>
    </row>
    <row r="168" spans="2:14" x14ac:dyDescent="0.25">
      <c r="B168" s="1"/>
      <c r="C168" s="1"/>
      <c r="D168" s="1"/>
      <c r="E168" s="1"/>
      <c r="F168" s="1"/>
      <c r="G168" s="1"/>
      <c r="H168" s="1"/>
      <c r="I168" s="1"/>
      <c r="J168" s="1"/>
      <c r="K168" s="1"/>
      <c r="L168" s="1"/>
      <c r="M168" s="120"/>
      <c r="N168" s="1"/>
    </row>
    <row r="169" spans="2:14" x14ac:dyDescent="0.25">
      <c r="B169" s="1"/>
      <c r="C169" s="1"/>
      <c r="D169" s="1"/>
      <c r="E169" s="1"/>
      <c r="F169" s="1"/>
      <c r="G169" s="1"/>
      <c r="H169" s="1"/>
      <c r="I169" s="1"/>
      <c r="J169" s="1"/>
      <c r="K169" s="1"/>
      <c r="L169" s="1"/>
      <c r="M169" s="120"/>
      <c r="N169" s="1"/>
    </row>
    <row r="170" spans="2:14" x14ac:dyDescent="0.25">
      <c r="B170" s="1"/>
      <c r="C170" s="1"/>
      <c r="D170" s="1"/>
      <c r="E170" s="1"/>
      <c r="F170" s="1"/>
      <c r="G170" s="1"/>
      <c r="H170" s="1"/>
      <c r="I170" s="1"/>
      <c r="J170" s="1"/>
      <c r="K170" s="1"/>
      <c r="L170" s="1"/>
      <c r="M170" s="120"/>
      <c r="N170" s="1"/>
    </row>
    <row r="171" spans="2:14" x14ac:dyDescent="0.25">
      <c r="B171" s="1"/>
      <c r="C171" s="1"/>
      <c r="D171" s="1"/>
      <c r="E171" s="1"/>
      <c r="F171" s="1"/>
      <c r="G171" s="1"/>
      <c r="H171" s="1"/>
      <c r="I171" s="1"/>
      <c r="J171" s="1"/>
      <c r="K171" s="1"/>
      <c r="L171" s="1"/>
      <c r="M171" s="120"/>
      <c r="N171" s="1"/>
    </row>
    <row r="172" spans="2:14" x14ac:dyDescent="0.25">
      <c r="B172" s="1"/>
      <c r="C172" s="1"/>
      <c r="D172" s="1"/>
      <c r="E172" s="1"/>
      <c r="F172" s="1"/>
      <c r="G172" s="1"/>
      <c r="H172" s="1"/>
      <c r="I172" s="1"/>
      <c r="J172" s="1"/>
      <c r="K172" s="1"/>
      <c r="L172" s="1"/>
      <c r="M172" s="120"/>
      <c r="N172" s="1"/>
    </row>
    <row r="173" spans="2:14" x14ac:dyDescent="0.25">
      <c r="B173" s="1"/>
      <c r="C173" s="1"/>
      <c r="D173" s="1"/>
      <c r="E173" s="1"/>
      <c r="F173" s="1"/>
      <c r="G173" s="1"/>
      <c r="H173" s="1"/>
      <c r="I173" s="1"/>
      <c r="J173" s="1"/>
      <c r="K173" s="1"/>
      <c r="L173" s="1"/>
      <c r="M173" s="120"/>
      <c r="N173" s="1"/>
    </row>
    <row r="174" spans="2:14" x14ac:dyDescent="0.25">
      <c r="B174" s="1"/>
      <c r="C174" s="1"/>
      <c r="D174" s="1"/>
      <c r="E174" s="1"/>
      <c r="F174" s="1"/>
      <c r="G174" s="1"/>
      <c r="H174" s="1"/>
      <c r="I174" s="1"/>
      <c r="J174" s="1"/>
      <c r="K174" s="1"/>
      <c r="L174" s="1"/>
      <c r="M174" s="120"/>
      <c r="N174" s="1"/>
    </row>
    <row r="175" spans="2:14" x14ac:dyDescent="0.25">
      <c r="B175" s="1"/>
      <c r="C175" s="1"/>
      <c r="D175" s="1"/>
      <c r="E175" s="1"/>
      <c r="F175" s="1"/>
      <c r="G175" s="1"/>
      <c r="H175" s="1"/>
      <c r="I175" s="1"/>
      <c r="J175" s="1"/>
      <c r="K175" s="1"/>
      <c r="L175" s="1"/>
      <c r="M175" s="120"/>
      <c r="N175" s="1"/>
    </row>
    <row r="176" spans="2:14" x14ac:dyDescent="0.25">
      <c r="B176" s="1"/>
      <c r="C176" s="1"/>
      <c r="D176" s="1"/>
      <c r="E176" s="1"/>
      <c r="F176" s="1"/>
      <c r="G176" s="1"/>
      <c r="H176" s="1"/>
      <c r="I176" s="1"/>
      <c r="J176" s="1"/>
      <c r="K176" s="1"/>
      <c r="L176" s="1"/>
      <c r="M176" s="120"/>
      <c r="N176" s="1"/>
    </row>
    <row r="177" spans="2:14" x14ac:dyDescent="0.25">
      <c r="B177" s="1"/>
      <c r="C177" s="1"/>
      <c r="D177" s="1"/>
      <c r="E177" s="1"/>
      <c r="F177" s="1"/>
      <c r="G177" s="1"/>
      <c r="H177" s="1"/>
      <c r="I177" s="1"/>
      <c r="J177" s="1"/>
      <c r="K177" s="1"/>
      <c r="L177" s="1"/>
      <c r="M177" s="120"/>
      <c r="N177" s="1"/>
    </row>
    <row r="178" spans="2:14" x14ac:dyDescent="0.25">
      <c r="B178" s="1"/>
      <c r="C178" s="1"/>
      <c r="D178" s="1"/>
      <c r="E178" s="1"/>
      <c r="F178" s="1"/>
      <c r="G178" s="1"/>
      <c r="H178" s="1"/>
      <c r="I178" s="1"/>
      <c r="J178" s="1"/>
      <c r="K178" s="1"/>
      <c r="L178" s="1"/>
      <c r="M178" s="120"/>
      <c r="N178" s="1"/>
    </row>
    <row r="179" spans="2:14" x14ac:dyDescent="0.25">
      <c r="B179" s="1"/>
      <c r="C179" s="1"/>
      <c r="D179" s="1"/>
      <c r="E179" s="1"/>
      <c r="F179" s="1"/>
      <c r="G179" s="1"/>
      <c r="H179" s="1"/>
      <c r="I179" s="1"/>
      <c r="J179" s="1"/>
      <c r="K179" s="1"/>
      <c r="L179" s="1"/>
      <c r="M179" s="120"/>
      <c r="N179" s="1"/>
    </row>
    <row r="180" spans="2:14" x14ac:dyDescent="0.25">
      <c r="B180" s="1"/>
      <c r="C180" s="1"/>
      <c r="D180" s="1"/>
      <c r="E180" s="1"/>
      <c r="F180" s="1"/>
      <c r="G180" s="1"/>
      <c r="H180" s="1"/>
      <c r="I180" s="1"/>
      <c r="J180" s="1"/>
      <c r="K180" s="1"/>
      <c r="L180" s="1"/>
      <c r="M180" s="120"/>
      <c r="N180" s="1"/>
    </row>
    <row r="181" spans="2:14" x14ac:dyDescent="0.25">
      <c r="B181" s="1"/>
      <c r="C181" s="1"/>
      <c r="D181" s="1"/>
      <c r="E181" s="1"/>
      <c r="F181" s="1"/>
      <c r="G181" s="1"/>
      <c r="H181" s="1"/>
      <c r="I181" s="1"/>
      <c r="J181" s="1"/>
      <c r="K181" s="1"/>
      <c r="L181" s="1"/>
      <c r="M181" s="120"/>
      <c r="N181" s="1"/>
    </row>
    <row r="182" spans="2:14" x14ac:dyDescent="0.25">
      <c r="B182" s="1"/>
      <c r="C182" s="1"/>
      <c r="D182" s="1"/>
      <c r="E182" s="1"/>
      <c r="F182" s="1"/>
      <c r="G182" s="1"/>
      <c r="H182" s="1"/>
      <c r="I182" s="1"/>
      <c r="J182" s="1"/>
      <c r="K182" s="1"/>
      <c r="L182" s="1"/>
      <c r="M182" s="120"/>
      <c r="N182" s="1"/>
    </row>
    <row r="183" spans="2:14" x14ac:dyDescent="0.25">
      <c r="B183" s="1"/>
      <c r="C183" s="1"/>
      <c r="D183" s="1"/>
      <c r="E183" s="1"/>
      <c r="F183" s="1"/>
      <c r="G183" s="1"/>
      <c r="H183" s="1"/>
      <c r="I183" s="1"/>
      <c r="J183" s="1"/>
      <c r="K183" s="1"/>
      <c r="L183" s="1"/>
      <c r="M183" s="120"/>
      <c r="N183" s="1"/>
    </row>
    <row r="184" spans="2:14" x14ac:dyDescent="0.25">
      <c r="B184" s="1"/>
      <c r="C184" s="1"/>
      <c r="D184" s="1"/>
      <c r="E184" s="1"/>
      <c r="F184" s="1"/>
      <c r="G184" s="1"/>
      <c r="H184" s="1"/>
      <c r="I184" s="1"/>
      <c r="J184" s="1"/>
      <c r="K184" s="1"/>
      <c r="L184" s="1"/>
      <c r="M184" s="120"/>
      <c r="N184" s="1"/>
    </row>
    <row r="185" spans="2:14" x14ac:dyDescent="0.25">
      <c r="B185" s="1"/>
      <c r="C185" s="1"/>
      <c r="D185" s="1"/>
      <c r="E185" s="1"/>
      <c r="F185" s="1"/>
      <c r="G185" s="1"/>
      <c r="H185" s="1"/>
      <c r="I185" s="1"/>
      <c r="J185" s="1"/>
      <c r="K185" s="1"/>
      <c r="L185" s="1"/>
      <c r="M185" s="120"/>
      <c r="N185" s="1"/>
    </row>
    <row r="186" spans="2:14" x14ac:dyDescent="0.25">
      <c r="B186" s="1"/>
      <c r="C186" s="1"/>
      <c r="D186" s="1"/>
      <c r="E186" s="1"/>
      <c r="F186" s="1"/>
      <c r="G186" s="1"/>
      <c r="H186" s="1"/>
      <c r="I186" s="1"/>
      <c r="J186" s="1"/>
      <c r="K186" s="1"/>
      <c r="L186" s="1"/>
      <c r="M186" s="120"/>
      <c r="N186" s="1"/>
    </row>
    <row r="187" spans="2:14" x14ac:dyDescent="0.25">
      <c r="B187" s="1"/>
      <c r="C187" s="1"/>
      <c r="D187" s="1"/>
      <c r="E187" s="1"/>
      <c r="F187" s="1"/>
      <c r="G187" s="1"/>
      <c r="H187" s="1"/>
      <c r="I187" s="1"/>
      <c r="J187" s="1"/>
      <c r="K187" s="1"/>
      <c r="L187" s="1"/>
      <c r="M187" s="120"/>
      <c r="N187" s="1"/>
    </row>
    <row r="188" spans="2:14" x14ac:dyDescent="0.25">
      <c r="B188" s="1"/>
      <c r="C188" s="1"/>
      <c r="D188" s="1"/>
      <c r="E188" s="1"/>
      <c r="F188" s="1"/>
      <c r="G188" s="1"/>
      <c r="H188" s="1"/>
      <c r="I188" s="1"/>
      <c r="J188" s="1"/>
      <c r="K188" s="1"/>
      <c r="L188" s="1"/>
      <c r="M188" s="120"/>
      <c r="N188" s="1"/>
    </row>
    <row r="189" spans="2:14" x14ac:dyDescent="0.25">
      <c r="B189" s="1"/>
      <c r="C189" s="1"/>
      <c r="D189" s="1"/>
      <c r="E189" s="1"/>
      <c r="F189" s="1"/>
      <c r="G189" s="1"/>
      <c r="H189" s="1"/>
      <c r="I189" s="1"/>
      <c r="J189" s="1"/>
      <c r="K189" s="1"/>
      <c r="L189" s="1"/>
      <c r="M189" s="120"/>
      <c r="N189" s="1"/>
    </row>
  </sheetData>
  <mergeCells count="1">
    <mergeCell ref="J1:L1"/>
  </mergeCells>
  <pageMargins left="0.75" right="0.75" top="1" bottom="1" header="0.5" footer="0.5"/>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3366FF"/>
  </sheetPr>
  <dimension ref="A1:U35"/>
  <sheetViews>
    <sheetView workbookViewId="0">
      <selection activeCell="A18" sqref="A18"/>
    </sheetView>
  </sheetViews>
  <sheetFormatPr defaultColWidth="11" defaultRowHeight="15.75" x14ac:dyDescent="0.25"/>
  <cols>
    <col min="1" max="1" width="23" customWidth="1"/>
  </cols>
  <sheetData>
    <row r="1" spans="1:21" x14ac:dyDescent="0.25">
      <c r="B1" s="2">
        <v>2007</v>
      </c>
      <c r="C1" s="2">
        <v>2008</v>
      </c>
      <c r="D1" s="2">
        <v>2009</v>
      </c>
      <c r="E1" s="2">
        <v>2010</v>
      </c>
      <c r="F1" s="2">
        <v>2011</v>
      </c>
      <c r="G1" s="2">
        <v>2012</v>
      </c>
      <c r="H1" s="2">
        <v>2013</v>
      </c>
      <c r="I1" s="2">
        <v>2014</v>
      </c>
      <c r="J1" s="2">
        <v>2015</v>
      </c>
      <c r="K1" s="21">
        <v>2016</v>
      </c>
      <c r="L1" s="21">
        <v>2017</v>
      </c>
      <c r="M1" s="21">
        <v>2018</v>
      </c>
      <c r="N1" s="97">
        <v>2019</v>
      </c>
      <c r="O1" s="97">
        <v>2020</v>
      </c>
      <c r="P1" s="97">
        <v>2021</v>
      </c>
      <c r="Q1" s="97">
        <v>2022</v>
      </c>
      <c r="R1" s="97">
        <v>2023</v>
      </c>
      <c r="S1" s="97">
        <v>2024</v>
      </c>
      <c r="T1" s="97">
        <v>2025</v>
      </c>
      <c r="U1" s="97">
        <v>2026</v>
      </c>
    </row>
    <row r="4" spans="1:21" x14ac:dyDescent="0.25">
      <c r="A4" t="s">
        <v>21</v>
      </c>
      <c r="B4" s="12">
        <v>63025</v>
      </c>
      <c r="C4" s="12">
        <v>64690</v>
      </c>
      <c r="D4" s="12">
        <v>63162</v>
      </c>
      <c r="E4" s="281">
        <v>67742</v>
      </c>
      <c r="F4" s="282">
        <v>68761</v>
      </c>
      <c r="G4" s="283">
        <v>69341</v>
      </c>
      <c r="H4" s="283">
        <v>70370</v>
      </c>
      <c r="I4" s="283">
        <v>71027</v>
      </c>
      <c r="J4" s="283">
        <v>73420</v>
      </c>
      <c r="K4" s="284">
        <v>74385</v>
      </c>
      <c r="L4" s="284">
        <v>75840</v>
      </c>
      <c r="M4" s="284">
        <v>77262</v>
      </c>
      <c r="N4" s="284">
        <v>78980</v>
      </c>
    </row>
    <row r="6" spans="1:21" x14ac:dyDescent="0.25">
      <c r="A6" t="s">
        <v>66</v>
      </c>
      <c r="B6" s="35"/>
      <c r="C6" s="35"/>
      <c r="D6" s="35"/>
      <c r="E6" s="35"/>
      <c r="F6" s="35"/>
      <c r="G6" s="35"/>
      <c r="H6" s="35"/>
      <c r="I6" s="35"/>
      <c r="J6" s="35"/>
      <c r="K6" s="35"/>
      <c r="L6" s="35"/>
      <c r="M6" s="35"/>
    </row>
    <row r="7" spans="1:21" x14ac:dyDescent="0.25">
      <c r="B7" s="35"/>
      <c r="C7" s="35"/>
      <c r="D7" s="35"/>
      <c r="E7" s="35"/>
      <c r="F7" s="35"/>
      <c r="G7" s="35"/>
      <c r="H7" s="35"/>
      <c r="I7" s="35"/>
      <c r="J7" s="35"/>
      <c r="K7" s="35"/>
      <c r="L7" s="35"/>
      <c r="M7" s="35"/>
    </row>
    <row r="8" spans="1:21" x14ac:dyDescent="0.25">
      <c r="A8" t="s">
        <v>85</v>
      </c>
      <c r="F8" s="16">
        <v>3980</v>
      </c>
      <c r="G8" s="16">
        <v>3355</v>
      </c>
      <c r="H8" s="16">
        <v>3782</v>
      </c>
      <c r="I8" s="16">
        <v>4079</v>
      </c>
      <c r="J8" s="16">
        <v>6522</v>
      </c>
      <c r="K8" s="16">
        <v>8015</v>
      </c>
      <c r="L8" s="16">
        <v>9862</v>
      </c>
    </row>
    <row r="9" spans="1:21" x14ac:dyDescent="0.25">
      <c r="F9" s="7">
        <f>F8/F4</f>
        <v>5.7881648027224737E-2</v>
      </c>
      <c r="G9" s="7">
        <f t="shared" ref="G9:L9" si="0">G8/G4</f>
        <v>4.8384072915014203E-2</v>
      </c>
      <c r="H9" s="7">
        <f t="shared" si="0"/>
        <v>5.3744493392070485E-2</v>
      </c>
      <c r="I9" s="7">
        <f t="shared" si="0"/>
        <v>5.7428865079476817E-2</v>
      </c>
      <c r="J9" s="7">
        <f t="shared" si="0"/>
        <v>8.8831381095069467E-2</v>
      </c>
      <c r="K9" s="7">
        <f t="shared" si="0"/>
        <v>0.10775021845802245</v>
      </c>
      <c r="L9" s="7">
        <f t="shared" si="0"/>
        <v>0.13003691983122362</v>
      </c>
    </row>
    <row r="10" spans="1:21" x14ac:dyDescent="0.25">
      <c r="A10" s="54" t="s">
        <v>86</v>
      </c>
      <c r="B10" s="54"/>
      <c r="C10" s="54"/>
      <c r="D10" s="54"/>
      <c r="L10" s="53">
        <v>20884</v>
      </c>
    </row>
    <row r="11" spans="1:21" x14ac:dyDescent="0.25">
      <c r="L11" s="7">
        <f>L10/L4</f>
        <v>0.27536919831223627</v>
      </c>
    </row>
    <row r="12" spans="1:21" x14ac:dyDescent="0.25">
      <c r="A12" s="52" t="s">
        <v>87</v>
      </c>
    </row>
    <row r="14" spans="1:21" x14ac:dyDescent="0.25">
      <c r="A14" t="s">
        <v>116</v>
      </c>
      <c r="B14">
        <v>994</v>
      </c>
      <c r="C14">
        <v>994</v>
      </c>
      <c r="D14">
        <v>984</v>
      </c>
      <c r="E14">
        <v>959</v>
      </c>
      <c r="F14">
        <v>987</v>
      </c>
      <c r="G14">
        <v>1018</v>
      </c>
      <c r="H14">
        <v>1048</v>
      </c>
      <c r="I14">
        <v>1064</v>
      </c>
    </row>
    <row r="17" spans="1:17" x14ac:dyDescent="0.25">
      <c r="A17" t="s">
        <v>117</v>
      </c>
    </row>
    <row r="18" spans="1:17" x14ac:dyDescent="0.25">
      <c r="A18" s="39" t="s">
        <v>92</v>
      </c>
      <c r="B18" s="14"/>
      <c r="C18" s="14"/>
      <c r="D18" s="14">
        <v>487.04</v>
      </c>
      <c r="E18" s="14">
        <v>469.7</v>
      </c>
      <c r="F18" s="14"/>
      <c r="G18" s="14"/>
      <c r="H18" s="14"/>
      <c r="I18" s="14"/>
      <c r="J18" s="14"/>
      <c r="K18" s="14"/>
      <c r="L18" s="14"/>
      <c r="M18" s="14"/>
    </row>
    <row r="19" spans="1:17" x14ac:dyDescent="0.25">
      <c r="A19" s="39" t="s">
        <v>88</v>
      </c>
      <c r="B19" s="14"/>
      <c r="C19" s="14"/>
      <c r="D19" s="14">
        <v>19.649999999999999</v>
      </c>
      <c r="E19" s="14">
        <v>17.649999999999999</v>
      </c>
      <c r="F19" s="14"/>
      <c r="G19" s="14"/>
      <c r="H19" s="14"/>
      <c r="I19" s="14"/>
      <c r="J19" s="14"/>
      <c r="K19" s="14"/>
      <c r="L19" s="14"/>
      <c r="M19" s="14"/>
    </row>
    <row r="20" spans="1:17" x14ac:dyDescent="0.25">
      <c r="A20" s="39" t="s">
        <v>93</v>
      </c>
      <c r="B20" s="14"/>
      <c r="C20" s="14"/>
      <c r="D20" s="14">
        <v>207.1</v>
      </c>
      <c r="E20" s="14">
        <v>197.67</v>
      </c>
      <c r="F20" s="14"/>
      <c r="G20" s="14"/>
      <c r="H20" s="14"/>
      <c r="I20" s="14"/>
      <c r="J20" s="14"/>
      <c r="K20" s="14"/>
      <c r="L20" s="14"/>
      <c r="M20" s="14"/>
    </row>
    <row r="21" spans="1:17" x14ac:dyDescent="0.25">
      <c r="A21" s="39" t="s">
        <v>78</v>
      </c>
      <c r="B21" s="14"/>
      <c r="C21" s="14"/>
      <c r="D21" s="14">
        <v>4.3</v>
      </c>
      <c r="E21" s="14">
        <v>4.4000000000000004</v>
      </c>
      <c r="F21" s="14"/>
      <c r="G21" s="14"/>
      <c r="H21" s="14"/>
      <c r="I21" s="14"/>
      <c r="J21" s="14"/>
      <c r="K21" s="14"/>
      <c r="L21" s="14"/>
      <c r="M21" s="14"/>
    </row>
    <row r="22" spans="1:17" x14ac:dyDescent="0.25">
      <c r="A22" s="39" t="s">
        <v>124</v>
      </c>
      <c r="B22" s="14"/>
      <c r="C22" s="14"/>
      <c r="D22" s="14"/>
      <c r="E22" s="14"/>
      <c r="F22" s="14"/>
      <c r="G22" s="14"/>
      <c r="H22" s="14"/>
      <c r="I22" s="14"/>
      <c r="J22" s="14"/>
      <c r="K22" s="14"/>
      <c r="L22" s="14"/>
      <c r="M22" s="14"/>
    </row>
    <row r="23" spans="1:17" x14ac:dyDescent="0.25">
      <c r="A23" s="39"/>
      <c r="B23" s="14"/>
      <c r="C23" s="14"/>
      <c r="D23" s="14"/>
      <c r="E23" s="14"/>
      <c r="F23" s="14"/>
      <c r="G23" s="14"/>
      <c r="H23" s="14"/>
      <c r="I23" s="14"/>
      <c r="J23" s="14"/>
      <c r="K23" s="14"/>
      <c r="L23" s="14"/>
      <c r="M23" s="14"/>
    </row>
    <row r="24" spans="1:17" x14ac:dyDescent="0.25">
      <c r="A24" s="39"/>
      <c r="B24" s="14"/>
      <c r="C24" s="14"/>
      <c r="D24" s="14"/>
      <c r="E24" s="14"/>
      <c r="F24" s="14"/>
      <c r="G24" s="14"/>
      <c r="H24" s="14"/>
      <c r="I24" s="14"/>
      <c r="J24" s="14"/>
      <c r="K24" s="14"/>
      <c r="L24" s="14"/>
      <c r="M24" s="14"/>
    </row>
    <row r="25" spans="1:17" x14ac:dyDescent="0.25">
      <c r="A25" s="39" t="s">
        <v>118</v>
      </c>
      <c r="B25">
        <f>SUM(B18:B21)</f>
        <v>0</v>
      </c>
      <c r="C25">
        <f>SUM(C18:C21)</f>
        <v>0</v>
      </c>
      <c r="D25">
        <f>SUM(D18:D21)</f>
        <v>718.08999999999992</v>
      </c>
      <c r="E25">
        <f>SUM(E18:E21)</f>
        <v>689.42</v>
      </c>
      <c r="F25">
        <f t="shared" ref="F25:M25" si="1">SUM(F18:F21)</f>
        <v>0</v>
      </c>
      <c r="G25">
        <f t="shared" si="1"/>
        <v>0</v>
      </c>
      <c r="H25">
        <f t="shared" si="1"/>
        <v>0</v>
      </c>
      <c r="I25">
        <f t="shared" si="1"/>
        <v>0</v>
      </c>
      <c r="J25">
        <f t="shared" si="1"/>
        <v>0</v>
      </c>
      <c r="K25">
        <f t="shared" si="1"/>
        <v>0</v>
      </c>
      <c r="L25">
        <f t="shared" si="1"/>
        <v>0</v>
      </c>
      <c r="M25">
        <f t="shared" si="1"/>
        <v>0</v>
      </c>
    </row>
    <row r="28" spans="1:17" x14ac:dyDescent="0.25">
      <c r="A28" s="39" t="s">
        <v>119</v>
      </c>
      <c r="B28" s="35"/>
      <c r="C28" s="35"/>
      <c r="D28" s="35"/>
      <c r="E28" s="35"/>
      <c r="F28" s="35"/>
      <c r="G28" s="35"/>
      <c r="H28" s="35"/>
      <c r="I28" s="35"/>
      <c r="J28" s="35"/>
      <c r="K28" s="35"/>
      <c r="L28" s="35"/>
      <c r="M28" s="35"/>
    </row>
    <row r="29" spans="1:17" x14ac:dyDescent="0.25">
      <c r="A29" s="39" t="s">
        <v>83</v>
      </c>
      <c r="B29" s="35"/>
      <c r="C29" s="35"/>
      <c r="D29" s="35"/>
      <c r="E29" s="35"/>
      <c r="F29" s="35"/>
      <c r="G29" s="35"/>
      <c r="H29" s="35"/>
      <c r="I29" s="35"/>
      <c r="J29" s="35"/>
      <c r="K29" s="35"/>
      <c r="L29" s="35">
        <v>0.09</v>
      </c>
      <c r="M29" s="35">
        <v>0.08</v>
      </c>
      <c r="N29" s="35">
        <v>0.08</v>
      </c>
      <c r="O29" s="35">
        <v>0.08</v>
      </c>
      <c r="P29" s="35">
        <v>0.08</v>
      </c>
      <c r="Q29" s="35">
        <v>0.08</v>
      </c>
    </row>
    <row r="30" spans="1:17" x14ac:dyDescent="0.25">
      <c r="A30" s="39" t="s">
        <v>120</v>
      </c>
      <c r="B30" s="35"/>
      <c r="C30" s="35"/>
      <c r="D30" s="35"/>
      <c r="E30" s="35"/>
      <c r="F30" s="35">
        <v>5.6000000000000001E-2</v>
      </c>
      <c r="G30" s="35">
        <v>5.6000000000000001E-2</v>
      </c>
      <c r="H30" s="35">
        <v>5.6000000000000001E-2</v>
      </c>
      <c r="I30" s="35">
        <v>5.6000000000000001E-2</v>
      </c>
      <c r="J30" s="35">
        <v>5.6000000000000001E-2</v>
      </c>
      <c r="K30" s="35">
        <v>5.6000000000000001E-2</v>
      </c>
      <c r="L30" s="35">
        <v>5.7000000000000002E-2</v>
      </c>
      <c r="M30" s="35"/>
      <c r="N30" s="98"/>
    </row>
    <row r="31" spans="1:17" x14ac:dyDescent="0.25">
      <c r="A31" s="39" t="s">
        <v>84</v>
      </c>
      <c r="B31" s="35"/>
      <c r="C31" s="35"/>
      <c r="D31" s="35"/>
      <c r="E31" s="35"/>
      <c r="F31" s="35"/>
      <c r="G31" s="35"/>
      <c r="H31" s="35"/>
      <c r="I31" s="35"/>
      <c r="J31" s="35"/>
      <c r="K31" s="35"/>
      <c r="L31" s="35">
        <v>0.11</v>
      </c>
      <c r="M31" s="35"/>
      <c r="N31" s="98"/>
    </row>
    <row r="32" spans="1:17" x14ac:dyDescent="0.25">
      <c r="A32" s="39" t="s">
        <v>121</v>
      </c>
      <c r="B32" s="35"/>
      <c r="C32" s="35"/>
      <c r="D32" s="35"/>
      <c r="E32" s="35"/>
      <c r="F32" s="35"/>
      <c r="G32" s="35"/>
      <c r="H32" s="35"/>
      <c r="I32" s="35"/>
      <c r="J32" s="35"/>
      <c r="K32" s="35">
        <v>0.10100000000000001</v>
      </c>
      <c r="L32" s="35"/>
      <c r="M32" s="35"/>
      <c r="N32" s="98"/>
    </row>
    <row r="33" spans="1:14" x14ac:dyDescent="0.25">
      <c r="B33" s="98"/>
      <c r="C33" s="98"/>
      <c r="D33" s="98"/>
      <c r="E33" s="98"/>
      <c r="F33" s="98"/>
      <c r="G33" s="98"/>
      <c r="H33" s="98"/>
      <c r="I33" s="98"/>
      <c r="J33" s="98"/>
      <c r="K33" s="98"/>
      <c r="L33" s="98"/>
      <c r="M33" s="98"/>
      <c r="N33" s="98"/>
    </row>
    <row r="34" spans="1:14" x14ac:dyDescent="0.25">
      <c r="A34" s="39" t="s">
        <v>122</v>
      </c>
    </row>
    <row r="35" spans="1:14" x14ac:dyDescent="0.25">
      <c r="A35" s="39" t="s">
        <v>123</v>
      </c>
    </row>
  </sheetData>
  <pageMargins left="0.75" right="0.75" top="1" bottom="1" header="0.5" footer="0.5"/>
  <pageSetup orientation="portrait" horizontalDpi="4294967292" verticalDpi="4294967292"/>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75"/>
  <sheetViews>
    <sheetView workbookViewId="0">
      <selection activeCell="N4" sqref="N4"/>
    </sheetView>
  </sheetViews>
  <sheetFormatPr defaultColWidth="11" defaultRowHeight="15.75" x14ac:dyDescent="0.25"/>
  <cols>
    <col min="1" max="1" width="29.625" customWidth="1"/>
    <col min="2" max="2" width="15.125" bestFit="1" customWidth="1"/>
    <col min="3" max="9" width="12.5" bestFit="1" customWidth="1"/>
    <col min="10" max="12" width="13.875" customWidth="1"/>
  </cols>
  <sheetData>
    <row r="1" spans="1:14" ht="18.75" x14ac:dyDescent="0.3">
      <c r="A1" s="36" t="s">
        <v>112</v>
      </c>
      <c r="J1" s="1020" t="s">
        <v>154</v>
      </c>
      <c r="K1" s="1020"/>
      <c r="L1" s="1020"/>
    </row>
    <row r="2" spans="1:14" x14ac:dyDescent="0.25">
      <c r="A2" s="2"/>
      <c r="B2" s="2">
        <v>2009</v>
      </c>
      <c r="C2" s="2">
        <v>2010</v>
      </c>
      <c r="D2" s="2">
        <v>2011</v>
      </c>
      <c r="E2" s="2">
        <v>2012</v>
      </c>
      <c r="F2" s="2">
        <v>2013</v>
      </c>
      <c r="G2" s="2">
        <v>2014</v>
      </c>
      <c r="H2" s="2">
        <v>2015</v>
      </c>
      <c r="I2" s="192">
        <v>2016</v>
      </c>
      <c r="J2" s="192">
        <v>2017</v>
      </c>
      <c r="K2" s="192">
        <v>2018</v>
      </c>
      <c r="L2" s="21">
        <v>2019</v>
      </c>
    </row>
    <row r="3" spans="1:14" x14ac:dyDescent="0.25">
      <c r="A3" s="2"/>
      <c r="J3" s="1021" t="s">
        <v>155</v>
      </c>
      <c r="K3" s="1021"/>
      <c r="L3" s="1021"/>
    </row>
    <row r="4" spans="1:14" x14ac:dyDescent="0.25">
      <c r="A4" s="2"/>
      <c r="B4" s="2"/>
      <c r="C4" s="2"/>
      <c r="D4" s="2"/>
      <c r="E4" s="2"/>
      <c r="F4" s="2"/>
      <c r="G4" s="2"/>
      <c r="H4" s="2"/>
      <c r="I4" s="2"/>
      <c r="J4" s="25" t="s">
        <v>55</v>
      </c>
      <c r="K4" s="25" t="s">
        <v>50</v>
      </c>
      <c r="L4" s="25" t="s">
        <v>56</v>
      </c>
    </row>
    <row r="5" spans="1:14" x14ac:dyDescent="0.25">
      <c r="A5" s="10" t="s">
        <v>44</v>
      </c>
      <c r="B5" s="58">
        <v>0</v>
      </c>
      <c r="C5" s="58">
        <v>0</v>
      </c>
      <c r="D5" s="58">
        <v>0</v>
      </c>
      <c r="E5" s="58">
        <v>0</v>
      </c>
      <c r="F5" s="58">
        <v>0</v>
      </c>
      <c r="G5" s="1">
        <v>0</v>
      </c>
      <c r="H5" s="58">
        <v>0</v>
      </c>
      <c r="I5" s="58">
        <v>0</v>
      </c>
      <c r="J5" s="58">
        <v>0</v>
      </c>
      <c r="K5" s="58">
        <v>0</v>
      </c>
      <c r="L5" s="58">
        <v>0</v>
      </c>
    </row>
    <row r="6" spans="1:14" x14ac:dyDescent="0.25">
      <c r="A6" s="2"/>
      <c r="B6" s="2"/>
      <c r="C6" s="2"/>
      <c r="D6" s="2"/>
      <c r="E6" s="2"/>
      <c r="F6" s="2"/>
      <c r="G6" s="1"/>
      <c r="H6" s="2"/>
      <c r="I6" s="2"/>
      <c r="J6" s="2"/>
      <c r="K6" s="2"/>
      <c r="L6" s="2"/>
    </row>
    <row r="7" spans="1:14" ht="18.75" x14ac:dyDescent="0.3">
      <c r="A7" s="80" t="s">
        <v>90</v>
      </c>
    </row>
    <row r="8" spans="1:14" x14ac:dyDescent="0.25">
      <c r="A8" s="9" t="s">
        <v>92</v>
      </c>
      <c r="B8" s="1">
        <v>0</v>
      </c>
      <c r="C8" s="1">
        <v>0</v>
      </c>
      <c r="D8" s="1">
        <v>0</v>
      </c>
      <c r="E8" s="1">
        <v>0</v>
      </c>
      <c r="F8" s="1">
        <v>0</v>
      </c>
      <c r="G8" s="1">
        <v>0</v>
      </c>
      <c r="H8" s="1">
        <v>0</v>
      </c>
      <c r="I8" s="1">
        <v>0</v>
      </c>
      <c r="J8" s="1">
        <v>0</v>
      </c>
      <c r="K8" s="1">
        <v>0</v>
      </c>
      <c r="L8" s="1">
        <v>0</v>
      </c>
      <c r="M8" s="1"/>
      <c r="N8" s="1"/>
    </row>
    <row r="9" spans="1:14" x14ac:dyDescent="0.25">
      <c r="A9" s="72" t="s">
        <v>88</v>
      </c>
      <c r="B9" s="1">
        <v>0</v>
      </c>
      <c r="C9" s="1">
        <v>0</v>
      </c>
      <c r="D9" s="1">
        <v>0</v>
      </c>
      <c r="E9" s="1">
        <v>0</v>
      </c>
      <c r="F9" s="1">
        <v>0</v>
      </c>
      <c r="G9" s="1">
        <v>0</v>
      </c>
      <c r="H9" s="1">
        <v>0</v>
      </c>
      <c r="I9" s="1">
        <v>0</v>
      </c>
      <c r="J9" s="1">
        <v>0</v>
      </c>
      <c r="K9" s="1">
        <v>0</v>
      </c>
      <c r="L9" s="1">
        <v>0</v>
      </c>
      <c r="M9" s="1"/>
      <c r="N9" s="1"/>
    </row>
    <row r="10" spans="1:14" x14ac:dyDescent="0.25">
      <c r="A10" s="73" t="s">
        <v>93</v>
      </c>
      <c r="B10" s="1">
        <v>0</v>
      </c>
      <c r="C10" s="1">
        <v>0</v>
      </c>
      <c r="D10" s="1">
        <v>0</v>
      </c>
      <c r="E10" s="1">
        <v>0</v>
      </c>
      <c r="F10" s="1">
        <v>0</v>
      </c>
      <c r="G10" s="1">
        <v>0</v>
      </c>
      <c r="H10" s="1">
        <v>0</v>
      </c>
      <c r="I10" s="1">
        <v>0</v>
      </c>
      <c r="J10" s="1">
        <v>0</v>
      </c>
      <c r="K10" s="1">
        <v>0</v>
      </c>
      <c r="L10" s="1">
        <v>0</v>
      </c>
      <c r="M10" s="1"/>
      <c r="N10" s="1"/>
    </row>
    <row r="11" spans="1:14" ht="16.5" thickBot="1" x14ac:dyDescent="0.3">
      <c r="A11" s="63" t="s">
        <v>78</v>
      </c>
      <c r="B11" s="37">
        <v>0</v>
      </c>
      <c r="C11" s="37">
        <v>0</v>
      </c>
      <c r="D11" s="37">
        <v>0</v>
      </c>
      <c r="E11" s="37">
        <v>0</v>
      </c>
      <c r="F11" s="37">
        <v>0</v>
      </c>
      <c r="G11" s="37">
        <v>0</v>
      </c>
      <c r="H11" s="37">
        <v>0</v>
      </c>
      <c r="I11" s="37">
        <v>0</v>
      </c>
      <c r="J11" s="37">
        <v>0</v>
      </c>
      <c r="K11" s="37">
        <v>0</v>
      </c>
      <c r="L11" s="37">
        <v>0</v>
      </c>
      <c r="M11" s="1"/>
      <c r="N11" s="1"/>
    </row>
    <row r="12" spans="1:14" x14ac:dyDescent="0.25">
      <c r="A12" s="82" t="s">
        <v>100</v>
      </c>
      <c r="B12" s="1">
        <f t="shared" ref="B12:L12" si="0">SUM(B8:B11)</f>
        <v>0</v>
      </c>
      <c r="C12" s="1">
        <f t="shared" si="0"/>
        <v>0</v>
      </c>
      <c r="D12" s="1">
        <f t="shared" si="0"/>
        <v>0</v>
      </c>
      <c r="E12" s="1">
        <f t="shared" si="0"/>
        <v>0</v>
      </c>
      <c r="F12" s="1">
        <f t="shared" si="0"/>
        <v>0</v>
      </c>
      <c r="G12" s="1">
        <f t="shared" si="0"/>
        <v>0</v>
      </c>
      <c r="H12" s="1">
        <f t="shared" si="0"/>
        <v>0</v>
      </c>
      <c r="I12" s="1">
        <f t="shared" si="0"/>
        <v>0</v>
      </c>
      <c r="J12" s="1">
        <f t="shared" si="0"/>
        <v>0</v>
      </c>
      <c r="K12" s="1">
        <f t="shared" si="0"/>
        <v>0</v>
      </c>
      <c r="L12" s="1">
        <f t="shared" si="0"/>
        <v>0</v>
      </c>
    </row>
    <row r="14" spans="1:14" x14ac:dyDescent="0.25">
      <c r="A14" s="75" t="s">
        <v>99</v>
      </c>
      <c r="B14" s="79">
        <v>0</v>
      </c>
      <c r="C14" s="79">
        <v>0</v>
      </c>
      <c r="D14" s="79">
        <v>0</v>
      </c>
      <c r="E14" s="79">
        <v>0</v>
      </c>
      <c r="F14" s="79">
        <v>0</v>
      </c>
      <c r="G14" s="79">
        <v>0</v>
      </c>
      <c r="H14" s="79">
        <v>0</v>
      </c>
      <c r="I14" s="79">
        <v>0</v>
      </c>
      <c r="J14" s="79">
        <v>0</v>
      </c>
      <c r="K14" s="79">
        <v>0</v>
      </c>
      <c r="L14" s="79">
        <v>0</v>
      </c>
    </row>
    <row r="15" spans="1:14" x14ac:dyDescent="0.25">
      <c r="A15" s="75"/>
    </row>
    <row r="16" spans="1:14" s="9" customFormat="1" x14ac:dyDescent="0.25">
      <c r="A16" s="76" t="s">
        <v>101</v>
      </c>
      <c r="B16" s="78">
        <f>B12+B14</f>
        <v>0</v>
      </c>
      <c r="C16" s="78">
        <f t="shared" ref="C16:L16" si="1">C12+C14</f>
        <v>0</v>
      </c>
      <c r="D16" s="78">
        <f t="shared" si="1"/>
        <v>0</v>
      </c>
      <c r="E16" s="78">
        <f t="shared" si="1"/>
        <v>0</v>
      </c>
      <c r="F16" s="78">
        <f t="shared" si="1"/>
        <v>0</v>
      </c>
      <c r="G16" s="78">
        <f t="shared" si="1"/>
        <v>0</v>
      </c>
      <c r="H16" s="78">
        <f t="shared" si="1"/>
        <v>0</v>
      </c>
      <c r="I16" s="78">
        <f t="shared" si="1"/>
        <v>0</v>
      </c>
      <c r="J16" s="78">
        <f t="shared" si="1"/>
        <v>0</v>
      </c>
      <c r="K16" s="78">
        <f t="shared" si="1"/>
        <v>0</v>
      </c>
      <c r="L16" s="78">
        <f t="shared" si="1"/>
        <v>0</v>
      </c>
    </row>
    <row r="18" spans="1:14" ht="18.75" x14ac:dyDescent="0.3">
      <c r="A18" s="80" t="s">
        <v>97</v>
      </c>
    </row>
    <row r="19" spans="1:14" x14ac:dyDescent="0.25">
      <c r="A19" s="9" t="s">
        <v>98</v>
      </c>
      <c r="B19" s="1"/>
      <c r="C19" s="1"/>
      <c r="D19" s="1"/>
      <c r="E19" s="1"/>
      <c r="F19" s="1"/>
      <c r="G19" s="1"/>
      <c r="H19" s="1"/>
      <c r="I19" s="1"/>
      <c r="J19" s="1"/>
      <c r="K19" s="1"/>
      <c r="L19" s="1"/>
      <c r="M19" s="1"/>
      <c r="N19" s="1"/>
    </row>
    <row r="20" spans="1:14" x14ac:dyDescent="0.25">
      <c r="A20" s="39" t="s">
        <v>71</v>
      </c>
      <c r="B20" s="1">
        <v>0</v>
      </c>
      <c r="C20" s="1">
        <v>0</v>
      </c>
      <c r="D20" s="1">
        <v>0</v>
      </c>
      <c r="E20" s="1">
        <v>0</v>
      </c>
      <c r="F20" s="1">
        <v>0</v>
      </c>
      <c r="G20" s="1">
        <v>0</v>
      </c>
      <c r="H20" s="1">
        <v>0</v>
      </c>
      <c r="I20" s="1">
        <v>0</v>
      </c>
      <c r="J20" s="1">
        <v>0</v>
      </c>
      <c r="K20" s="1">
        <v>0</v>
      </c>
      <c r="L20" s="1">
        <v>0</v>
      </c>
      <c r="M20" s="1"/>
      <c r="N20" s="1"/>
    </row>
    <row r="21" spans="1:14" x14ac:dyDescent="0.25">
      <c r="A21" s="39" t="s">
        <v>72</v>
      </c>
      <c r="B21" s="1">
        <v>0</v>
      </c>
      <c r="C21" s="1">
        <v>0</v>
      </c>
      <c r="D21" s="1">
        <v>0</v>
      </c>
      <c r="E21" s="1">
        <v>0</v>
      </c>
      <c r="F21" s="1">
        <v>0</v>
      </c>
      <c r="G21" s="1">
        <v>0</v>
      </c>
      <c r="H21" s="1">
        <v>0</v>
      </c>
      <c r="I21" s="1">
        <v>0</v>
      </c>
      <c r="J21" s="1">
        <v>0</v>
      </c>
      <c r="K21" s="1">
        <v>0</v>
      </c>
      <c r="L21" s="1">
        <v>0</v>
      </c>
      <c r="M21" s="1"/>
      <c r="N21" s="1"/>
    </row>
    <row r="22" spans="1:14" x14ac:dyDescent="0.25">
      <c r="A22" s="39" t="s">
        <v>73</v>
      </c>
      <c r="B22" s="1">
        <v>0</v>
      </c>
      <c r="C22" s="1">
        <v>0</v>
      </c>
      <c r="D22" s="1">
        <v>0</v>
      </c>
      <c r="E22" s="1">
        <v>0</v>
      </c>
      <c r="F22" s="1">
        <v>0</v>
      </c>
      <c r="G22" s="1">
        <v>0</v>
      </c>
      <c r="H22" s="1">
        <v>0</v>
      </c>
      <c r="I22" s="1">
        <v>0</v>
      </c>
      <c r="J22" s="1">
        <v>0</v>
      </c>
      <c r="K22" s="1">
        <v>0</v>
      </c>
      <c r="L22" s="1">
        <v>0</v>
      </c>
      <c r="M22" s="1"/>
      <c r="N22" s="1"/>
    </row>
    <row r="23" spans="1:14" x14ac:dyDescent="0.25">
      <c r="A23" s="39" t="s">
        <v>74</v>
      </c>
      <c r="B23" s="1">
        <v>0</v>
      </c>
      <c r="C23" s="1">
        <v>0</v>
      </c>
      <c r="D23" s="1">
        <v>0</v>
      </c>
      <c r="E23" s="1">
        <v>0</v>
      </c>
      <c r="F23" s="1">
        <v>0</v>
      </c>
      <c r="G23" s="1">
        <v>0</v>
      </c>
      <c r="H23" s="1">
        <v>0</v>
      </c>
      <c r="I23" s="1">
        <v>0</v>
      </c>
      <c r="J23" s="1">
        <v>0</v>
      </c>
      <c r="K23" s="1">
        <v>0</v>
      </c>
      <c r="L23" s="1">
        <v>0</v>
      </c>
      <c r="M23" s="1"/>
      <c r="N23" s="1"/>
    </row>
    <row r="24" spans="1:14" ht="16.5" thickBot="1" x14ac:dyDescent="0.3">
      <c r="B24" s="37"/>
      <c r="C24" s="37"/>
      <c r="D24" s="37"/>
      <c r="E24" s="37"/>
      <c r="F24" s="37"/>
      <c r="G24" s="37"/>
      <c r="H24" s="37"/>
      <c r="I24" s="37"/>
      <c r="J24" s="37"/>
      <c r="K24" s="37"/>
      <c r="L24" s="37"/>
      <c r="M24" s="1"/>
      <c r="N24" s="1"/>
    </row>
    <row r="25" spans="1:14" x14ac:dyDescent="0.25">
      <c r="A25" s="9" t="s">
        <v>20</v>
      </c>
      <c r="B25" s="1">
        <f>SUM(B20:B24)</f>
        <v>0</v>
      </c>
      <c r="C25" s="1">
        <f t="shared" ref="C25:K25" si="2">SUM(C20:C24)</f>
        <v>0</v>
      </c>
      <c r="D25" s="1">
        <f t="shared" si="2"/>
        <v>0</v>
      </c>
      <c r="E25" s="1">
        <f t="shared" si="2"/>
        <v>0</v>
      </c>
      <c r="F25" s="1">
        <f t="shared" si="2"/>
        <v>0</v>
      </c>
      <c r="G25" s="1">
        <f t="shared" si="2"/>
        <v>0</v>
      </c>
      <c r="H25" s="1">
        <f t="shared" si="2"/>
        <v>0</v>
      </c>
      <c r="I25" s="1">
        <f t="shared" si="2"/>
        <v>0</v>
      </c>
      <c r="J25" s="1">
        <f t="shared" si="2"/>
        <v>0</v>
      </c>
      <c r="K25" s="1">
        <f t="shared" si="2"/>
        <v>0</v>
      </c>
      <c r="L25" s="5">
        <f>SUM(L20:L24)</f>
        <v>0</v>
      </c>
      <c r="M25" s="1"/>
      <c r="N25" s="1"/>
    </row>
    <row r="26" spans="1:14" x14ac:dyDescent="0.25">
      <c r="A26" s="44" t="s">
        <v>67</v>
      </c>
      <c r="B26" s="1"/>
      <c r="C26" s="7" t="e">
        <f>(C25/B25)-1</f>
        <v>#DIV/0!</v>
      </c>
      <c r="D26" s="7" t="e">
        <f t="shared" ref="D26:L26" si="3">(D25/C25)-1</f>
        <v>#DIV/0!</v>
      </c>
      <c r="E26" s="7" t="e">
        <f t="shared" si="3"/>
        <v>#DIV/0!</v>
      </c>
      <c r="F26" s="7" t="e">
        <f t="shared" si="3"/>
        <v>#DIV/0!</v>
      </c>
      <c r="G26" s="7" t="e">
        <f t="shared" si="3"/>
        <v>#DIV/0!</v>
      </c>
      <c r="H26" s="7" t="e">
        <f t="shared" si="3"/>
        <v>#DIV/0!</v>
      </c>
      <c r="I26" s="7" t="e">
        <f t="shared" si="3"/>
        <v>#DIV/0!</v>
      </c>
      <c r="J26" s="7" t="e">
        <f>(J25/I25)-1</f>
        <v>#DIV/0!</v>
      </c>
      <c r="K26" s="7" t="e">
        <f t="shared" si="3"/>
        <v>#DIV/0!</v>
      </c>
      <c r="L26" s="7" t="e">
        <f t="shared" si="3"/>
        <v>#DIV/0!</v>
      </c>
      <c r="M26" s="1"/>
      <c r="N26" s="1"/>
    </row>
    <row r="27" spans="1:14" x14ac:dyDescent="0.25">
      <c r="A27" s="46" t="s">
        <v>69</v>
      </c>
      <c r="B27" s="1"/>
      <c r="C27" s="1"/>
      <c r="D27" s="1"/>
      <c r="E27" s="1"/>
      <c r="F27" s="1"/>
      <c r="G27" s="1"/>
      <c r="H27" s="1"/>
      <c r="I27" s="1"/>
      <c r="J27" s="1"/>
      <c r="K27" s="1"/>
      <c r="L27" s="23" t="e">
        <f>(L25/G25)-1</f>
        <v>#DIV/0!</v>
      </c>
      <c r="M27" s="1"/>
      <c r="N27" s="1"/>
    </row>
    <row r="28" spans="1:14" x14ac:dyDescent="0.25">
      <c r="B28" s="1"/>
      <c r="C28" s="1"/>
      <c r="D28" s="1"/>
      <c r="E28" s="1"/>
      <c r="F28" s="1"/>
      <c r="G28" s="1"/>
      <c r="H28" s="1"/>
      <c r="I28" s="1"/>
      <c r="J28" s="1"/>
      <c r="K28" s="1"/>
      <c r="L28" s="1"/>
      <c r="M28" s="1"/>
      <c r="N28" s="1"/>
    </row>
    <row r="29" spans="1:14" x14ac:dyDescent="0.25">
      <c r="A29" s="74" t="s">
        <v>88</v>
      </c>
      <c r="B29" s="1"/>
      <c r="C29" s="1"/>
      <c r="D29" s="1"/>
      <c r="E29" s="1"/>
      <c r="F29" s="1"/>
      <c r="G29" s="1"/>
      <c r="H29" s="1"/>
      <c r="I29" s="1"/>
      <c r="J29" s="1"/>
      <c r="K29" s="1"/>
      <c r="L29" s="1"/>
    </row>
    <row r="30" spans="1:14" ht="16.5" thickBot="1" x14ac:dyDescent="0.3">
      <c r="A30" s="61"/>
      <c r="B30" s="37">
        <v>0</v>
      </c>
      <c r="C30" s="37">
        <v>0</v>
      </c>
      <c r="D30" s="37">
        <v>0</v>
      </c>
      <c r="E30" s="37">
        <v>0</v>
      </c>
      <c r="F30" s="37">
        <v>0</v>
      </c>
      <c r="G30" s="37">
        <v>0</v>
      </c>
      <c r="H30" s="37">
        <v>0</v>
      </c>
      <c r="I30" s="37">
        <v>0</v>
      </c>
      <c r="J30" s="37">
        <v>0</v>
      </c>
      <c r="K30" s="37">
        <v>0</v>
      </c>
      <c r="L30" s="37">
        <v>0</v>
      </c>
    </row>
    <row r="31" spans="1:14" x14ac:dyDescent="0.25">
      <c r="A31" s="45" t="s">
        <v>96</v>
      </c>
      <c r="B31" s="1">
        <f>B30</f>
        <v>0</v>
      </c>
      <c r="C31" s="1">
        <f t="shared" ref="C31:L31" si="4">C30</f>
        <v>0</v>
      </c>
      <c r="D31" s="1">
        <f t="shared" si="4"/>
        <v>0</v>
      </c>
      <c r="E31" s="1">
        <f t="shared" si="4"/>
        <v>0</v>
      </c>
      <c r="F31" s="1">
        <f t="shared" si="4"/>
        <v>0</v>
      </c>
      <c r="G31" s="1">
        <f t="shared" si="4"/>
        <v>0</v>
      </c>
      <c r="H31" s="1">
        <f t="shared" si="4"/>
        <v>0</v>
      </c>
      <c r="I31" s="1">
        <f t="shared" si="4"/>
        <v>0</v>
      </c>
      <c r="J31" s="1">
        <f t="shared" si="4"/>
        <v>0</v>
      </c>
      <c r="K31" s="1">
        <f t="shared" si="4"/>
        <v>0</v>
      </c>
      <c r="L31" s="1">
        <f t="shared" si="4"/>
        <v>0</v>
      </c>
    </row>
    <row r="32" spans="1:14" x14ac:dyDescent="0.25">
      <c r="B32" s="1"/>
      <c r="C32" s="1"/>
      <c r="D32" s="1"/>
      <c r="E32" s="1"/>
      <c r="F32" s="1"/>
      <c r="G32" s="1"/>
      <c r="H32" s="1"/>
      <c r="I32" s="1"/>
      <c r="J32" s="1"/>
      <c r="K32" s="1"/>
      <c r="L32" s="1"/>
    </row>
    <row r="33" spans="1:14" x14ac:dyDescent="0.25">
      <c r="A33" s="73" t="s">
        <v>93</v>
      </c>
      <c r="B33" s="1"/>
      <c r="C33" s="1"/>
      <c r="D33" s="1"/>
      <c r="E33" s="1"/>
      <c r="F33" s="1"/>
      <c r="G33" s="1"/>
      <c r="H33" s="1"/>
      <c r="I33" s="1"/>
      <c r="J33" s="1"/>
      <c r="K33" s="1"/>
      <c r="L33" s="1"/>
    </row>
    <row r="34" spans="1:14" ht="16.5" thickBot="1" x14ac:dyDescent="0.3">
      <c r="A34" s="61"/>
      <c r="B34" s="37">
        <v>0</v>
      </c>
      <c r="C34" s="37">
        <v>0</v>
      </c>
      <c r="D34" s="37">
        <v>0</v>
      </c>
      <c r="E34" s="37">
        <v>0</v>
      </c>
      <c r="F34" s="37">
        <v>0</v>
      </c>
      <c r="G34" s="37">
        <v>0</v>
      </c>
      <c r="H34" s="37">
        <v>0</v>
      </c>
      <c r="I34" s="37">
        <v>0</v>
      </c>
      <c r="J34" s="37">
        <v>0</v>
      </c>
      <c r="K34" s="37">
        <v>0</v>
      </c>
      <c r="L34" s="37">
        <v>0</v>
      </c>
    </row>
    <row r="35" spans="1:14" x14ac:dyDescent="0.25">
      <c r="A35" s="45" t="s">
        <v>94</v>
      </c>
      <c r="B35" s="57">
        <f>B34</f>
        <v>0</v>
      </c>
      <c r="C35" s="57">
        <f t="shared" ref="C35:L35" si="5">C34</f>
        <v>0</v>
      </c>
      <c r="D35" s="57">
        <f t="shared" si="5"/>
        <v>0</v>
      </c>
      <c r="E35" s="57">
        <f t="shared" si="5"/>
        <v>0</v>
      </c>
      <c r="F35" s="57">
        <f t="shared" si="5"/>
        <v>0</v>
      </c>
      <c r="G35" s="57">
        <f t="shared" si="5"/>
        <v>0</v>
      </c>
      <c r="H35" s="57">
        <f t="shared" si="5"/>
        <v>0</v>
      </c>
      <c r="I35" s="57">
        <f t="shared" si="5"/>
        <v>0</v>
      </c>
      <c r="J35" s="57">
        <f t="shared" si="5"/>
        <v>0</v>
      </c>
      <c r="K35" s="57">
        <f t="shared" si="5"/>
        <v>0</v>
      </c>
      <c r="L35" s="57">
        <f t="shared" si="5"/>
        <v>0</v>
      </c>
    </row>
    <row r="36" spans="1:14" x14ac:dyDescent="0.25">
      <c r="B36" s="1"/>
      <c r="C36" s="1"/>
      <c r="D36" s="1"/>
      <c r="E36" s="1"/>
      <c r="F36" s="1"/>
      <c r="G36" s="1"/>
      <c r="H36" s="1"/>
      <c r="I36" s="1"/>
      <c r="J36" s="1"/>
      <c r="K36" s="1"/>
      <c r="L36" s="1"/>
      <c r="M36" s="1"/>
      <c r="N36" s="1"/>
    </row>
    <row r="37" spans="1:14" x14ac:dyDescent="0.25">
      <c r="A37" s="63" t="s">
        <v>78</v>
      </c>
      <c r="B37" s="1"/>
      <c r="C37" s="1"/>
      <c r="D37" s="1"/>
      <c r="E37" s="1"/>
      <c r="F37" s="1"/>
      <c r="G37" s="1"/>
      <c r="H37" s="1"/>
      <c r="I37" s="1"/>
      <c r="J37" s="1"/>
      <c r="K37" s="1"/>
      <c r="L37" s="1"/>
      <c r="M37" s="1"/>
      <c r="N37" s="1"/>
    </row>
    <row r="38" spans="1:14" ht="16.5" thickBot="1" x14ac:dyDescent="0.3">
      <c r="B38" s="37">
        <v>0</v>
      </c>
      <c r="C38" s="37">
        <v>0</v>
      </c>
      <c r="D38" s="37">
        <v>0</v>
      </c>
      <c r="E38" s="37">
        <v>0</v>
      </c>
      <c r="F38" s="37">
        <v>0</v>
      </c>
      <c r="G38" s="37">
        <v>0</v>
      </c>
      <c r="H38" s="37">
        <v>0</v>
      </c>
      <c r="I38" s="37">
        <v>0</v>
      </c>
      <c r="J38" s="37">
        <v>0</v>
      </c>
      <c r="K38" s="37">
        <v>0</v>
      </c>
      <c r="L38" s="37">
        <v>0</v>
      </c>
      <c r="M38" s="1"/>
      <c r="N38" s="1"/>
    </row>
    <row r="39" spans="1:14" x14ac:dyDescent="0.25">
      <c r="A39" s="45" t="s">
        <v>91</v>
      </c>
      <c r="B39" s="1">
        <f>B38</f>
        <v>0</v>
      </c>
      <c r="C39" s="1">
        <f t="shared" ref="C39:L39" si="6">C38</f>
        <v>0</v>
      </c>
      <c r="D39" s="1">
        <f t="shared" si="6"/>
        <v>0</v>
      </c>
      <c r="E39" s="1">
        <f t="shared" si="6"/>
        <v>0</v>
      </c>
      <c r="F39" s="1">
        <f t="shared" si="6"/>
        <v>0</v>
      </c>
      <c r="G39" s="1">
        <f t="shared" si="6"/>
        <v>0</v>
      </c>
      <c r="H39" s="1">
        <f t="shared" si="6"/>
        <v>0</v>
      </c>
      <c r="I39" s="1">
        <f t="shared" si="6"/>
        <v>0</v>
      </c>
      <c r="J39" s="1">
        <f t="shared" si="6"/>
        <v>0</v>
      </c>
      <c r="K39" s="1">
        <f t="shared" si="6"/>
        <v>0</v>
      </c>
      <c r="L39" s="1">
        <f t="shared" si="6"/>
        <v>0</v>
      </c>
      <c r="M39" s="1"/>
      <c r="N39" s="1"/>
    </row>
    <row r="40" spans="1:14" x14ac:dyDescent="0.25">
      <c r="B40" s="1"/>
      <c r="C40" s="1"/>
      <c r="D40" s="1"/>
      <c r="E40" s="1"/>
      <c r="F40" s="1"/>
      <c r="G40" s="1"/>
      <c r="H40" s="1"/>
      <c r="I40" s="1"/>
      <c r="J40" s="1"/>
      <c r="K40" s="1"/>
      <c r="L40" s="1"/>
      <c r="M40" s="1"/>
      <c r="N40" s="1"/>
    </row>
    <row r="41" spans="1:14" x14ac:dyDescent="0.25">
      <c r="A41" s="63" t="s">
        <v>102</v>
      </c>
      <c r="B41" s="77">
        <f t="shared" ref="B41:L41" si="7">B25+B31+B35+B39</f>
        <v>0</v>
      </c>
      <c r="C41" s="77">
        <f t="shared" si="7"/>
        <v>0</v>
      </c>
      <c r="D41" s="77">
        <f t="shared" si="7"/>
        <v>0</v>
      </c>
      <c r="E41" s="77">
        <f t="shared" si="7"/>
        <v>0</v>
      </c>
      <c r="F41" s="77">
        <f t="shared" si="7"/>
        <v>0</v>
      </c>
      <c r="G41" s="77">
        <f t="shared" si="7"/>
        <v>0</v>
      </c>
      <c r="H41" s="77">
        <f t="shared" si="7"/>
        <v>0</v>
      </c>
      <c r="I41" s="77">
        <f t="shared" si="7"/>
        <v>0</v>
      </c>
      <c r="J41" s="77">
        <f t="shared" si="7"/>
        <v>0</v>
      </c>
      <c r="K41" s="77">
        <f t="shared" si="7"/>
        <v>0</v>
      </c>
      <c r="L41" s="77">
        <f t="shared" si="7"/>
        <v>0</v>
      </c>
      <c r="M41" s="1"/>
      <c r="N41" s="1"/>
    </row>
    <row r="42" spans="1:14" x14ac:dyDescent="0.25">
      <c r="B42" s="1"/>
      <c r="C42" s="1"/>
      <c r="D42" s="1"/>
      <c r="E42" s="1"/>
      <c r="F42" s="1"/>
      <c r="G42" s="1"/>
      <c r="H42" s="1"/>
      <c r="I42" s="1"/>
      <c r="J42" s="1"/>
      <c r="K42" s="1"/>
      <c r="L42" s="1"/>
      <c r="M42" s="1"/>
      <c r="N42" s="1"/>
    </row>
    <row r="43" spans="1:14" x14ac:dyDescent="0.25">
      <c r="A43" s="75" t="s">
        <v>99</v>
      </c>
      <c r="B43" s="79">
        <v>0</v>
      </c>
      <c r="C43" s="79">
        <v>0</v>
      </c>
      <c r="D43" s="79">
        <v>0</v>
      </c>
      <c r="E43" s="79">
        <v>0</v>
      </c>
      <c r="F43" s="79">
        <v>0</v>
      </c>
      <c r="G43" s="79">
        <v>0</v>
      </c>
      <c r="H43" s="79">
        <v>0</v>
      </c>
      <c r="I43" s="79">
        <v>0</v>
      </c>
      <c r="J43" s="79">
        <v>0</v>
      </c>
      <c r="K43" s="79">
        <v>0</v>
      </c>
      <c r="L43" s="79">
        <v>0</v>
      </c>
      <c r="M43" s="1"/>
      <c r="N43" s="1"/>
    </row>
    <row r="44" spans="1:14" x14ac:dyDescent="0.25">
      <c r="A44" s="75"/>
      <c r="M44" s="1"/>
      <c r="N44" s="1"/>
    </row>
    <row r="45" spans="1:14" x14ac:dyDescent="0.25">
      <c r="A45" s="76" t="s">
        <v>103</v>
      </c>
      <c r="B45" s="78">
        <f>B41+B43</f>
        <v>0</v>
      </c>
      <c r="C45" s="78">
        <f t="shared" ref="C45:L45" si="8">C41+C43</f>
        <v>0</v>
      </c>
      <c r="D45" s="78">
        <f t="shared" si="8"/>
        <v>0</v>
      </c>
      <c r="E45" s="78">
        <f t="shared" si="8"/>
        <v>0</v>
      </c>
      <c r="F45" s="78">
        <f t="shared" si="8"/>
        <v>0</v>
      </c>
      <c r="G45" s="78">
        <f t="shared" si="8"/>
        <v>0</v>
      </c>
      <c r="H45" s="78">
        <f t="shared" si="8"/>
        <v>0</v>
      </c>
      <c r="I45" s="78">
        <f t="shared" si="8"/>
        <v>0</v>
      </c>
      <c r="J45" s="78">
        <f t="shared" si="8"/>
        <v>0</v>
      </c>
      <c r="K45" s="78">
        <f t="shared" si="8"/>
        <v>0</v>
      </c>
      <c r="L45" s="78">
        <f t="shared" si="8"/>
        <v>0</v>
      </c>
      <c r="M45" s="1"/>
      <c r="N45" s="1"/>
    </row>
    <row r="46" spans="1:14" x14ac:dyDescent="0.25">
      <c r="B46" s="1"/>
      <c r="C46" s="1"/>
      <c r="D46" s="1"/>
      <c r="E46" s="1"/>
      <c r="F46" s="1"/>
      <c r="G46" s="1"/>
      <c r="H46" s="1"/>
      <c r="I46" s="1"/>
      <c r="J46" s="1"/>
      <c r="K46" s="1"/>
      <c r="L46" s="1"/>
      <c r="M46" s="1"/>
      <c r="N46" s="1"/>
    </row>
    <row r="47" spans="1:14" x14ac:dyDescent="0.25">
      <c r="B47" s="1"/>
      <c r="C47" s="1"/>
      <c r="D47" s="1"/>
      <c r="E47" s="1"/>
      <c r="F47" s="1"/>
      <c r="G47" s="1"/>
      <c r="H47" s="1"/>
      <c r="I47" s="1"/>
      <c r="J47" s="1"/>
      <c r="K47" s="1"/>
      <c r="L47" s="1"/>
      <c r="M47" s="1"/>
      <c r="N47" s="1"/>
    </row>
    <row r="48" spans="1:14" x14ac:dyDescent="0.25">
      <c r="A48" s="89" t="s">
        <v>110</v>
      </c>
      <c r="B48" s="2"/>
      <c r="C48" s="2"/>
      <c r="D48" s="2"/>
      <c r="E48" s="2"/>
      <c r="F48" s="2"/>
      <c r="G48" s="2"/>
      <c r="H48" s="2"/>
      <c r="I48" s="2"/>
      <c r="J48" s="2"/>
      <c r="K48" s="2"/>
      <c r="L48" s="2"/>
      <c r="M48" s="1"/>
      <c r="N48" s="1"/>
    </row>
    <row r="49" spans="1:14" x14ac:dyDescent="0.25">
      <c r="A49" s="10" t="s">
        <v>92</v>
      </c>
      <c r="B49" s="3">
        <v>0</v>
      </c>
      <c r="C49" s="3">
        <v>0</v>
      </c>
      <c r="D49" s="3">
        <v>0</v>
      </c>
      <c r="E49" s="3">
        <v>0</v>
      </c>
      <c r="F49" s="3">
        <v>0</v>
      </c>
      <c r="G49" s="3">
        <v>0</v>
      </c>
      <c r="H49" s="3">
        <v>0</v>
      </c>
      <c r="I49" s="3">
        <v>0</v>
      </c>
      <c r="J49" s="3">
        <v>0</v>
      </c>
      <c r="K49" s="3">
        <v>0</v>
      </c>
      <c r="L49" s="3">
        <v>0</v>
      </c>
      <c r="M49" s="1"/>
      <c r="N49" s="1"/>
    </row>
    <row r="50" spans="1:14" x14ac:dyDescent="0.25">
      <c r="A50" s="83" t="s">
        <v>88</v>
      </c>
      <c r="B50" s="3">
        <v>0</v>
      </c>
      <c r="C50" s="3">
        <v>0</v>
      </c>
      <c r="D50" s="3">
        <v>0</v>
      </c>
      <c r="E50" s="3">
        <v>0</v>
      </c>
      <c r="F50" s="3">
        <v>0</v>
      </c>
      <c r="G50" s="3">
        <v>0</v>
      </c>
      <c r="H50" s="3">
        <v>0</v>
      </c>
      <c r="I50" s="3">
        <v>0</v>
      </c>
      <c r="J50" s="3">
        <v>0</v>
      </c>
      <c r="K50" s="3">
        <v>0</v>
      </c>
      <c r="L50" s="3">
        <v>0</v>
      </c>
      <c r="M50" s="1"/>
      <c r="N50" s="1"/>
    </row>
    <row r="51" spans="1:14" x14ac:dyDescent="0.25">
      <c r="A51" s="81" t="s">
        <v>93</v>
      </c>
      <c r="B51" s="3">
        <v>0</v>
      </c>
      <c r="C51" s="3">
        <v>0</v>
      </c>
      <c r="D51" s="3">
        <v>0</v>
      </c>
      <c r="E51" s="3">
        <v>0</v>
      </c>
      <c r="F51" s="3">
        <v>0</v>
      </c>
      <c r="G51" s="3">
        <v>0</v>
      </c>
      <c r="H51" s="3">
        <v>0</v>
      </c>
      <c r="I51" s="3">
        <v>0</v>
      </c>
      <c r="J51" s="3">
        <v>0</v>
      </c>
      <c r="K51" s="3">
        <v>0</v>
      </c>
      <c r="L51" s="3">
        <v>0</v>
      </c>
      <c r="M51" s="1"/>
      <c r="N51" s="1"/>
    </row>
    <row r="52" spans="1:14" ht="16.5" thickBot="1" x14ac:dyDescent="0.3">
      <c r="A52" s="63" t="s">
        <v>78</v>
      </c>
      <c r="B52" s="62">
        <v>0</v>
      </c>
      <c r="C52" s="62">
        <v>0</v>
      </c>
      <c r="D52" s="62">
        <v>0</v>
      </c>
      <c r="E52" s="62">
        <v>0</v>
      </c>
      <c r="F52" s="62">
        <v>0</v>
      </c>
      <c r="G52" s="62">
        <v>0</v>
      </c>
      <c r="H52" s="62">
        <v>0</v>
      </c>
      <c r="I52" s="62">
        <v>0</v>
      </c>
      <c r="J52" s="62">
        <v>0</v>
      </c>
      <c r="K52" s="62">
        <v>0</v>
      </c>
      <c r="L52" s="62">
        <v>0</v>
      </c>
      <c r="M52" s="1"/>
      <c r="N52" s="1"/>
    </row>
    <row r="53" spans="1:14" x14ac:dyDescent="0.25">
      <c r="A53" s="82" t="s">
        <v>109</v>
      </c>
      <c r="B53" s="3">
        <f>SUM(B49:B52)</f>
        <v>0</v>
      </c>
      <c r="C53" s="3">
        <f t="shared" ref="C53:L53" si="9">SUM(C49:C52)</f>
        <v>0</v>
      </c>
      <c r="D53" s="3">
        <f t="shared" si="9"/>
        <v>0</v>
      </c>
      <c r="E53" s="3">
        <f t="shared" si="9"/>
        <v>0</v>
      </c>
      <c r="F53" s="3">
        <f t="shared" si="9"/>
        <v>0</v>
      </c>
      <c r="G53" s="3">
        <f t="shared" si="9"/>
        <v>0</v>
      </c>
      <c r="H53" s="3">
        <f t="shared" si="9"/>
        <v>0</v>
      </c>
      <c r="I53" s="3">
        <f t="shared" si="9"/>
        <v>0</v>
      </c>
      <c r="J53" s="3">
        <f t="shared" si="9"/>
        <v>0</v>
      </c>
      <c r="K53" s="3">
        <f t="shared" si="9"/>
        <v>0</v>
      </c>
      <c r="L53" s="3">
        <f t="shared" si="9"/>
        <v>0</v>
      </c>
      <c r="M53" s="1"/>
      <c r="N53" s="1"/>
    </row>
    <row r="54" spans="1:14" x14ac:dyDescent="0.25">
      <c r="A54" s="2"/>
      <c r="B54" s="2"/>
      <c r="C54" s="2"/>
      <c r="D54" s="2"/>
      <c r="E54" s="2"/>
      <c r="F54" s="2"/>
      <c r="G54" s="2"/>
      <c r="H54" s="2"/>
      <c r="I54" s="2"/>
      <c r="J54" s="2"/>
      <c r="K54" s="2"/>
      <c r="L54" s="2"/>
      <c r="M54" s="1"/>
      <c r="N54" s="1"/>
    </row>
    <row r="55" spans="1:14" x14ac:dyDescent="0.25">
      <c r="A55" s="75" t="s">
        <v>99</v>
      </c>
      <c r="B55" s="84" t="s">
        <v>95</v>
      </c>
      <c r="C55" s="84" t="s">
        <v>95</v>
      </c>
      <c r="D55" s="84" t="s">
        <v>95</v>
      </c>
      <c r="E55" s="84" t="s">
        <v>95</v>
      </c>
      <c r="F55" s="84" t="s">
        <v>95</v>
      </c>
      <c r="G55" s="84" t="s">
        <v>95</v>
      </c>
      <c r="H55" s="84" t="s">
        <v>95</v>
      </c>
      <c r="I55" s="84" t="s">
        <v>95</v>
      </c>
      <c r="J55" s="84" t="s">
        <v>95</v>
      </c>
      <c r="K55" s="84" t="s">
        <v>95</v>
      </c>
      <c r="L55" s="84" t="s">
        <v>95</v>
      </c>
      <c r="M55" s="1"/>
      <c r="N55" s="1"/>
    </row>
    <row r="56" spans="1:14" x14ac:dyDescent="0.25">
      <c r="A56" s="75"/>
      <c r="B56" s="2"/>
      <c r="C56" s="2"/>
      <c r="D56" s="2"/>
      <c r="E56" s="2"/>
      <c r="F56" s="2"/>
      <c r="G56" s="2"/>
      <c r="H56" s="2"/>
      <c r="I56" s="2"/>
      <c r="J56" s="2"/>
      <c r="K56" s="2"/>
      <c r="L56" s="2"/>
      <c r="M56" s="1"/>
      <c r="N56" s="1"/>
    </row>
    <row r="57" spans="1:14" x14ac:dyDescent="0.25">
      <c r="A57" s="76" t="s">
        <v>111</v>
      </c>
      <c r="B57" s="85">
        <v>0</v>
      </c>
      <c r="C57" s="85">
        <v>0</v>
      </c>
      <c r="D57" s="85">
        <v>0</v>
      </c>
      <c r="E57" s="85">
        <v>0</v>
      </c>
      <c r="F57" s="85">
        <v>0</v>
      </c>
      <c r="G57" s="85">
        <v>0</v>
      </c>
      <c r="H57" s="85">
        <v>0</v>
      </c>
      <c r="I57" s="85">
        <v>0</v>
      </c>
      <c r="J57" s="85">
        <v>0</v>
      </c>
      <c r="K57" s="85">
        <v>0</v>
      </c>
      <c r="L57" s="85">
        <v>0</v>
      </c>
      <c r="M57" s="1"/>
      <c r="N57" s="1"/>
    </row>
    <row r="59" spans="1:14" x14ac:dyDescent="0.25">
      <c r="B59" s="1"/>
      <c r="C59" s="1"/>
      <c r="D59" s="1"/>
      <c r="E59" s="1"/>
      <c r="F59" s="1"/>
      <c r="G59" s="1"/>
      <c r="H59" s="1"/>
      <c r="I59" s="1"/>
      <c r="J59" s="1"/>
      <c r="K59" s="1"/>
      <c r="L59" s="1"/>
      <c r="M59" s="1"/>
      <c r="N59" s="1"/>
    </row>
    <row r="60" spans="1:14" x14ac:dyDescent="0.25">
      <c r="A60" s="9" t="s">
        <v>21</v>
      </c>
      <c r="B60" s="12">
        <f>Stats!C4</f>
        <v>64690</v>
      </c>
      <c r="C60" s="12">
        <f>Stats!D4</f>
        <v>63162</v>
      </c>
      <c r="D60" s="12">
        <f>Stats!E4</f>
        <v>67742</v>
      </c>
      <c r="E60" s="12">
        <f>Stats!F4</f>
        <v>68761</v>
      </c>
      <c r="F60" s="12">
        <f>Stats!G4</f>
        <v>69341</v>
      </c>
      <c r="G60" s="12">
        <f>Stats!H4</f>
        <v>70370</v>
      </c>
      <c r="H60" s="12">
        <f>Stats!I4</f>
        <v>71027</v>
      </c>
      <c r="I60" s="12">
        <f>Stats!J4</f>
        <v>73420</v>
      </c>
      <c r="J60" s="47">
        <f>Stats!K4</f>
        <v>74385</v>
      </c>
      <c r="K60" s="47">
        <f>Stats!L4</f>
        <v>75840</v>
      </c>
      <c r="L60" s="47">
        <f>Stats!M4</f>
        <v>77262</v>
      </c>
      <c r="M60" s="1"/>
      <c r="N60" s="1"/>
    </row>
    <row r="61" spans="1:14" x14ac:dyDescent="0.25">
      <c r="A61" s="9" t="s">
        <v>23</v>
      </c>
    </row>
    <row r="62" spans="1:14" x14ac:dyDescent="0.25">
      <c r="A62" s="9" t="s">
        <v>22</v>
      </c>
      <c r="B62" s="1"/>
      <c r="C62" s="1"/>
      <c r="D62" s="1"/>
      <c r="E62" s="1"/>
      <c r="F62" s="1"/>
      <c r="G62" s="1"/>
      <c r="H62" s="1"/>
      <c r="I62" s="1"/>
      <c r="J62" s="1"/>
      <c r="K62" s="1"/>
      <c r="L62" s="1"/>
      <c r="M62" s="1"/>
      <c r="N62" s="1"/>
    </row>
    <row r="63" spans="1:14" x14ac:dyDescent="0.25">
      <c r="A63" s="9" t="s">
        <v>60</v>
      </c>
      <c r="B63" s="15"/>
      <c r="C63" s="15"/>
      <c r="D63" s="15"/>
      <c r="E63" s="15"/>
      <c r="F63" s="15"/>
      <c r="G63" s="15"/>
      <c r="H63" s="15"/>
      <c r="I63" s="15"/>
      <c r="J63" s="15"/>
      <c r="K63" s="15"/>
      <c r="L63" s="15"/>
      <c r="M63" s="1"/>
      <c r="N63" s="1"/>
    </row>
    <row r="64" spans="1:14" x14ac:dyDescent="0.25">
      <c r="A64" s="39" t="s">
        <v>71</v>
      </c>
      <c r="B64" s="22">
        <v>0</v>
      </c>
      <c r="C64" s="22">
        <v>0</v>
      </c>
      <c r="D64" s="22">
        <v>0</v>
      </c>
      <c r="E64" s="22">
        <v>0</v>
      </c>
      <c r="F64" s="22">
        <v>0</v>
      </c>
      <c r="G64" s="22">
        <v>0</v>
      </c>
      <c r="H64" s="22">
        <v>0</v>
      </c>
      <c r="I64" s="22">
        <v>0</v>
      </c>
      <c r="J64" s="22">
        <v>0</v>
      </c>
      <c r="K64" s="22">
        <v>0</v>
      </c>
      <c r="L64" s="22">
        <v>0</v>
      </c>
      <c r="M64" s="1"/>
      <c r="N64" s="1"/>
    </row>
    <row r="65" spans="1:14" x14ac:dyDescent="0.25">
      <c r="A65" s="39" t="s">
        <v>72</v>
      </c>
      <c r="B65" s="22">
        <v>0</v>
      </c>
      <c r="C65" s="22">
        <v>0</v>
      </c>
      <c r="D65" s="22">
        <v>0</v>
      </c>
      <c r="E65" s="22">
        <v>0</v>
      </c>
      <c r="F65" s="22">
        <v>0</v>
      </c>
      <c r="G65" s="22">
        <v>0</v>
      </c>
      <c r="H65" s="22">
        <v>0</v>
      </c>
      <c r="I65" s="22">
        <v>0</v>
      </c>
      <c r="J65" s="22">
        <v>0</v>
      </c>
      <c r="K65" s="22">
        <v>0</v>
      </c>
      <c r="L65" s="22">
        <v>0</v>
      </c>
      <c r="M65" s="1"/>
      <c r="N65" s="1"/>
    </row>
    <row r="66" spans="1:14" x14ac:dyDescent="0.25">
      <c r="A66" s="39" t="s">
        <v>73</v>
      </c>
      <c r="B66" s="22">
        <v>0</v>
      </c>
      <c r="C66" s="22">
        <v>0</v>
      </c>
      <c r="D66" s="22">
        <v>0</v>
      </c>
      <c r="E66" s="22">
        <v>0</v>
      </c>
      <c r="F66" s="22">
        <v>0</v>
      </c>
      <c r="G66" s="22">
        <v>0</v>
      </c>
      <c r="H66" s="22">
        <v>0</v>
      </c>
      <c r="I66" s="22">
        <v>0</v>
      </c>
      <c r="J66" s="22">
        <v>0</v>
      </c>
      <c r="K66" s="22">
        <v>0</v>
      </c>
      <c r="L66" s="22">
        <v>0</v>
      </c>
      <c r="M66" s="1"/>
      <c r="N66" s="1"/>
    </row>
    <row r="67" spans="1:14" ht="16.5" thickBot="1" x14ac:dyDescent="0.3">
      <c r="A67" s="39" t="s">
        <v>74</v>
      </c>
      <c r="B67" s="34">
        <v>0</v>
      </c>
      <c r="C67" s="34">
        <v>0</v>
      </c>
      <c r="D67" s="34">
        <v>0</v>
      </c>
      <c r="E67" s="34">
        <v>0</v>
      </c>
      <c r="F67" s="34">
        <v>0</v>
      </c>
      <c r="G67" s="34">
        <v>0</v>
      </c>
      <c r="H67" s="34">
        <v>0</v>
      </c>
      <c r="I67" s="34">
        <v>0</v>
      </c>
      <c r="J67" s="34">
        <v>0</v>
      </c>
      <c r="K67" s="34">
        <v>0</v>
      </c>
      <c r="L67" s="34">
        <v>0</v>
      </c>
      <c r="M67" s="1"/>
      <c r="N67" s="1"/>
    </row>
    <row r="68" spans="1:14" s="17" customFormat="1" x14ac:dyDescent="0.25">
      <c r="A68" s="45" t="s">
        <v>61</v>
      </c>
      <c r="B68" s="33">
        <f t="shared" ref="B68:L68" si="10">SUM(B64:B67)</f>
        <v>0</v>
      </c>
      <c r="C68" s="33">
        <f t="shared" si="10"/>
        <v>0</v>
      </c>
      <c r="D68" s="33">
        <f t="shared" si="10"/>
        <v>0</v>
      </c>
      <c r="E68" s="33">
        <f t="shared" si="10"/>
        <v>0</v>
      </c>
      <c r="F68" s="33">
        <f t="shared" si="10"/>
        <v>0</v>
      </c>
      <c r="G68" s="33">
        <f t="shared" si="10"/>
        <v>0</v>
      </c>
      <c r="H68" s="33">
        <f t="shared" si="10"/>
        <v>0</v>
      </c>
      <c r="I68" s="33">
        <f t="shared" si="10"/>
        <v>0</v>
      </c>
      <c r="J68" s="33">
        <f t="shared" si="10"/>
        <v>0</v>
      </c>
      <c r="K68" s="33">
        <f t="shared" si="10"/>
        <v>0</v>
      </c>
      <c r="L68" s="33">
        <f t="shared" si="10"/>
        <v>0</v>
      </c>
      <c r="M68" s="32"/>
      <c r="N68" s="32"/>
    </row>
    <row r="69" spans="1:14" x14ac:dyDescent="0.25">
      <c r="A69" s="44" t="s">
        <v>67</v>
      </c>
      <c r="B69" s="15"/>
      <c r="C69" s="35" t="e">
        <f>C68/B68</f>
        <v>#DIV/0!</v>
      </c>
      <c r="D69" s="35" t="e">
        <f t="shared" ref="D69:L69" si="11">D68/C68</f>
        <v>#DIV/0!</v>
      </c>
      <c r="E69" s="35" t="e">
        <f t="shared" si="11"/>
        <v>#DIV/0!</v>
      </c>
      <c r="F69" s="35" t="e">
        <f t="shared" si="11"/>
        <v>#DIV/0!</v>
      </c>
      <c r="G69" s="35" t="e">
        <f t="shared" si="11"/>
        <v>#DIV/0!</v>
      </c>
      <c r="H69" s="35" t="e">
        <f t="shared" si="11"/>
        <v>#DIV/0!</v>
      </c>
      <c r="I69" s="35" t="e">
        <f t="shared" si="11"/>
        <v>#DIV/0!</v>
      </c>
      <c r="J69" s="35" t="e">
        <f>J68/#REF!</f>
        <v>#REF!</v>
      </c>
      <c r="K69" s="35" t="e">
        <f t="shared" si="11"/>
        <v>#DIV/0!</v>
      </c>
      <c r="L69" s="35" t="e">
        <f t="shared" si="11"/>
        <v>#DIV/0!</v>
      </c>
      <c r="M69" s="1"/>
      <c r="N69" s="1"/>
    </row>
    <row r="70" spans="1:14" x14ac:dyDescent="0.25">
      <c r="A70" s="18"/>
      <c r="B70" s="15"/>
      <c r="C70" s="35"/>
      <c r="D70" s="35"/>
      <c r="E70" s="35"/>
      <c r="F70" s="35"/>
      <c r="G70" s="35"/>
      <c r="H70" s="35"/>
      <c r="I70" s="35"/>
      <c r="J70" s="35"/>
      <c r="K70" s="35"/>
      <c r="L70" s="35"/>
      <c r="M70" s="1"/>
      <c r="N70" s="1"/>
    </row>
    <row r="71" spans="1:14" x14ac:dyDescent="0.25">
      <c r="B71" s="1"/>
      <c r="C71" s="1"/>
      <c r="D71" s="1"/>
      <c r="E71" s="1"/>
      <c r="F71" s="1"/>
      <c r="G71" s="1"/>
      <c r="H71" s="1"/>
      <c r="I71" s="1"/>
      <c r="J71" s="1"/>
      <c r="K71" s="1"/>
      <c r="L71" s="1"/>
      <c r="M71" s="1"/>
      <c r="N71" s="1"/>
    </row>
    <row r="72" spans="1:14" ht="18.75" x14ac:dyDescent="0.3">
      <c r="A72" s="36" t="s">
        <v>26</v>
      </c>
      <c r="B72" s="1"/>
      <c r="C72" s="1"/>
      <c r="D72" s="1"/>
      <c r="E72" s="1"/>
      <c r="F72" s="1"/>
      <c r="G72" s="1"/>
      <c r="H72" s="1"/>
      <c r="I72" s="1"/>
      <c r="J72" s="1"/>
      <c r="K72" s="1"/>
      <c r="L72" s="1"/>
      <c r="M72" s="1"/>
      <c r="N72" s="1"/>
    </row>
    <row r="73" spans="1:14" x14ac:dyDescent="0.25">
      <c r="A73" s="2" t="s">
        <v>62</v>
      </c>
      <c r="B73" s="8">
        <f t="shared" ref="B73:L73" si="12">B25/B60</f>
        <v>0</v>
      </c>
      <c r="C73" s="8">
        <f t="shared" si="12"/>
        <v>0</v>
      </c>
      <c r="D73" s="8">
        <f t="shared" si="12"/>
        <v>0</v>
      </c>
      <c r="E73" s="8">
        <f t="shared" si="12"/>
        <v>0</v>
      </c>
      <c r="F73" s="8">
        <f t="shared" si="12"/>
        <v>0</v>
      </c>
      <c r="G73" s="8">
        <f t="shared" si="12"/>
        <v>0</v>
      </c>
      <c r="H73" s="8">
        <f t="shared" si="12"/>
        <v>0</v>
      </c>
      <c r="I73" s="8">
        <f t="shared" si="12"/>
        <v>0</v>
      </c>
      <c r="J73" s="8">
        <f t="shared" si="12"/>
        <v>0</v>
      </c>
      <c r="K73" s="8">
        <f t="shared" si="12"/>
        <v>0</v>
      </c>
      <c r="L73" s="8">
        <f t="shared" si="12"/>
        <v>0</v>
      </c>
      <c r="M73" s="1"/>
      <c r="N73" s="1"/>
    </row>
    <row r="74" spans="1:14" x14ac:dyDescent="0.25">
      <c r="B74" s="1"/>
      <c r="C74" s="1"/>
      <c r="D74" s="1"/>
      <c r="E74" s="1"/>
      <c r="F74" s="1"/>
      <c r="G74" s="1"/>
      <c r="H74" s="1"/>
      <c r="I74" s="1"/>
      <c r="J74" s="1"/>
      <c r="K74" s="1"/>
      <c r="L74" s="1"/>
      <c r="M74" s="1"/>
      <c r="N74" s="1"/>
    </row>
    <row r="75" spans="1:14" x14ac:dyDescent="0.25">
      <c r="A75" t="s">
        <v>70</v>
      </c>
      <c r="B75" s="1"/>
      <c r="C75" s="1"/>
      <c r="D75" s="1"/>
      <c r="E75" s="1"/>
      <c r="F75" s="1"/>
      <c r="G75" s="1"/>
      <c r="H75" s="1"/>
      <c r="I75" s="1"/>
      <c r="J75" s="1"/>
      <c r="K75" s="1"/>
      <c r="L75" s="1"/>
      <c r="M75" s="1"/>
      <c r="N75" s="1"/>
    </row>
    <row r="76" spans="1:14" x14ac:dyDescent="0.25">
      <c r="A76" s="39" t="s">
        <v>71</v>
      </c>
      <c r="B76" s="1" t="e">
        <f t="shared" ref="B76:L76" si="13">B20/B64</f>
        <v>#DIV/0!</v>
      </c>
      <c r="C76" s="1" t="e">
        <f t="shared" si="13"/>
        <v>#DIV/0!</v>
      </c>
      <c r="D76" s="1" t="e">
        <f t="shared" si="13"/>
        <v>#DIV/0!</v>
      </c>
      <c r="E76" s="1" t="e">
        <f t="shared" si="13"/>
        <v>#DIV/0!</v>
      </c>
      <c r="F76" s="1" t="e">
        <f t="shared" si="13"/>
        <v>#DIV/0!</v>
      </c>
      <c r="G76" s="1" t="e">
        <f t="shared" si="13"/>
        <v>#DIV/0!</v>
      </c>
      <c r="H76" s="1" t="e">
        <f t="shared" si="13"/>
        <v>#DIV/0!</v>
      </c>
      <c r="I76" s="1" t="e">
        <f t="shared" si="13"/>
        <v>#DIV/0!</v>
      </c>
      <c r="J76" s="1" t="e">
        <f t="shared" si="13"/>
        <v>#DIV/0!</v>
      </c>
      <c r="K76" s="1" t="e">
        <f t="shared" si="13"/>
        <v>#DIV/0!</v>
      </c>
      <c r="L76" s="1" t="e">
        <f t="shared" si="13"/>
        <v>#DIV/0!</v>
      </c>
      <c r="M76" s="1"/>
      <c r="N76" s="1"/>
    </row>
    <row r="77" spans="1:14" x14ac:dyDescent="0.25">
      <c r="A77" s="39" t="s">
        <v>72</v>
      </c>
      <c r="B77" s="1" t="e">
        <f t="shared" ref="B77:L77" si="14">B21/B65</f>
        <v>#DIV/0!</v>
      </c>
      <c r="C77" s="1" t="e">
        <f t="shared" si="14"/>
        <v>#DIV/0!</v>
      </c>
      <c r="D77" s="1" t="e">
        <f t="shared" si="14"/>
        <v>#DIV/0!</v>
      </c>
      <c r="E77" s="1" t="e">
        <f t="shared" si="14"/>
        <v>#DIV/0!</v>
      </c>
      <c r="F77" s="1" t="e">
        <f t="shared" si="14"/>
        <v>#DIV/0!</v>
      </c>
      <c r="G77" s="1" t="e">
        <f t="shared" si="14"/>
        <v>#DIV/0!</v>
      </c>
      <c r="H77" s="1" t="e">
        <f t="shared" si="14"/>
        <v>#DIV/0!</v>
      </c>
      <c r="I77" s="1" t="e">
        <f t="shared" si="14"/>
        <v>#DIV/0!</v>
      </c>
      <c r="J77" s="1" t="e">
        <f t="shared" si="14"/>
        <v>#DIV/0!</v>
      </c>
      <c r="K77" s="1" t="e">
        <f t="shared" si="14"/>
        <v>#DIV/0!</v>
      </c>
      <c r="L77" s="1" t="e">
        <f t="shared" si="14"/>
        <v>#DIV/0!</v>
      </c>
      <c r="M77" s="1"/>
      <c r="N77" s="1"/>
    </row>
    <row r="78" spans="1:14" x14ac:dyDescent="0.25">
      <c r="A78" s="39" t="s">
        <v>73</v>
      </c>
      <c r="B78" s="1" t="e">
        <f t="shared" ref="B78:L78" si="15">B22/B66</f>
        <v>#DIV/0!</v>
      </c>
      <c r="C78" s="1" t="e">
        <f t="shared" si="15"/>
        <v>#DIV/0!</v>
      </c>
      <c r="D78" s="1" t="e">
        <f t="shared" si="15"/>
        <v>#DIV/0!</v>
      </c>
      <c r="E78" s="1" t="e">
        <f t="shared" si="15"/>
        <v>#DIV/0!</v>
      </c>
      <c r="F78" s="1" t="e">
        <f t="shared" si="15"/>
        <v>#DIV/0!</v>
      </c>
      <c r="G78" s="1" t="e">
        <f t="shared" si="15"/>
        <v>#DIV/0!</v>
      </c>
      <c r="H78" s="1" t="e">
        <f t="shared" si="15"/>
        <v>#DIV/0!</v>
      </c>
      <c r="I78" s="1" t="e">
        <f t="shared" si="15"/>
        <v>#DIV/0!</v>
      </c>
      <c r="J78" s="1" t="e">
        <f t="shared" si="15"/>
        <v>#DIV/0!</v>
      </c>
      <c r="K78" s="1" t="e">
        <f t="shared" si="15"/>
        <v>#DIV/0!</v>
      </c>
      <c r="L78" s="1" t="e">
        <f t="shared" si="15"/>
        <v>#DIV/0!</v>
      </c>
      <c r="M78" s="1"/>
      <c r="N78" s="1"/>
    </row>
    <row r="79" spans="1:14" ht="16.5" thickBot="1" x14ac:dyDescent="0.3">
      <c r="A79" s="39" t="s">
        <v>74</v>
      </c>
      <c r="B79" s="37" t="e">
        <f t="shared" ref="B79:L79" si="16">B23/B67</f>
        <v>#DIV/0!</v>
      </c>
      <c r="C79" s="37" t="e">
        <f t="shared" si="16"/>
        <v>#DIV/0!</v>
      </c>
      <c r="D79" s="37" t="e">
        <f t="shared" si="16"/>
        <v>#DIV/0!</v>
      </c>
      <c r="E79" s="37" t="e">
        <f t="shared" si="16"/>
        <v>#DIV/0!</v>
      </c>
      <c r="F79" s="37" t="e">
        <f t="shared" si="16"/>
        <v>#DIV/0!</v>
      </c>
      <c r="G79" s="37" t="e">
        <f t="shared" si="16"/>
        <v>#DIV/0!</v>
      </c>
      <c r="H79" s="37" t="e">
        <f t="shared" si="16"/>
        <v>#DIV/0!</v>
      </c>
      <c r="I79" s="37" t="e">
        <f t="shared" si="16"/>
        <v>#DIV/0!</v>
      </c>
      <c r="J79" s="37" t="e">
        <f t="shared" si="16"/>
        <v>#DIV/0!</v>
      </c>
      <c r="K79" s="37" t="e">
        <f t="shared" si="16"/>
        <v>#DIV/0!</v>
      </c>
      <c r="L79" s="37" t="e">
        <f t="shared" si="16"/>
        <v>#DIV/0!</v>
      </c>
      <c r="M79" s="1"/>
      <c r="N79" s="1"/>
    </row>
    <row r="80" spans="1:14" x14ac:dyDescent="0.25">
      <c r="A80" s="9" t="s">
        <v>63</v>
      </c>
      <c r="B80" s="1" t="e">
        <f t="shared" ref="B80:L80" si="17">B25/B68</f>
        <v>#DIV/0!</v>
      </c>
      <c r="C80" s="1" t="e">
        <f t="shared" si="17"/>
        <v>#DIV/0!</v>
      </c>
      <c r="D80" s="1" t="e">
        <f t="shared" si="17"/>
        <v>#DIV/0!</v>
      </c>
      <c r="E80" s="1" t="e">
        <f t="shared" si="17"/>
        <v>#DIV/0!</v>
      </c>
      <c r="F80" s="1" t="e">
        <f t="shared" si="17"/>
        <v>#DIV/0!</v>
      </c>
      <c r="G80" s="1" t="e">
        <f t="shared" si="17"/>
        <v>#DIV/0!</v>
      </c>
      <c r="H80" s="1" t="e">
        <f t="shared" si="17"/>
        <v>#DIV/0!</v>
      </c>
      <c r="I80" s="1" t="e">
        <f t="shared" si="17"/>
        <v>#DIV/0!</v>
      </c>
      <c r="J80" s="1" t="e">
        <f t="shared" si="17"/>
        <v>#DIV/0!</v>
      </c>
      <c r="K80" s="1" t="e">
        <f t="shared" si="17"/>
        <v>#DIV/0!</v>
      </c>
      <c r="L80" s="1" t="e">
        <f t="shared" si="17"/>
        <v>#DIV/0!</v>
      </c>
      <c r="M80" s="1"/>
      <c r="N80" s="1"/>
    </row>
    <row r="81" spans="1:14" x14ac:dyDescent="0.25">
      <c r="B81" s="1"/>
      <c r="C81" s="1"/>
      <c r="D81" s="1"/>
      <c r="E81" s="1"/>
      <c r="F81" s="1"/>
      <c r="G81" s="1"/>
      <c r="H81" s="1"/>
      <c r="I81" s="1"/>
      <c r="J81" s="1"/>
      <c r="K81" s="1"/>
      <c r="L81" s="1"/>
      <c r="M81" s="1"/>
      <c r="N81" s="1"/>
    </row>
    <row r="82" spans="1:14" x14ac:dyDescent="0.25">
      <c r="B82" s="1"/>
      <c r="C82" s="1"/>
      <c r="D82" s="1"/>
      <c r="E82" s="1"/>
      <c r="F82" s="1"/>
      <c r="G82" s="1"/>
      <c r="H82" s="1"/>
      <c r="I82" s="1"/>
      <c r="J82" s="1"/>
      <c r="K82" s="1"/>
      <c r="L82" s="1"/>
      <c r="M82" s="1"/>
      <c r="N82" s="1"/>
    </row>
    <row r="83" spans="1:14" x14ac:dyDescent="0.25">
      <c r="A83" t="s">
        <v>65</v>
      </c>
      <c r="B83" s="14">
        <f>B66/(B60/1000)</f>
        <v>0</v>
      </c>
      <c r="C83" s="14">
        <f t="shared" ref="C83:L83" si="18">C66/(C60/1000)</f>
        <v>0</v>
      </c>
      <c r="D83" s="14">
        <f t="shared" si="18"/>
        <v>0</v>
      </c>
      <c r="E83" s="14">
        <f t="shared" si="18"/>
        <v>0</v>
      </c>
      <c r="F83" s="14">
        <f t="shared" si="18"/>
        <v>0</v>
      </c>
      <c r="G83" s="14">
        <f t="shared" si="18"/>
        <v>0</v>
      </c>
      <c r="H83" s="14">
        <f t="shared" si="18"/>
        <v>0</v>
      </c>
      <c r="I83" s="14">
        <f t="shared" si="18"/>
        <v>0</v>
      </c>
      <c r="J83" s="14">
        <f t="shared" si="18"/>
        <v>0</v>
      </c>
      <c r="K83" s="14">
        <f t="shared" si="18"/>
        <v>0</v>
      </c>
      <c r="L83" s="14">
        <f t="shared" si="18"/>
        <v>0</v>
      </c>
      <c r="M83" s="1"/>
      <c r="N83" s="1"/>
    </row>
    <row r="84" spans="1:14" x14ac:dyDescent="0.25">
      <c r="A84" t="s">
        <v>64</v>
      </c>
      <c r="B84" s="14">
        <f>B68/(B60/1000)</f>
        <v>0</v>
      </c>
      <c r="C84" s="14">
        <f t="shared" ref="C84:L84" si="19">C68/(C60/1000)</f>
        <v>0</v>
      </c>
      <c r="D84" s="14">
        <f t="shared" si="19"/>
        <v>0</v>
      </c>
      <c r="E84" s="14">
        <f t="shared" si="19"/>
        <v>0</v>
      </c>
      <c r="F84" s="14">
        <f t="shared" si="19"/>
        <v>0</v>
      </c>
      <c r="G84" s="14">
        <f t="shared" si="19"/>
        <v>0</v>
      </c>
      <c r="H84" s="14">
        <f t="shared" si="19"/>
        <v>0</v>
      </c>
      <c r="I84" s="14">
        <f t="shared" si="19"/>
        <v>0</v>
      </c>
      <c r="J84" s="14">
        <f t="shared" si="19"/>
        <v>0</v>
      </c>
      <c r="K84" s="14">
        <f t="shared" si="19"/>
        <v>0</v>
      </c>
      <c r="L84" s="14">
        <f t="shared" si="19"/>
        <v>0</v>
      </c>
      <c r="M84" s="1"/>
      <c r="N84" s="1"/>
    </row>
    <row r="85" spans="1:14" x14ac:dyDescent="0.25">
      <c r="B85" s="1"/>
      <c r="C85" s="1"/>
      <c r="D85" s="1"/>
      <c r="E85" s="1"/>
      <c r="F85" s="1"/>
      <c r="G85" s="1"/>
      <c r="H85" s="1"/>
      <c r="I85" s="1"/>
      <c r="J85" s="1"/>
      <c r="K85" s="1"/>
      <c r="L85" s="1"/>
      <c r="M85" s="1"/>
      <c r="N85" s="1"/>
    </row>
    <row r="86" spans="1:14" x14ac:dyDescent="0.25">
      <c r="B86" s="1"/>
      <c r="C86" s="1"/>
      <c r="D86" s="1"/>
      <c r="E86" s="1"/>
      <c r="F86" s="1"/>
      <c r="G86" s="1"/>
      <c r="H86" s="1"/>
      <c r="I86" s="1"/>
      <c r="J86" s="1"/>
      <c r="K86" s="1"/>
      <c r="L86" s="1"/>
      <c r="M86" s="1"/>
      <c r="N86" s="1"/>
    </row>
    <row r="87" spans="1:14" x14ac:dyDescent="0.25">
      <c r="B87" s="1"/>
      <c r="C87" s="1"/>
      <c r="D87" s="1"/>
      <c r="E87" s="1"/>
      <c r="F87" s="1"/>
      <c r="G87" s="1"/>
      <c r="H87" s="1"/>
      <c r="I87" s="1"/>
      <c r="J87" s="1"/>
      <c r="K87" s="1"/>
      <c r="L87" s="1"/>
      <c r="M87" s="1"/>
      <c r="N87" s="1"/>
    </row>
    <row r="88" spans="1:14" x14ac:dyDescent="0.25">
      <c r="B88" s="1"/>
      <c r="C88" s="1"/>
      <c r="D88" s="1"/>
      <c r="E88" s="1"/>
      <c r="F88" s="1"/>
      <c r="G88" s="1"/>
      <c r="H88" s="1"/>
      <c r="I88" s="1"/>
      <c r="J88" s="1"/>
      <c r="K88" s="1"/>
      <c r="L88" s="1"/>
      <c r="M88" s="1"/>
      <c r="N88" s="1"/>
    </row>
    <row r="89" spans="1:14" x14ac:dyDescent="0.25">
      <c r="B89" s="1"/>
      <c r="C89" s="1"/>
      <c r="D89" s="1"/>
      <c r="E89" s="1"/>
      <c r="F89" s="1"/>
      <c r="G89" s="1"/>
      <c r="H89" s="1"/>
      <c r="I89" s="1"/>
      <c r="J89" s="1"/>
      <c r="K89" s="1"/>
      <c r="L89" s="1"/>
      <c r="M89" s="1"/>
      <c r="N89" s="1"/>
    </row>
    <row r="90" spans="1:14" x14ac:dyDescent="0.25">
      <c r="B90" s="1"/>
      <c r="C90" s="1"/>
      <c r="D90" s="1"/>
      <c r="E90" s="1"/>
      <c r="F90" s="1"/>
      <c r="G90" s="1"/>
      <c r="H90" s="1"/>
      <c r="I90" s="1"/>
      <c r="J90" s="1"/>
      <c r="K90" s="1"/>
      <c r="L90" s="1"/>
      <c r="M90" s="1"/>
      <c r="N90" s="1"/>
    </row>
    <row r="91" spans="1:14" x14ac:dyDescent="0.25">
      <c r="B91" s="1"/>
      <c r="C91" s="1"/>
      <c r="D91" s="1"/>
      <c r="E91" s="1"/>
      <c r="F91" s="1"/>
      <c r="G91" s="1"/>
      <c r="H91" s="1"/>
      <c r="I91" s="1"/>
      <c r="J91" s="1"/>
      <c r="K91" s="1"/>
      <c r="L91" s="1"/>
      <c r="M91" s="1"/>
      <c r="N91" s="1"/>
    </row>
    <row r="92" spans="1:14" x14ac:dyDescent="0.25">
      <c r="B92" s="1"/>
      <c r="C92" s="1"/>
      <c r="D92" s="1"/>
      <c r="E92" s="1"/>
      <c r="F92" s="1"/>
      <c r="G92" s="1"/>
      <c r="H92" s="1"/>
      <c r="I92" s="1"/>
      <c r="J92" s="1"/>
      <c r="K92" s="1"/>
      <c r="L92" s="1"/>
      <c r="M92" s="1"/>
      <c r="N92" s="1"/>
    </row>
    <row r="93" spans="1:14" x14ac:dyDescent="0.25">
      <c r="B93" s="1"/>
      <c r="C93" s="1"/>
      <c r="D93" s="1"/>
      <c r="E93" s="1"/>
      <c r="F93" s="1"/>
      <c r="G93" s="1"/>
      <c r="H93" s="1"/>
      <c r="I93" s="1"/>
      <c r="J93" s="1"/>
      <c r="K93" s="1"/>
      <c r="L93" s="1"/>
      <c r="M93" s="1"/>
      <c r="N93" s="1"/>
    </row>
    <row r="94" spans="1:14" x14ac:dyDescent="0.25">
      <c r="B94" s="1"/>
      <c r="C94" s="1"/>
      <c r="D94" s="1"/>
      <c r="E94" s="1"/>
      <c r="F94" s="1"/>
      <c r="G94" s="1"/>
      <c r="H94" s="1"/>
      <c r="I94" s="1"/>
      <c r="J94" s="1"/>
      <c r="K94" s="1"/>
      <c r="L94" s="1"/>
      <c r="M94" s="1"/>
      <c r="N94" s="1"/>
    </row>
    <row r="95" spans="1:14" x14ac:dyDescent="0.25">
      <c r="B95" s="1"/>
      <c r="C95" s="1"/>
      <c r="D95" s="1"/>
      <c r="E95" s="1"/>
      <c r="F95" s="1"/>
      <c r="G95" s="1"/>
      <c r="H95" s="1"/>
      <c r="I95" s="1"/>
      <c r="J95" s="1"/>
      <c r="K95" s="1"/>
      <c r="L95" s="1"/>
      <c r="M95" s="1"/>
      <c r="N95" s="1"/>
    </row>
    <row r="96" spans="1:14" x14ac:dyDescent="0.25">
      <c r="B96" s="1"/>
      <c r="C96" s="1"/>
      <c r="D96" s="1"/>
      <c r="E96" s="1"/>
      <c r="F96" s="1"/>
      <c r="G96" s="1"/>
      <c r="H96" s="1"/>
      <c r="I96" s="1"/>
      <c r="J96" s="1"/>
      <c r="K96" s="1"/>
      <c r="L96" s="1"/>
      <c r="M96" s="1"/>
      <c r="N96" s="1"/>
    </row>
    <row r="97" spans="2:14" x14ac:dyDescent="0.25">
      <c r="B97" s="1"/>
      <c r="C97" s="1"/>
      <c r="D97" s="1"/>
      <c r="E97" s="1"/>
      <c r="F97" s="1"/>
      <c r="G97" s="1"/>
      <c r="H97" s="1"/>
      <c r="I97" s="1"/>
      <c r="J97" s="1"/>
      <c r="K97" s="1"/>
      <c r="L97" s="1"/>
      <c r="M97" s="1"/>
      <c r="N97" s="1"/>
    </row>
    <row r="98" spans="2:14" x14ac:dyDescent="0.25">
      <c r="B98" s="1"/>
      <c r="C98" s="1"/>
      <c r="D98" s="1"/>
      <c r="E98" s="1"/>
      <c r="F98" s="1"/>
      <c r="G98" s="1"/>
      <c r="H98" s="1"/>
      <c r="I98" s="1"/>
      <c r="J98" s="1"/>
      <c r="K98" s="1"/>
      <c r="L98" s="1"/>
      <c r="M98" s="1"/>
      <c r="N98" s="1"/>
    </row>
    <row r="99" spans="2:14" x14ac:dyDescent="0.25">
      <c r="B99" s="1"/>
      <c r="C99" s="1"/>
      <c r="D99" s="1"/>
      <c r="E99" s="1"/>
      <c r="F99" s="1"/>
      <c r="G99" s="1"/>
      <c r="H99" s="1"/>
      <c r="I99" s="1"/>
      <c r="J99" s="1"/>
      <c r="K99" s="1"/>
      <c r="L99" s="1"/>
      <c r="M99" s="1"/>
      <c r="N99" s="1"/>
    </row>
    <row r="100" spans="2:14" x14ac:dyDescent="0.25">
      <c r="B100" s="1"/>
      <c r="C100" s="1"/>
      <c r="D100" s="1"/>
      <c r="E100" s="1"/>
      <c r="F100" s="1"/>
      <c r="G100" s="1"/>
      <c r="H100" s="1"/>
      <c r="I100" s="1"/>
      <c r="J100" s="1"/>
      <c r="K100" s="1"/>
      <c r="L100" s="1"/>
      <c r="M100" s="1"/>
      <c r="N100" s="1"/>
    </row>
    <row r="101" spans="2:14" x14ac:dyDescent="0.25">
      <c r="B101" s="1"/>
      <c r="C101" s="1"/>
      <c r="D101" s="1"/>
      <c r="E101" s="1"/>
      <c r="F101" s="1"/>
      <c r="G101" s="1"/>
      <c r="H101" s="1"/>
      <c r="I101" s="1"/>
      <c r="J101" s="1"/>
      <c r="K101" s="1"/>
      <c r="L101" s="1"/>
      <c r="M101" s="1"/>
      <c r="N101" s="1"/>
    </row>
    <row r="102" spans="2:14" x14ac:dyDescent="0.25">
      <c r="B102" s="1"/>
      <c r="C102" s="1"/>
      <c r="D102" s="1"/>
      <c r="E102" s="1"/>
      <c r="F102" s="1"/>
      <c r="G102" s="1"/>
      <c r="H102" s="1"/>
      <c r="I102" s="1"/>
      <c r="J102" s="1"/>
      <c r="K102" s="1"/>
      <c r="L102" s="1"/>
      <c r="M102" s="1"/>
      <c r="N102" s="1"/>
    </row>
    <row r="103" spans="2:14" x14ac:dyDescent="0.25">
      <c r="B103" s="1"/>
      <c r="C103" s="1"/>
      <c r="D103" s="1"/>
      <c r="E103" s="1"/>
      <c r="F103" s="1"/>
      <c r="G103" s="1"/>
      <c r="H103" s="1"/>
      <c r="I103" s="1"/>
      <c r="J103" s="1"/>
      <c r="K103" s="1"/>
      <c r="L103" s="1"/>
      <c r="M103" s="1"/>
      <c r="N103" s="1"/>
    </row>
    <row r="104" spans="2:14" x14ac:dyDescent="0.25">
      <c r="B104" s="1"/>
      <c r="C104" s="1"/>
      <c r="D104" s="1"/>
      <c r="E104" s="1"/>
      <c r="F104" s="1"/>
      <c r="G104" s="1"/>
      <c r="H104" s="1"/>
      <c r="I104" s="1"/>
      <c r="J104" s="1"/>
      <c r="K104" s="1"/>
      <c r="L104" s="1"/>
      <c r="M104" s="1"/>
      <c r="N104" s="1"/>
    </row>
    <row r="105" spans="2:14" x14ac:dyDescent="0.25">
      <c r="B105" s="1"/>
      <c r="C105" s="1"/>
      <c r="D105" s="1"/>
      <c r="E105" s="1"/>
      <c r="F105" s="1"/>
      <c r="G105" s="1"/>
      <c r="H105" s="1"/>
      <c r="I105" s="1"/>
      <c r="J105" s="1"/>
      <c r="K105" s="1"/>
      <c r="L105" s="1"/>
      <c r="M105" s="1"/>
      <c r="N105" s="1"/>
    </row>
    <row r="106" spans="2:14" x14ac:dyDescent="0.25">
      <c r="B106" s="1"/>
      <c r="C106" s="1"/>
      <c r="D106" s="1"/>
      <c r="E106" s="1"/>
      <c r="F106" s="1"/>
      <c r="G106" s="1"/>
      <c r="H106" s="1"/>
      <c r="I106" s="1"/>
      <c r="J106" s="1"/>
      <c r="K106" s="1"/>
      <c r="L106" s="1"/>
      <c r="M106" s="1"/>
      <c r="N106" s="1"/>
    </row>
    <row r="107" spans="2:14" x14ac:dyDescent="0.25">
      <c r="B107" s="1"/>
      <c r="C107" s="1"/>
      <c r="D107" s="1"/>
      <c r="E107" s="1"/>
      <c r="F107" s="1"/>
      <c r="G107" s="1"/>
      <c r="H107" s="1"/>
      <c r="I107" s="1"/>
      <c r="J107" s="1"/>
      <c r="K107" s="1"/>
      <c r="L107" s="1"/>
      <c r="M107" s="1"/>
      <c r="N107" s="1"/>
    </row>
    <row r="108" spans="2:14" x14ac:dyDescent="0.25">
      <c r="B108" s="1"/>
      <c r="C108" s="1"/>
      <c r="D108" s="1"/>
      <c r="E108" s="1"/>
      <c r="F108" s="1"/>
      <c r="G108" s="1"/>
      <c r="H108" s="1"/>
      <c r="I108" s="1"/>
      <c r="J108" s="1"/>
      <c r="K108" s="1"/>
      <c r="L108" s="1"/>
      <c r="M108" s="1"/>
      <c r="N108" s="1"/>
    </row>
    <row r="109" spans="2:14" x14ac:dyDescent="0.25">
      <c r="B109" s="1"/>
      <c r="C109" s="1"/>
      <c r="D109" s="1"/>
      <c r="E109" s="1"/>
      <c r="F109" s="1"/>
      <c r="G109" s="1"/>
      <c r="H109" s="1"/>
      <c r="I109" s="1"/>
      <c r="J109" s="1"/>
      <c r="K109" s="1"/>
      <c r="L109" s="1"/>
      <c r="M109" s="1"/>
      <c r="N109" s="1"/>
    </row>
    <row r="110" spans="2:14" x14ac:dyDescent="0.25">
      <c r="B110" s="1"/>
      <c r="C110" s="1"/>
      <c r="D110" s="1"/>
      <c r="E110" s="1"/>
      <c r="F110" s="1"/>
      <c r="G110" s="1"/>
      <c r="H110" s="1"/>
      <c r="I110" s="1"/>
      <c r="J110" s="1"/>
      <c r="K110" s="1"/>
      <c r="L110" s="1"/>
      <c r="M110" s="1"/>
      <c r="N110" s="1"/>
    </row>
    <row r="111" spans="2:14" x14ac:dyDescent="0.25">
      <c r="B111" s="1"/>
      <c r="C111" s="1"/>
      <c r="D111" s="1"/>
      <c r="E111" s="1"/>
      <c r="F111" s="1"/>
      <c r="G111" s="1"/>
      <c r="H111" s="1"/>
      <c r="I111" s="1"/>
      <c r="J111" s="1"/>
      <c r="K111" s="1"/>
      <c r="L111" s="1"/>
      <c r="M111" s="1"/>
      <c r="N111" s="1"/>
    </row>
    <row r="112" spans="2:14" x14ac:dyDescent="0.25">
      <c r="B112" s="1"/>
      <c r="C112" s="1"/>
      <c r="D112" s="1"/>
      <c r="E112" s="1"/>
      <c r="F112" s="1"/>
      <c r="G112" s="1"/>
      <c r="H112" s="1"/>
      <c r="I112" s="1"/>
      <c r="J112" s="1"/>
      <c r="K112" s="1"/>
      <c r="L112" s="1"/>
      <c r="M112" s="1"/>
      <c r="N112" s="1"/>
    </row>
    <row r="113" spans="2:14" x14ac:dyDescent="0.25">
      <c r="B113" s="1"/>
      <c r="C113" s="1"/>
      <c r="D113" s="1"/>
      <c r="E113" s="1"/>
      <c r="F113" s="1"/>
      <c r="G113" s="1"/>
      <c r="H113" s="1"/>
      <c r="I113" s="1"/>
      <c r="J113" s="1"/>
      <c r="K113" s="1"/>
      <c r="L113" s="1"/>
      <c r="M113" s="1"/>
      <c r="N113" s="1"/>
    </row>
    <row r="114" spans="2:14" x14ac:dyDescent="0.25">
      <c r="B114" s="1"/>
      <c r="C114" s="1"/>
      <c r="D114" s="1"/>
      <c r="E114" s="1"/>
      <c r="F114" s="1"/>
      <c r="G114" s="1"/>
      <c r="H114" s="1"/>
      <c r="I114" s="1"/>
      <c r="J114" s="1"/>
      <c r="K114" s="1"/>
      <c r="L114" s="1"/>
      <c r="M114" s="1"/>
      <c r="N114" s="1"/>
    </row>
    <row r="115" spans="2:14" x14ac:dyDescent="0.25">
      <c r="B115" s="1"/>
      <c r="C115" s="1"/>
      <c r="D115" s="1"/>
      <c r="E115" s="1"/>
      <c r="F115" s="1"/>
      <c r="G115" s="1"/>
      <c r="H115" s="1"/>
      <c r="I115" s="1"/>
      <c r="J115" s="1"/>
      <c r="K115" s="1"/>
      <c r="L115" s="1"/>
      <c r="M115" s="1"/>
      <c r="N115" s="1"/>
    </row>
    <row r="116" spans="2:14" x14ac:dyDescent="0.25">
      <c r="B116" s="1"/>
      <c r="C116" s="1"/>
      <c r="D116" s="1"/>
      <c r="E116" s="1"/>
      <c r="F116" s="1"/>
      <c r="G116" s="1"/>
      <c r="H116" s="1"/>
      <c r="I116" s="1"/>
      <c r="J116" s="1"/>
      <c r="K116" s="1"/>
      <c r="L116" s="1"/>
      <c r="M116" s="1"/>
      <c r="N116" s="1"/>
    </row>
    <row r="117" spans="2:14" x14ac:dyDescent="0.25">
      <c r="B117" s="1"/>
      <c r="C117" s="1"/>
      <c r="D117" s="1"/>
      <c r="E117" s="1"/>
      <c r="F117" s="1"/>
      <c r="G117" s="1"/>
      <c r="H117" s="1"/>
      <c r="I117" s="1"/>
      <c r="J117" s="1"/>
      <c r="K117" s="1"/>
      <c r="L117" s="1"/>
      <c r="M117" s="1"/>
      <c r="N117" s="1"/>
    </row>
    <row r="118" spans="2:14" x14ac:dyDescent="0.25">
      <c r="B118" s="1"/>
      <c r="C118" s="1"/>
      <c r="D118" s="1"/>
      <c r="E118" s="1"/>
      <c r="F118" s="1"/>
      <c r="G118" s="1"/>
      <c r="H118" s="1"/>
      <c r="I118" s="1"/>
      <c r="J118" s="1"/>
      <c r="K118" s="1"/>
      <c r="L118" s="1"/>
      <c r="M118" s="1"/>
      <c r="N118" s="1"/>
    </row>
    <row r="119" spans="2:14" x14ac:dyDescent="0.25">
      <c r="B119" s="1"/>
      <c r="C119" s="1"/>
      <c r="D119" s="1"/>
      <c r="E119" s="1"/>
      <c r="F119" s="1"/>
      <c r="G119" s="1"/>
      <c r="H119" s="1"/>
      <c r="I119" s="1"/>
      <c r="J119" s="1"/>
      <c r="K119" s="1"/>
      <c r="L119" s="1"/>
      <c r="M119" s="1"/>
      <c r="N119" s="1"/>
    </row>
    <row r="120" spans="2:14" x14ac:dyDescent="0.25">
      <c r="B120" s="1"/>
      <c r="C120" s="1"/>
      <c r="D120" s="1"/>
      <c r="E120" s="1"/>
      <c r="F120" s="1"/>
      <c r="G120" s="1"/>
      <c r="H120" s="1"/>
      <c r="I120" s="1"/>
      <c r="J120" s="1"/>
      <c r="K120" s="1"/>
      <c r="L120" s="1"/>
      <c r="M120" s="1"/>
      <c r="N120" s="1"/>
    </row>
    <row r="121" spans="2:14" x14ac:dyDescent="0.25">
      <c r="B121" s="1"/>
      <c r="C121" s="1"/>
      <c r="D121" s="1"/>
      <c r="E121" s="1"/>
      <c r="F121" s="1"/>
      <c r="G121" s="1"/>
      <c r="H121" s="1"/>
      <c r="I121" s="1"/>
      <c r="J121" s="1"/>
      <c r="K121" s="1"/>
      <c r="L121" s="1"/>
      <c r="M121" s="1"/>
      <c r="N121" s="1"/>
    </row>
    <row r="122" spans="2:14" x14ac:dyDescent="0.25">
      <c r="B122" s="1"/>
      <c r="C122" s="1"/>
      <c r="D122" s="1"/>
      <c r="E122" s="1"/>
      <c r="F122" s="1"/>
      <c r="G122" s="1"/>
      <c r="H122" s="1"/>
      <c r="I122" s="1"/>
      <c r="J122" s="1"/>
      <c r="K122" s="1"/>
      <c r="L122" s="1"/>
      <c r="M122" s="1"/>
      <c r="N122" s="1"/>
    </row>
    <row r="123" spans="2:14" x14ac:dyDescent="0.25">
      <c r="B123" s="1"/>
      <c r="C123" s="1"/>
      <c r="D123" s="1"/>
      <c r="E123" s="1"/>
      <c r="F123" s="1"/>
      <c r="G123" s="1"/>
      <c r="H123" s="1"/>
      <c r="I123" s="1"/>
      <c r="J123" s="1"/>
      <c r="K123" s="1"/>
      <c r="L123" s="1"/>
      <c r="M123" s="1"/>
      <c r="N123" s="1"/>
    </row>
    <row r="124" spans="2:14" x14ac:dyDescent="0.25">
      <c r="B124" s="1"/>
      <c r="C124" s="1"/>
      <c r="D124" s="1"/>
      <c r="E124" s="1"/>
      <c r="F124" s="1"/>
      <c r="G124" s="1"/>
      <c r="H124" s="1"/>
      <c r="I124" s="1"/>
      <c r="J124" s="1"/>
      <c r="K124" s="1"/>
      <c r="L124" s="1"/>
      <c r="M124" s="1"/>
      <c r="N124" s="1"/>
    </row>
    <row r="125" spans="2:14" x14ac:dyDescent="0.25">
      <c r="B125" s="1"/>
      <c r="C125" s="1"/>
      <c r="D125" s="1"/>
      <c r="E125" s="1"/>
      <c r="F125" s="1"/>
      <c r="G125" s="1"/>
      <c r="H125" s="1"/>
      <c r="I125" s="1"/>
      <c r="J125" s="1"/>
      <c r="K125" s="1"/>
      <c r="L125" s="1"/>
      <c r="M125" s="1"/>
      <c r="N125" s="1"/>
    </row>
    <row r="126" spans="2:14" x14ac:dyDescent="0.25">
      <c r="B126" s="1"/>
      <c r="C126" s="1"/>
      <c r="D126" s="1"/>
      <c r="E126" s="1"/>
      <c r="F126" s="1"/>
      <c r="G126" s="1"/>
      <c r="H126" s="1"/>
      <c r="I126" s="1"/>
      <c r="J126" s="1"/>
      <c r="K126" s="1"/>
      <c r="L126" s="1"/>
      <c r="M126" s="1"/>
      <c r="N126" s="1"/>
    </row>
    <row r="127" spans="2:14" x14ac:dyDescent="0.25">
      <c r="B127" s="1"/>
      <c r="C127" s="1"/>
      <c r="D127" s="1"/>
      <c r="E127" s="1"/>
      <c r="F127" s="1"/>
      <c r="G127" s="1"/>
      <c r="H127" s="1"/>
      <c r="I127" s="1"/>
      <c r="J127" s="1"/>
      <c r="K127" s="1"/>
      <c r="L127" s="1"/>
      <c r="M127" s="1"/>
      <c r="N127" s="1"/>
    </row>
    <row r="128" spans="2:14" x14ac:dyDescent="0.25">
      <c r="B128" s="1"/>
      <c r="C128" s="1"/>
      <c r="D128" s="1"/>
      <c r="E128" s="1"/>
      <c r="F128" s="1"/>
      <c r="G128" s="1"/>
      <c r="H128" s="1"/>
      <c r="I128" s="1"/>
      <c r="J128" s="1"/>
      <c r="K128" s="1"/>
      <c r="L128" s="1"/>
      <c r="M128" s="1"/>
      <c r="N128" s="1"/>
    </row>
    <row r="129" spans="2:14" x14ac:dyDescent="0.25">
      <c r="B129" s="1"/>
      <c r="C129" s="1"/>
      <c r="D129" s="1"/>
      <c r="E129" s="1"/>
      <c r="F129" s="1"/>
      <c r="G129" s="1"/>
      <c r="H129" s="1"/>
      <c r="I129" s="1"/>
      <c r="J129" s="1"/>
      <c r="K129" s="1"/>
      <c r="L129" s="1"/>
      <c r="M129" s="1"/>
      <c r="N129" s="1"/>
    </row>
    <row r="130" spans="2:14" x14ac:dyDescent="0.25">
      <c r="B130" s="1"/>
      <c r="C130" s="1"/>
      <c r="D130" s="1"/>
      <c r="E130" s="1"/>
      <c r="F130" s="1"/>
      <c r="G130" s="1"/>
      <c r="H130" s="1"/>
      <c r="I130" s="1"/>
      <c r="J130" s="1"/>
      <c r="K130" s="1"/>
      <c r="L130" s="1"/>
      <c r="M130" s="1"/>
      <c r="N130" s="1"/>
    </row>
    <row r="131" spans="2:14" x14ac:dyDescent="0.25">
      <c r="B131" s="1"/>
      <c r="C131" s="1"/>
      <c r="D131" s="1"/>
      <c r="E131" s="1"/>
      <c r="F131" s="1"/>
      <c r="G131" s="1"/>
      <c r="H131" s="1"/>
      <c r="I131" s="1"/>
      <c r="J131" s="1"/>
      <c r="K131" s="1"/>
      <c r="L131" s="1"/>
      <c r="M131" s="1"/>
      <c r="N131" s="1"/>
    </row>
    <row r="132" spans="2:14" x14ac:dyDescent="0.25">
      <c r="B132" s="1"/>
      <c r="C132" s="1"/>
      <c r="D132" s="1"/>
      <c r="E132" s="1"/>
      <c r="F132" s="1"/>
      <c r="G132" s="1"/>
      <c r="H132" s="1"/>
      <c r="I132" s="1"/>
      <c r="J132" s="1"/>
      <c r="K132" s="1"/>
      <c r="L132" s="1"/>
      <c r="M132" s="1"/>
      <c r="N132" s="1"/>
    </row>
    <row r="133" spans="2:14" x14ac:dyDescent="0.25">
      <c r="B133" s="1"/>
      <c r="C133" s="1"/>
      <c r="D133" s="1"/>
      <c r="E133" s="1"/>
      <c r="F133" s="1"/>
      <c r="G133" s="1"/>
      <c r="H133" s="1"/>
      <c r="I133" s="1"/>
      <c r="J133" s="1"/>
      <c r="K133" s="1"/>
      <c r="L133" s="1"/>
      <c r="M133" s="1"/>
      <c r="N133" s="1"/>
    </row>
    <row r="134" spans="2:14" x14ac:dyDescent="0.25">
      <c r="B134" s="1"/>
      <c r="C134" s="1"/>
      <c r="D134" s="1"/>
      <c r="E134" s="1"/>
      <c r="F134" s="1"/>
      <c r="G134" s="1"/>
      <c r="H134" s="1"/>
      <c r="I134" s="1"/>
      <c r="J134" s="1"/>
      <c r="K134" s="1"/>
      <c r="L134" s="1"/>
      <c r="M134" s="1"/>
      <c r="N134" s="1"/>
    </row>
    <row r="135" spans="2:14" x14ac:dyDescent="0.25">
      <c r="B135" s="1"/>
      <c r="C135" s="1"/>
      <c r="D135" s="1"/>
      <c r="E135" s="1"/>
      <c r="F135" s="1"/>
      <c r="G135" s="1"/>
      <c r="H135" s="1"/>
      <c r="I135" s="1"/>
      <c r="J135" s="1"/>
      <c r="K135" s="1"/>
      <c r="L135" s="1"/>
      <c r="M135" s="1"/>
      <c r="N135" s="1"/>
    </row>
    <row r="136" spans="2:14" x14ac:dyDescent="0.25">
      <c r="B136" s="1"/>
      <c r="C136" s="1"/>
      <c r="D136" s="1"/>
      <c r="E136" s="1"/>
      <c r="F136" s="1"/>
      <c r="G136" s="1"/>
      <c r="H136" s="1"/>
      <c r="I136" s="1"/>
      <c r="J136" s="1"/>
      <c r="K136" s="1"/>
      <c r="L136" s="1"/>
      <c r="M136" s="1"/>
      <c r="N136" s="1"/>
    </row>
    <row r="137" spans="2:14" x14ac:dyDescent="0.25">
      <c r="B137" s="1"/>
      <c r="C137" s="1"/>
      <c r="D137" s="1"/>
      <c r="E137" s="1"/>
      <c r="F137" s="1"/>
      <c r="G137" s="1"/>
      <c r="H137" s="1"/>
      <c r="I137" s="1"/>
      <c r="J137" s="1"/>
      <c r="K137" s="1"/>
      <c r="L137" s="1"/>
      <c r="M137" s="1"/>
      <c r="N137" s="1"/>
    </row>
    <row r="138" spans="2:14" x14ac:dyDescent="0.25">
      <c r="B138" s="1"/>
      <c r="C138" s="1"/>
      <c r="D138" s="1"/>
      <c r="E138" s="1"/>
      <c r="F138" s="1"/>
      <c r="G138" s="1"/>
      <c r="H138" s="1"/>
      <c r="I138" s="1"/>
      <c r="J138" s="1"/>
      <c r="K138" s="1"/>
      <c r="L138" s="1"/>
      <c r="M138" s="1"/>
      <c r="N138" s="1"/>
    </row>
    <row r="139" spans="2:14" x14ac:dyDescent="0.25">
      <c r="B139" s="1"/>
      <c r="C139" s="1"/>
      <c r="D139" s="1"/>
      <c r="E139" s="1"/>
      <c r="F139" s="1"/>
      <c r="G139" s="1"/>
      <c r="H139" s="1"/>
      <c r="I139" s="1"/>
      <c r="J139" s="1"/>
      <c r="K139" s="1"/>
      <c r="L139" s="1"/>
      <c r="M139" s="1"/>
      <c r="N139" s="1"/>
    </row>
    <row r="140" spans="2:14" x14ac:dyDescent="0.25">
      <c r="B140" s="1"/>
      <c r="C140" s="1"/>
      <c r="D140" s="1"/>
      <c r="E140" s="1"/>
      <c r="F140" s="1"/>
      <c r="G140" s="1"/>
      <c r="H140" s="1"/>
      <c r="I140" s="1"/>
      <c r="J140" s="1"/>
      <c r="K140" s="1"/>
      <c r="L140" s="1"/>
      <c r="M140" s="1"/>
      <c r="N140" s="1"/>
    </row>
    <row r="141" spans="2:14" x14ac:dyDescent="0.25">
      <c r="B141" s="1"/>
      <c r="C141" s="1"/>
      <c r="D141" s="1"/>
      <c r="E141" s="1"/>
      <c r="F141" s="1"/>
      <c r="G141" s="1"/>
      <c r="H141" s="1"/>
      <c r="I141" s="1"/>
      <c r="J141" s="1"/>
      <c r="K141" s="1"/>
      <c r="L141" s="1"/>
      <c r="M141" s="1"/>
      <c r="N141" s="1"/>
    </row>
    <row r="142" spans="2:14" x14ac:dyDescent="0.25">
      <c r="B142" s="1"/>
      <c r="C142" s="1"/>
      <c r="D142" s="1"/>
      <c r="E142" s="1"/>
      <c r="F142" s="1"/>
      <c r="G142" s="1"/>
      <c r="H142" s="1"/>
      <c r="I142" s="1"/>
      <c r="J142" s="1"/>
      <c r="K142" s="1"/>
      <c r="L142" s="1"/>
      <c r="M142" s="1"/>
      <c r="N142" s="1"/>
    </row>
    <row r="143" spans="2:14" x14ac:dyDescent="0.25">
      <c r="B143" s="1"/>
      <c r="C143" s="1"/>
      <c r="D143" s="1"/>
      <c r="E143" s="1"/>
      <c r="F143" s="1"/>
      <c r="G143" s="1"/>
      <c r="H143" s="1"/>
      <c r="I143" s="1"/>
      <c r="J143" s="1"/>
      <c r="K143" s="1"/>
      <c r="L143" s="1"/>
      <c r="M143" s="1"/>
      <c r="N143" s="1"/>
    </row>
    <row r="144" spans="2:14" x14ac:dyDescent="0.25">
      <c r="B144" s="1"/>
      <c r="C144" s="1"/>
      <c r="D144" s="1"/>
      <c r="E144" s="1"/>
      <c r="F144" s="1"/>
      <c r="G144" s="1"/>
      <c r="H144" s="1"/>
      <c r="I144" s="1"/>
      <c r="J144" s="1"/>
      <c r="K144" s="1"/>
      <c r="L144" s="1"/>
      <c r="M144" s="1"/>
      <c r="N144" s="1"/>
    </row>
    <row r="145" spans="2:14" x14ac:dyDescent="0.25">
      <c r="B145" s="1"/>
      <c r="C145" s="1"/>
      <c r="D145" s="1"/>
      <c r="E145" s="1"/>
      <c r="F145" s="1"/>
      <c r="G145" s="1"/>
      <c r="H145" s="1"/>
      <c r="I145" s="1"/>
      <c r="J145" s="1"/>
      <c r="K145" s="1"/>
      <c r="L145" s="1"/>
      <c r="M145" s="1"/>
      <c r="N145" s="1"/>
    </row>
    <row r="146" spans="2:14" x14ac:dyDescent="0.25">
      <c r="B146" s="1"/>
      <c r="C146" s="1"/>
      <c r="D146" s="1"/>
      <c r="E146" s="1"/>
      <c r="F146" s="1"/>
      <c r="G146" s="1"/>
      <c r="H146" s="1"/>
      <c r="I146" s="1"/>
      <c r="J146" s="1"/>
      <c r="K146" s="1"/>
      <c r="L146" s="1"/>
      <c r="M146" s="1"/>
      <c r="N146" s="1"/>
    </row>
    <row r="147" spans="2:14" x14ac:dyDescent="0.25">
      <c r="B147" s="1"/>
      <c r="C147" s="1"/>
      <c r="D147" s="1"/>
      <c r="E147" s="1"/>
      <c r="F147" s="1"/>
      <c r="G147" s="1"/>
      <c r="H147" s="1"/>
      <c r="I147" s="1"/>
      <c r="J147" s="1"/>
      <c r="K147" s="1"/>
      <c r="L147" s="1"/>
      <c r="M147" s="1"/>
      <c r="N147" s="1"/>
    </row>
    <row r="148" spans="2:14" x14ac:dyDescent="0.25">
      <c r="B148" s="1"/>
      <c r="C148" s="1"/>
      <c r="D148" s="1"/>
      <c r="E148" s="1"/>
      <c r="F148" s="1"/>
      <c r="G148" s="1"/>
      <c r="H148" s="1"/>
      <c r="I148" s="1"/>
      <c r="J148" s="1"/>
      <c r="K148" s="1"/>
      <c r="L148" s="1"/>
      <c r="M148" s="1"/>
      <c r="N148" s="1"/>
    </row>
    <row r="149" spans="2:14" x14ac:dyDescent="0.25">
      <c r="B149" s="1"/>
      <c r="C149" s="1"/>
      <c r="D149" s="1"/>
      <c r="E149" s="1"/>
      <c r="F149" s="1"/>
      <c r="G149" s="1"/>
      <c r="H149" s="1"/>
      <c r="I149" s="1"/>
      <c r="J149" s="1"/>
      <c r="K149" s="1"/>
      <c r="L149" s="1"/>
      <c r="M149" s="1"/>
      <c r="N149" s="1"/>
    </row>
    <row r="150" spans="2:14" x14ac:dyDescent="0.25">
      <c r="B150" s="1"/>
      <c r="C150" s="1"/>
      <c r="D150" s="1"/>
      <c r="E150" s="1"/>
      <c r="F150" s="1"/>
      <c r="G150" s="1"/>
      <c r="H150" s="1"/>
      <c r="I150" s="1"/>
      <c r="J150" s="1"/>
      <c r="K150" s="1"/>
      <c r="L150" s="1"/>
      <c r="M150" s="1"/>
      <c r="N150" s="1"/>
    </row>
    <row r="151" spans="2:14" x14ac:dyDescent="0.25">
      <c r="B151" s="1"/>
      <c r="C151" s="1"/>
      <c r="D151" s="1"/>
      <c r="E151" s="1"/>
      <c r="F151" s="1"/>
      <c r="G151" s="1"/>
      <c r="H151" s="1"/>
      <c r="I151" s="1"/>
      <c r="J151" s="1"/>
      <c r="K151" s="1"/>
      <c r="L151" s="1"/>
      <c r="M151" s="1"/>
      <c r="N151" s="1"/>
    </row>
    <row r="152" spans="2:14" x14ac:dyDescent="0.25">
      <c r="B152" s="1"/>
      <c r="C152" s="1"/>
      <c r="D152" s="1"/>
      <c r="E152" s="1"/>
      <c r="F152" s="1"/>
      <c r="G152" s="1"/>
      <c r="H152" s="1"/>
      <c r="I152" s="1"/>
      <c r="J152" s="1"/>
      <c r="K152" s="1"/>
      <c r="L152" s="1"/>
      <c r="M152" s="1"/>
      <c r="N152" s="1"/>
    </row>
    <row r="153" spans="2:14" x14ac:dyDescent="0.25">
      <c r="B153" s="1"/>
      <c r="C153" s="1"/>
      <c r="D153" s="1"/>
      <c r="E153" s="1"/>
      <c r="F153" s="1"/>
      <c r="G153" s="1"/>
      <c r="H153" s="1"/>
      <c r="I153" s="1"/>
      <c r="J153" s="1"/>
      <c r="K153" s="1"/>
      <c r="L153" s="1"/>
      <c r="M153" s="1"/>
      <c r="N153" s="1"/>
    </row>
    <row r="154" spans="2:14" x14ac:dyDescent="0.25">
      <c r="B154" s="1"/>
      <c r="C154" s="1"/>
      <c r="D154" s="1"/>
      <c r="E154" s="1"/>
      <c r="F154" s="1"/>
      <c r="G154" s="1"/>
      <c r="H154" s="1"/>
      <c r="I154" s="1"/>
      <c r="J154" s="1"/>
      <c r="K154" s="1"/>
      <c r="L154" s="1"/>
      <c r="M154" s="1"/>
      <c r="N154" s="1"/>
    </row>
    <row r="155" spans="2:14" x14ac:dyDescent="0.25">
      <c r="B155" s="1"/>
      <c r="C155" s="1"/>
      <c r="D155" s="1"/>
      <c r="E155" s="1"/>
      <c r="F155" s="1"/>
      <c r="G155" s="1"/>
      <c r="H155" s="1"/>
      <c r="I155" s="1"/>
      <c r="J155" s="1"/>
      <c r="K155" s="1"/>
      <c r="L155" s="1"/>
      <c r="M155" s="1"/>
      <c r="N155" s="1"/>
    </row>
    <row r="156" spans="2:14" x14ac:dyDescent="0.25">
      <c r="B156" s="1"/>
      <c r="C156" s="1"/>
      <c r="D156" s="1"/>
      <c r="E156" s="1"/>
      <c r="F156" s="1"/>
      <c r="G156" s="1"/>
      <c r="H156" s="1"/>
      <c r="I156" s="1"/>
      <c r="J156" s="1"/>
      <c r="K156" s="1"/>
      <c r="L156" s="1"/>
      <c r="M156" s="1"/>
      <c r="N156" s="1"/>
    </row>
    <row r="157" spans="2:14" x14ac:dyDescent="0.25">
      <c r="B157" s="1"/>
      <c r="C157" s="1"/>
      <c r="D157" s="1"/>
      <c r="E157" s="1"/>
      <c r="F157" s="1"/>
      <c r="G157" s="1"/>
      <c r="H157" s="1"/>
      <c r="I157" s="1"/>
      <c r="J157" s="1"/>
      <c r="K157" s="1"/>
      <c r="L157" s="1"/>
      <c r="M157" s="1"/>
      <c r="N157" s="1"/>
    </row>
    <row r="158" spans="2:14" x14ac:dyDescent="0.25">
      <c r="B158" s="1"/>
      <c r="C158" s="1"/>
      <c r="D158" s="1"/>
      <c r="E158" s="1"/>
      <c r="F158" s="1"/>
      <c r="G158" s="1"/>
      <c r="H158" s="1"/>
      <c r="I158" s="1"/>
      <c r="J158" s="1"/>
      <c r="K158" s="1"/>
      <c r="L158" s="1"/>
      <c r="M158" s="1"/>
      <c r="N158" s="1"/>
    </row>
    <row r="159" spans="2:14" x14ac:dyDescent="0.25">
      <c r="B159" s="1"/>
      <c r="C159" s="1"/>
      <c r="D159" s="1"/>
      <c r="E159" s="1"/>
      <c r="F159" s="1"/>
      <c r="G159" s="1"/>
      <c r="H159" s="1"/>
      <c r="I159" s="1"/>
      <c r="J159" s="1"/>
      <c r="K159" s="1"/>
      <c r="L159" s="1"/>
      <c r="M159" s="1"/>
      <c r="N159" s="1"/>
    </row>
    <row r="160" spans="2:14" x14ac:dyDescent="0.25">
      <c r="B160" s="1"/>
      <c r="C160" s="1"/>
      <c r="D160" s="1"/>
      <c r="E160" s="1"/>
      <c r="F160" s="1"/>
      <c r="G160" s="1"/>
      <c r="H160" s="1"/>
      <c r="I160" s="1"/>
      <c r="J160" s="1"/>
      <c r="K160" s="1"/>
      <c r="L160" s="1"/>
      <c r="M160" s="1"/>
      <c r="N160" s="1"/>
    </row>
    <row r="161" spans="2:14" x14ac:dyDescent="0.25">
      <c r="B161" s="1"/>
      <c r="C161" s="1"/>
      <c r="D161" s="1"/>
      <c r="E161" s="1"/>
      <c r="F161" s="1"/>
      <c r="G161" s="1"/>
      <c r="H161" s="1"/>
      <c r="I161" s="1"/>
      <c r="J161" s="1"/>
      <c r="K161" s="1"/>
      <c r="L161" s="1"/>
      <c r="M161" s="1"/>
      <c r="N161" s="1"/>
    </row>
    <row r="162" spans="2:14" x14ac:dyDescent="0.25">
      <c r="B162" s="1"/>
      <c r="C162" s="1"/>
      <c r="D162" s="1"/>
      <c r="E162" s="1"/>
      <c r="F162" s="1"/>
      <c r="G162" s="1"/>
      <c r="H162" s="1"/>
      <c r="I162" s="1"/>
      <c r="J162" s="1"/>
      <c r="K162" s="1"/>
      <c r="L162" s="1"/>
      <c r="M162" s="1"/>
      <c r="N162" s="1"/>
    </row>
    <row r="163" spans="2:14" x14ac:dyDescent="0.25">
      <c r="B163" s="1"/>
      <c r="C163" s="1"/>
      <c r="D163" s="1"/>
      <c r="E163" s="1"/>
      <c r="F163" s="1"/>
      <c r="G163" s="1"/>
      <c r="H163" s="1"/>
      <c r="I163" s="1"/>
      <c r="J163" s="1"/>
      <c r="K163" s="1"/>
      <c r="L163" s="1"/>
      <c r="M163" s="1"/>
      <c r="N163" s="1"/>
    </row>
    <row r="164" spans="2:14" x14ac:dyDescent="0.25">
      <c r="B164" s="1"/>
      <c r="C164" s="1"/>
      <c r="D164" s="1"/>
      <c r="E164" s="1"/>
      <c r="F164" s="1"/>
      <c r="G164" s="1"/>
      <c r="H164" s="1"/>
      <c r="I164" s="1"/>
      <c r="J164" s="1"/>
      <c r="K164" s="1"/>
      <c r="L164" s="1"/>
      <c r="M164" s="1"/>
      <c r="N164" s="1"/>
    </row>
    <row r="165" spans="2:14" x14ac:dyDescent="0.25">
      <c r="B165" s="1"/>
      <c r="C165" s="1"/>
      <c r="D165" s="1"/>
      <c r="E165" s="1"/>
      <c r="F165" s="1"/>
      <c r="G165" s="1"/>
      <c r="H165" s="1"/>
      <c r="I165" s="1"/>
      <c r="J165" s="1"/>
      <c r="K165" s="1"/>
      <c r="L165" s="1"/>
      <c r="M165" s="1"/>
      <c r="N165" s="1"/>
    </row>
    <row r="166" spans="2:14" x14ac:dyDescent="0.25">
      <c r="B166" s="1"/>
      <c r="C166" s="1"/>
      <c r="D166" s="1"/>
      <c r="E166" s="1"/>
      <c r="F166" s="1"/>
      <c r="G166" s="1"/>
      <c r="H166" s="1"/>
      <c r="I166" s="1"/>
      <c r="J166" s="1"/>
      <c r="K166" s="1"/>
      <c r="L166" s="1"/>
      <c r="M166" s="1"/>
      <c r="N166" s="1"/>
    </row>
    <row r="167" spans="2:14" x14ac:dyDescent="0.25">
      <c r="B167" s="1"/>
      <c r="C167" s="1"/>
      <c r="D167" s="1"/>
      <c r="E167" s="1"/>
      <c r="F167" s="1"/>
      <c r="G167" s="1"/>
      <c r="H167" s="1"/>
      <c r="I167" s="1"/>
      <c r="J167" s="1"/>
      <c r="K167" s="1"/>
      <c r="L167" s="1"/>
      <c r="M167" s="1"/>
      <c r="N167" s="1"/>
    </row>
    <row r="168" spans="2:14" x14ac:dyDescent="0.25">
      <c r="B168" s="1"/>
      <c r="C168" s="1"/>
      <c r="D168" s="1"/>
      <c r="E168" s="1"/>
      <c r="F168" s="1"/>
      <c r="G168" s="1"/>
      <c r="H168" s="1"/>
      <c r="I168" s="1"/>
      <c r="J168" s="1"/>
      <c r="K168" s="1"/>
      <c r="L168" s="1"/>
      <c r="M168" s="1"/>
      <c r="N168" s="1"/>
    </row>
    <row r="169" spans="2:14" x14ac:dyDescent="0.25">
      <c r="B169" s="1"/>
      <c r="C169" s="1"/>
      <c r="D169" s="1"/>
      <c r="E169" s="1"/>
      <c r="F169" s="1"/>
      <c r="G169" s="1"/>
      <c r="H169" s="1"/>
      <c r="I169" s="1"/>
      <c r="J169" s="1"/>
      <c r="K169" s="1"/>
      <c r="L169" s="1"/>
      <c r="M169" s="1"/>
      <c r="N169" s="1"/>
    </row>
    <row r="170" spans="2:14" x14ac:dyDescent="0.25">
      <c r="B170" s="1"/>
      <c r="C170" s="1"/>
      <c r="D170" s="1"/>
      <c r="E170" s="1"/>
      <c r="F170" s="1"/>
      <c r="G170" s="1"/>
      <c r="H170" s="1"/>
      <c r="I170" s="1"/>
      <c r="J170" s="1"/>
      <c r="K170" s="1"/>
      <c r="L170" s="1"/>
      <c r="M170" s="1"/>
      <c r="N170" s="1"/>
    </row>
    <row r="171" spans="2:14" x14ac:dyDescent="0.25">
      <c r="B171" s="1"/>
      <c r="C171" s="1"/>
      <c r="D171" s="1"/>
      <c r="E171" s="1"/>
      <c r="F171" s="1"/>
      <c r="G171" s="1"/>
      <c r="H171" s="1"/>
      <c r="I171" s="1"/>
      <c r="J171" s="1"/>
      <c r="K171" s="1"/>
      <c r="L171" s="1"/>
      <c r="M171" s="1"/>
      <c r="N171" s="1"/>
    </row>
    <row r="172" spans="2:14" x14ac:dyDescent="0.25">
      <c r="B172" s="1"/>
      <c r="C172" s="1"/>
      <c r="D172" s="1"/>
      <c r="E172" s="1"/>
      <c r="F172" s="1"/>
      <c r="G172" s="1"/>
      <c r="H172" s="1"/>
      <c r="I172" s="1"/>
      <c r="J172" s="1"/>
      <c r="K172" s="1"/>
      <c r="L172" s="1"/>
      <c r="M172" s="1"/>
      <c r="N172" s="1"/>
    </row>
    <row r="173" spans="2:14" x14ac:dyDescent="0.25">
      <c r="B173" s="1"/>
      <c r="C173" s="1"/>
      <c r="D173" s="1"/>
      <c r="E173" s="1"/>
      <c r="F173" s="1"/>
      <c r="G173" s="1"/>
      <c r="H173" s="1"/>
      <c r="I173" s="1"/>
      <c r="J173" s="1"/>
      <c r="K173" s="1"/>
      <c r="L173" s="1"/>
      <c r="M173" s="1"/>
      <c r="N173" s="1"/>
    </row>
    <row r="174" spans="2:14" x14ac:dyDescent="0.25">
      <c r="B174" s="1"/>
      <c r="C174" s="1"/>
      <c r="D174" s="1"/>
      <c r="E174" s="1"/>
      <c r="F174" s="1"/>
      <c r="G174" s="1"/>
      <c r="H174" s="1"/>
      <c r="I174" s="1"/>
      <c r="J174" s="1"/>
      <c r="K174" s="1"/>
      <c r="L174" s="1"/>
      <c r="M174" s="1"/>
      <c r="N174" s="1"/>
    </row>
    <row r="175" spans="2:14" x14ac:dyDescent="0.25">
      <c r="B175" s="1"/>
      <c r="C175" s="1"/>
      <c r="D175" s="1"/>
      <c r="E175" s="1"/>
      <c r="F175" s="1"/>
      <c r="G175" s="1"/>
      <c r="H175" s="1"/>
      <c r="I175" s="1"/>
      <c r="J175" s="1"/>
      <c r="K175" s="1"/>
      <c r="L175" s="1"/>
      <c r="M175" s="1"/>
      <c r="N175" s="1"/>
    </row>
  </sheetData>
  <mergeCells count="2">
    <mergeCell ref="J1:L1"/>
    <mergeCell ref="J3:L3"/>
  </mergeCells>
  <pageMargins left="0.75" right="0.75" top="1" bottom="1" header="0.5" footer="0.5"/>
  <pageSetup orientation="portrait" horizontalDpi="4294967292" verticalDpi="4294967292"/>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CC"/>
  </sheetPr>
  <dimension ref="A1:V274"/>
  <sheetViews>
    <sheetView workbookViewId="0">
      <pane ySplit="4" topLeftCell="A5" activePane="bottomLeft" state="frozen"/>
      <selection pane="bottomLeft" activeCell="A19" sqref="A19"/>
    </sheetView>
  </sheetViews>
  <sheetFormatPr defaultColWidth="11" defaultRowHeight="15.75" x14ac:dyDescent="0.25"/>
  <cols>
    <col min="1" max="1" width="44" customWidth="1"/>
    <col min="2" max="2" width="15.125" bestFit="1" customWidth="1"/>
    <col min="3" max="9" width="12.5" bestFit="1" customWidth="1"/>
    <col min="10" max="10" width="13.875" customWidth="1"/>
    <col min="11" max="11" width="14.5" customWidth="1"/>
    <col min="12" max="12" width="13.875" customWidth="1"/>
    <col min="13" max="13" width="13.875" hidden="1" customWidth="1"/>
    <col min="14" max="14" width="11" style="124"/>
    <col min="24" max="24" width="22.375" customWidth="1"/>
  </cols>
  <sheetData>
    <row r="1" spans="1:14" ht="18.75" x14ac:dyDescent="0.3">
      <c r="A1" s="36" t="s">
        <v>32</v>
      </c>
      <c r="B1" s="278"/>
      <c r="C1" s="278"/>
      <c r="D1" s="278"/>
      <c r="E1" s="278"/>
      <c r="F1" s="1020" t="s">
        <v>154</v>
      </c>
      <c r="G1" s="1022"/>
      <c r="H1" s="1022"/>
      <c r="I1" s="278"/>
      <c r="J1" s="357"/>
      <c r="K1" s="368"/>
      <c r="L1" s="357"/>
      <c r="M1" s="357"/>
    </row>
    <row r="2" spans="1:14" x14ac:dyDescent="0.25">
      <c r="A2" s="2"/>
      <c r="B2" s="278"/>
      <c r="C2" s="278"/>
      <c r="D2" s="278"/>
      <c r="E2" s="278"/>
      <c r="F2" s="278"/>
      <c r="G2" s="278"/>
      <c r="H2" s="278"/>
      <c r="I2" s="278"/>
      <c r="J2" s="278"/>
      <c r="K2" s="50"/>
      <c r="L2" s="278"/>
      <c r="M2" s="278"/>
    </row>
    <row r="3" spans="1:14" s="278" customFormat="1" x14ac:dyDescent="0.25">
      <c r="A3" s="2" t="s">
        <v>134</v>
      </c>
      <c r="B3" s="435" t="s">
        <v>58</v>
      </c>
      <c r="C3" s="360" t="s">
        <v>58</v>
      </c>
      <c r="D3" s="360" t="s">
        <v>58</v>
      </c>
      <c r="E3" s="360" t="s">
        <v>58</v>
      </c>
      <c r="F3" s="360" t="s">
        <v>58</v>
      </c>
      <c r="G3" s="360" t="s">
        <v>58</v>
      </c>
      <c r="H3" s="360" t="s">
        <v>58</v>
      </c>
      <c r="I3" s="360" t="s">
        <v>58</v>
      </c>
      <c r="J3" s="436" t="s">
        <v>58</v>
      </c>
      <c r="K3" s="360" t="s">
        <v>58</v>
      </c>
      <c r="L3" s="441" t="s">
        <v>58</v>
      </c>
      <c r="M3" s="360" t="s">
        <v>58</v>
      </c>
      <c r="N3" s="124"/>
    </row>
    <row r="4" spans="1:14" x14ac:dyDescent="0.25">
      <c r="A4" s="2"/>
      <c r="B4" s="437" t="s">
        <v>55</v>
      </c>
      <c r="C4" s="205" t="s">
        <v>55</v>
      </c>
      <c r="D4" s="205" t="s">
        <v>55</v>
      </c>
      <c r="E4" s="205" t="s">
        <v>55</v>
      </c>
      <c r="F4" s="205" t="s">
        <v>55</v>
      </c>
      <c r="G4" s="205" t="s">
        <v>55</v>
      </c>
      <c r="H4" s="205" t="s">
        <v>55</v>
      </c>
      <c r="I4" s="205" t="s">
        <v>55</v>
      </c>
      <c r="J4" s="438" t="s">
        <v>55</v>
      </c>
      <c r="K4" s="205" t="s">
        <v>151</v>
      </c>
      <c r="L4" s="442" t="s">
        <v>56</v>
      </c>
      <c r="M4" s="205" t="s">
        <v>253</v>
      </c>
    </row>
    <row r="5" spans="1:14" s="278" customFormat="1" ht="16.5" thickBot="1" x14ac:dyDescent="0.3">
      <c r="A5" s="2"/>
      <c r="B5" s="439">
        <v>2009</v>
      </c>
      <c r="C5" s="367">
        <v>2010</v>
      </c>
      <c r="D5" s="367">
        <v>2011</v>
      </c>
      <c r="E5" s="367">
        <v>2012</v>
      </c>
      <c r="F5" s="367">
        <v>2013</v>
      </c>
      <c r="G5" s="367">
        <v>2014</v>
      </c>
      <c r="H5" s="367">
        <v>2015</v>
      </c>
      <c r="I5" s="367">
        <v>2016</v>
      </c>
      <c r="J5" s="440">
        <v>2017</v>
      </c>
      <c r="K5" s="367">
        <v>2018</v>
      </c>
      <c r="L5" s="456">
        <v>2019</v>
      </c>
      <c r="M5" s="367">
        <v>2018</v>
      </c>
      <c r="N5" s="124"/>
    </row>
    <row r="6" spans="1:14" ht="18.75" x14ac:dyDescent="0.3">
      <c r="A6" s="370" t="s">
        <v>333</v>
      </c>
      <c r="B6" s="378"/>
      <c r="C6" s="371"/>
      <c r="D6" s="371"/>
      <c r="E6" s="371"/>
      <c r="F6" s="371"/>
      <c r="G6" s="371"/>
      <c r="H6" s="371"/>
      <c r="I6" s="371"/>
      <c r="J6" s="379"/>
      <c r="K6" s="463"/>
      <c r="L6" s="464"/>
      <c r="M6" s="463"/>
      <c r="N6" s="126"/>
    </row>
    <row r="7" spans="1:14" x14ac:dyDescent="0.25">
      <c r="A7" s="106" t="s">
        <v>92</v>
      </c>
      <c r="B7" s="380">
        <v>0</v>
      </c>
      <c r="C7" s="315">
        <v>0</v>
      </c>
      <c r="D7" s="315">
        <v>0</v>
      </c>
      <c r="E7" s="315">
        <v>0</v>
      </c>
      <c r="F7" s="315">
        <v>0</v>
      </c>
      <c r="G7" s="315">
        <v>0</v>
      </c>
      <c r="H7" s="315">
        <v>0</v>
      </c>
      <c r="I7" s="315">
        <v>0</v>
      </c>
      <c r="J7" s="381">
        <v>0</v>
      </c>
      <c r="K7" s="315">
        <v>0</v>
      </c>
      <c r="L7" s="372">
        <v>0</v>
      </c>
      <c r="M7" s="315">
        <v>0</v>
      </c>
      <c r="N7" s="121"/>
    </row>
    <row r="8" spans="1:14" x14ac:dyDescent="0.25">
      <c r="A8" s="353" t="s">
        <v>88</v>
      </c>
      <c r="B8" s="380">
        <v>0</v>
      </c>
      <c r="C8" s="315">
        <v>0</v>
      </c>
      <c r="D8" s="315">
        <v>0</v>
      </c>
      <c r="E8" s="315">
        <v>0</v>
      </c>
      <c r="F8" s="315">
        <v>0</v>
      </c>
      <c r="G8" s="315">
        <v>0</v>
      </c>
      <c r="H8" s="315">
        <v>0</v>
      </c>
      <c r="I8" s="315">
        <v>0</v>
      </c>
      <c r="J8" s="381">
        <v>0</v>
      </c>
      <c r="K8" s="315">
        <v>0</v>
      </c>
      <c r="L8" s="372">
        <v>0</v>
      </c>
      <c r="M8" s="315">
        <v>0</v>
      </c>
      <c r="N8" s="121"/>
    </row>
    <row r="9" spans="1:14" x14ac:dyDescent="0.25">
      <c r="A9" s="107" t="s">
        <v>93</v>
      </c>
      <c r="B9" s="380">
        <v>0</v>
      </c>
      <c r="C9" s="315">
        <v>0</v>
      </c>
      <c r="D9" s="315">
        <v>0</v>
      </c>
      <c r="E9" s="315">
        <v>0</v>
      </c>
      <c r="F9" s="315">
        <v>0</v>
      </c>
      <c r="G9" s="315">
        <v>0</v>
      </c>
      <c r="H9" s="315">
        <v>0</v>
      </c>
      <c r="I9" s="315">
        <v>0</v>
      </c>
      <c r="J9" s="381">
        <v>0</v>
      </c>
      <c r="K9" s="315">
        <v>0</v>
      </c>
      <c r="L9" s="372">
        <v>0</v>
      </c>
      <c r="M9" s="315">
        <v>0</v>
      </c>
      <c r="N9" s="121"/>
    </row>
    <row r="10" spans="1:14" x14ac:dyDescent="0.25">
      <c r="A10" s="354" t="s">
        <v>78</v>
      </c>
      <c r="B10" s="380">
        <v>0</v>
      </c>
      <c r="C10" s="315">
        <v>0</v>
      </c>
      <c r="D10" s="315">
        <v>0</v>
      </c>
      <c r="E10" s="315">
        <v>0</v>
      </c>
      <c r="F10" s="315">
        <v>0</v>
      </c>
      <c r="G10" s="315">
        <v>0</v>
      </c>
      <c r="H10" s="315">
        <v>0</v>
      </c>
      <c r="I10" s="315">
        <v>0</v>
      </c>
      <c r="J10" s="381">
        <v>0</v>
      </c>
      <c r="K10" s="315">
        <v>0</v>
      </c>
      <c r="L10" s="372">
        <v>0</v>
      </c>
      <c r="M10" s="315">
        <v>0</v>
      </c>
      <c r="N10" s="121"/>
    </row>
    <row r="11" spans="1:14" ht="16.5" thickBot="1" x14ac:dyDescent="0.3">
      <c r="A11" s="108"/>
      <c r="B11" s="382"/>
      <c r="C11" s="369"/>
      <c r="D11" s="369"/>
      <c r="E11" s="369"/>
      <c r="F11" s="369"/>
      <c r="G11" s="369"/>
      <c r="H11" s="369"/>
      <c r="I11" s="369"/>
      <c r="J11" s="383"/>
      <c r="K11" s="369"/>
      <c r="L11" s="373"/>
      <c r="M11" s="369">
        <v>0</v>
      </c>
      <c r="N11" s="121"/>
    </row>
    <row r="12" spans="1:14" ht="17.25" thickTop="1" thickBot="1" x14ac:dyDescent="0.3">
      <c r="A12" s="474" t="s">
        <v>100</v>
      </c>
      <c r="B12" s="475">
        <f>SUM(B7:B10)</f>
        <v>0</v>
      </c>
      <c r="C12" s="476">
        <f t="shared" ref="C12:M12" si="0">SUM(C7:C10)</f>
        <v>0</v>
      </c>
      <c r="D12" s="476">
        <f t="shared" si="0"/>
        <v>0</v>
      </c>
      <c r="E12" s="476">
        <f t="shared" si="0"/>
        <v>0</v>
      </c>
      <c r="F12" s="476">
        <f t="shared" si="0"/>
        <v>0</v>
      </c>
      <c r="G12" s="476">
        <f t="shared" si="0"/>
        <v>0</v>
      </c>
      <c r="H12" s="476">
        <f t="shared" si="0"/>
        <v>0</v>
      </c>
      <c r="I12" s="476">
        <f t="shared" si="0"/>
        <v>0</v>
      </c>
      <c r="J12" s="477">
        <f t="shared" si="0"/>
        <v>0</v>
      </c>
      <c r="K12" s="476">
        <f t="shared" ref="K12" si="1">SUM(K7:K10)</f>
        <v>0</v>
      </c>
      <c r="L12" s="478">
        <f>SUM(L7:L10)</f>
        <v>0</v>
      </c>
      <c r="M12" s="476">
        <f t="shared" si="0"/>
        <v>0</v>
      </c>
      <c r="N12" s="126"/>
    </row>
    <row r="13" spans="1:14" x14ac:dyDescent="0.25">
      <c r="A13" s="734"/>
      <c r="B13" s="418"/>
      <c r="C13" s="19"/>
      <c r="D13" s="19"/>
      <c r="E13" s="19"/>
      <c r="F13" s="19"/>
      <c r="G13" s="19"/>
      <c r="H13" s="19"/>
      <c r="I13" s="19"/>
      <c r="J13" s="419"/>
      <c r="K13" s="19"/>
      <c r="L13" s="455"/>
      <c r="M13" s="19"/>
    </row>
    <row r="14" spans="1:14" ht="16.5" thickBot="1" x14ac:dyDescent="0.3">
      <c r="A14" s="735"/>
      <c r="B14" s="418"/>
      <c r="C14" s="19"/>
      <c r="D14" s="19"/>
      <c r="E14" s="19"/>
      <c r="F14" s="19"/>
      <c r="G14" s="19"/>
      <c r="H14" s="19"/>
      <c r="I14" s="19"/>
      <c r="J14" s="419"/>
      <c r="K14" s="19"/>
      <c r="L14" s="455"/>
      <c r="M14" s="19"/>
    </row>
    <row r="15" spans="1:14" ht="18.75" x14ac:dyDescent="0.3">
      <c r="A15" s="376" t="s">
        <v>332</v>
      </c>
      <c r="B15" s="521">
        <v>2009</v>
      </c>
      <c r="C15" s="522">
        <v>2010</v>
      </c>
      <c r="D15" s="522">
        <v>2011</v>
      </c>
      <c r="E15" s="522">
        <v>2012</v>
      </c>
      <c r="F15" s="522">
        <v>2013</v>
      </c>
      <c r="G15" s="522">
        <v>2014</v>
      </c>
      <c r="H15" s="522">
        <v>2015</v>
      </c>
      <c r="I15" s="522">
        <v>2016</v>
      </c>
      <c r="J15" s="523">
        <v>2017</v>
      </c>
      <c r="K15" s="522">
        <v>2018</v>
      </c>
      <c r="L15" s="524">
        <v>2019</v>
      </c>
      <c r="M15" s="146">
        <v>2018</v>
      </c>
      <c r="N15" s="120"/>
    </row>
    <row r="16" spans="1:14" x14ac:dyDescent="0.25">
      <c r="A16" s="106" t="s">
        <v>92</v>
      </c>
      <c r="B16" s="380">
        <v>92527</v>
      </c>
      <c r="C16" s="313">
        <v>106423</v>
      </c>
      <c r="D16" s="313">
        <v>101076</v>
      </c>
      <c r="E16" s="311">
        <v>97102</v>
      </c>
      <c r="F16" s="313">
        <v>118263</v>
      </c>
      <c r="G16" s="313">
        <v>162625</v>
      </c>
      <c r="H16" s="313">
        <v>157812</v>
      </c>
      <c r="I16" s="313">
        <v>151146</v>
      </c>
      <c r="J16" s="381">
        <v>159913</v>
      </c>
      <c r="K16" s="313">
        <v>168523</v>
      </c>
      <c r="L16" s="372">
        <v>139383</v>
      </c>
      <c r="M16" s="65">
        <v>143523</v>
      </c>
      <c r="N16" s="120"/>
    </row>
    <row r="17" spans="1:22" x14ac:dyDescent="0.25">
      <c r="A17" s="353" t="s">
        <v>88</v>
      </c>
      <c r="B17" s="380">
        <v>0</v>
      </c>
      <c r="C17" s="31">
        <v>0</v>
      </c>
      <c r="D17" s="31">
        <v>0</v>
      </c>
      <c r="E17" s="31">
        <v>0</v>
      </c>
      <c r="F17" s="31">
        <v>0</v>
      </c>
      <c r="G17" s="31">
        <v>0</v>
      </c>
      <c r="H17" s="31">
        <v>0</v>
      </c>
      <c r="I17" s="31">
        <v>0</v>
      </c>
      <c r="J17" s="381">
        <v>0</v>
      </c>
      <c r="K17" s="31">
        <v>0</v>
      </c>
      <c r="L17" s="372">
        <v>0</v>
      </c>
      <c r="M17" s="31">
        <v>0</v>
      </c>
      <c r="N17" s="120"/>
    </row>
    <row r="18" spans="1:22" x14ac:dyDescent="0.25">
      <c r="A18" s="107" t="s">
        <v>93</v>
      </c>
      <c r="B18" s="380">
        <v>0</v>
      </c>
      <c r="C18" s="31">
        <v>0</v>
      </c>
      <c r="D18" s="31">
        <v>0</v>
      </c>
      <c r="E18" s="31">
        <v>0</v>
      </c>
      <c r="F18" s="31">
        <v>0</v>
      </c>
      <c r="G18" s="31">
        <v>0</v>
      </c>
      <c r="H18" s="31">
        <v>0</v>
      </c>
      <c r="I18" s="31">
        <v>0</v>
      </c>
      <c r="J18" s="381">
        <v>0</v>
      </c>
      <c r="K18" s="31">
        <v>0</v>
      </c>
      <c r="L18" s="372">
        <v>0</v>
      </c>
      <c r="M18" s="31">
        <v>0</v>
      </c>
      <c r="N18" s="120"/>
    </row>
    <row r="19" spans="1:22" x14ac:dyDescent="0.25">
      <c r="A19" s="354" t="s">
        <v>78</v>
      </c>
      <c r="B19" s="380">
        <v>0</v>
      </c>
      <c r="C19" s="31">
        <v>0</v>
      </c>
      <c r="D19" s="31">
        <v>0</v>
      </c>
      <c r="E19" s="31">
        <v>0</v>
      </c>
      <c r="F19" s="31">
        <v>0</v>
      </c>
      <c r="G19" s="31">
        <v>0</v>
      </c>
      <c r="H19" s="31">
        <v>0</v>
      </c>
      <c r="I19" s="31">
        <v>0</v>
      </c>
      <c r="J19" s="381">
        <v>0</v>
      </c>
      <c r="K19" s="31">
        <v>0</v>
      </c>
      <c r="L19" s="372">
        <v>0</v>
      </c>
      <c r="M19" s="31"/>
      <c r="N19" s="120"/>
    </row>
    <row r="20" spans="1:22" ht="16.5" thickBot="1" x14ac:dyDescent="0.3">
      <c r="A20" s="479"/>
      <c r="B20" s="472"/>
      <c r="C20" s="99"/>
      <c r="D20" s="99"/>
      <c r="E20" s="99"/>
      <c r="F20" s="99"/>
      <c r="G20" s="99"/>
      <c r="H20" s="99"/>
      <c r="I20" s="99"/>
      <c r="J20" s="473"/>
      <c r="K20" s="99"/>
      <c r="L20" s="374"/>
      <c r="M20" s="99">
        <v>0</v>
      </c>
      <c r="N20" s="120"/>
    </row>
    <row r="21" spans="1:22" ht="17.25" thickTop="1" thickBot="1" x14ac:dyDescent="0.3">
      <c r="A21" s="896" t="s">
        <v>102</v>
      </c>
      <c r="B21" s="475">
        <f t="shared" ref="B21:M21" si="2">SUM(B16:B20)</f>
        <v>92527</v>
      </c>
      <c r="C21" s="476">
        <f t="shared" si="2"/>
        <v>106423</v>
      </c>
      <c r="D21" s="476">
        <f t="shared" si="2"/>
        <v>101076</v>
      </c>
      <c r="E21" s="476">
        <f t="shared" si="2"/>
        <v>97102</v>
      </c>
      <c r="F21" s="476">
        <f t="shared" si="2"/>
        <v>118263</v>
      </c>
      <c r="G21" s="476">
        <f t="shared" si="2"/>
        <v>162625</v>
      </c>
      <c r="H21" s="476">
        <f t="shared" si="2"/>
        <v>157812</v>
      </c>
      <c r="I21" s="476">
        <f t="shared" si="2"/>
        <v>151146</v>
      </c>
      <c r="J21" s="477">
        <f t="shared" si="2"/>
        <v>159913</v>
      </c>
      <c r="K21" s="476">
        <f>SUM(K16:K20)</f>
        <v>168523</v>
      </c>
      <c r="L21" s="478">
        <f>SUM(L16:L20)</f>
        <v>139383</v>
      </c>
      <c r="M21" s="313">
        <f t="shared" si="2"/>
        <v>143523</v>
      </c>
      <c r="N21" s="120"/>
    </row>
    <row r="22" spans="1:22" x14ac:dyDescent="0.25">
      <c r="A22" s="737"/>
      <c r="B22" s="408"/>
      <c r="C22" s="124"/>
      <c r="D22" s="124"/>
      <c r="E22" s="124"/>
      <c r="F22" s="124"/>
      <c r="G22" s="124"/>
      <c r="H22" s="124"/>
      <c r="I22" s="124"/>
      <c r="J22" s="410"/>
      <c r="K22" s="124"/>
      <c r="L22" s="932"/>
      <c r="M22" s="124"/>
    </row>
    <row r="23" spans="1:22" s="278" customFormat="1" x14ac:dyDescent="0.25">
      <c r="A23" s="154"/>
      <c r="B23" s="392"/>
      <c r="J23" s="393"/>
      <c r="K23" s="1"/>
      <c r="L23" s="163"/>
      <c r="N23" s="120"/>
    </row>
    <row r="24" spans="1:22" x14ac:dyDescent="0.25">
      <c r="A24" s="106"/>
      <c r="B24" s="525">
        <v>2009</v>
      </c>
      <c r="C24" s="46">
        <v>2010</v>
      </c>
      <c r="D24" s="46">
        <v>2011</v>
      </c>
      <c r="E24" s="46">
        <v>2012</v>
      </c>
      <c r="F24" s="46">
        <v>2013</v>
      </c>
      <c r="G24" s="46">
        <v>2014</v>
      </c>
      <c r="H24" s="46">
        <v>2015</v>
      </c>
      <c r="I24" s="46">
        <v>2016</v>
      </c>
      <c r="J24" s="526">
        <v>2017</v>
      </c>
      <c r="K24" s="46">
        <v>2018</v>
      </c>
      <c r="L24" s="443">
        <v>2019</v>
      </c>
      <c r="M24" s="146">
        <v>2018</v>
      </c>
    </row>
    <row r="25" spans="1:22" x14ac:dyDescent="0.25">
      <c r="A25" s="106" t="s">
        <v>152</v>
      </c>
      <c r="B25" s="511">
        <f t="shared" ref="B25:M25" si="3">+B21/B26</f>
        <v>1.4649156138184352</v>
      </c>
      <c r="C25" s="512">
        <f t="shared" si="3"/>
        <v>1.5710046942812435</v>
      </c>
      <c r="D25" s="512">
        <f t="shared" si="3"/>
        <v>1.4699611698491877</v>
      </c>
      <c r="E25" s="512">
        <f t="shared" si="3"/>
        <v>1.4003547684631026</v>
      </c>
      <c r="F25" s="512">
        <f t="shared" si="3"/>
        <v>1.6805883188858888</v>
      </c>
      <c r="G25" s="512">
        <f t="shared" si="3"/>
        <v>2.2896222563250594</v>
      </c>
      <c r="H25" s="512">
        <f t="shared" si="3"/>
        <v>2.1494415690547535</v>
      </c>
      <c r="I25" s="512">
        <f t="shared" si="3"/>
        <v>2.0319419237749545</v>
      </c>
      <c r="J25" s="513">
        <f t="shared" si="3"/>
        <v>2.1085574894514769</v>
      </c>
      <c r="K25" s="512">
        <f t="shared" si="3"/>
        <v>2.1811886826641818</v>
      </c>
      <c r="L25" s="514">
        <f t="shared" si="3"/>
        <v>1.76478855406432</v>
      </c>
      <c r="M25" s="8">
        <f t="shared" si="3"/>
        <v>1.8576143511687504</v>
      </c>
      <c r="N25" s="120"/>
    </row>
    <row r="26" spans="1:22" x14ac:dyDescent="0.25">
      <c r="A26" s="933" t="s">
        <v>340</v>
      </c>
      <c r="B26" s="390">
        <f>Stats!D4</f>
        <v>63162</v>
      </c>
      <c r="C26" s="12">
        <f>Stats!E4</f>
        <v>67742</v>
      </c>
      <c r="D26" s="12">
        <f>Stats!F4</f>
        <v>68761</v>
      </c>
      <c r="E26" s="12">
        <f>Stats!G4</f>
        <v>69341</v>
      </c>
      <c r="F26" s="12">
        <f>Stats!H4</f>
        <v>70370</v>
      </c>
      <c r="G26" s="12">
        <f>Stats!I4</f>
        <v>71027</v>
      </c>
      <c r="H26" s="12">
        <f>Stats!J4</f>
        <v>73420</v>
      </c>
      <c r="I26" s="47">
        <f>Stats!K4</f>
        <v>74385</v>
      </c>
      <c r="J26" s="483">
        <f>Stats!L4</f>
        <v>75840</v>
      </c>
      <c r="K26" s="47">
        <f>Stats!M4</f>
        <v>77262</v>
      </c>
      <c r="L26" s="486">
        <f>Stats!N4</f>
        <v>78980</v>
      </c>
      <c r="M26" s="47">
        <f>Stats!M4</f>
        <v>77262</v>
      </c>
      <c r="N26" s="120"/>
    </row>
    <row r="27" spans="1:22" x14ac:dyDescent="0.25">
      <c r="A27" s="934"/>
      <c r="B27" s="416"/>
      <c r="C27" s="26"/>
      <c r="D27" s="26"/>
      <c r="E27" s="26"/>
      <c r="F27" s="26"/>
      <c r="G27" s="26"/>
      <c r="H27" s="26"/>
      <c r="I27" s="26"/>
      <c r="J27" s="417"/>
      <c r="K27" s="26"/>
      <c r="L27" s="109"/>
      <c r="M27" s="26"/>
      <c r="N27" s="120"/>
    </row>
    <row r="28" spans="1:22" x14ac:dyDescent="0.25">
      <c r="A28" s="154"/>
      <c r="B28" s="392"/>
      <c r="J28" s="393"/>
      <c r="K28" s="1"/>
      <c r="L28" s="163"/>
      <c r="N28" s="120"/>
    </row>
    <row r="29" spans="1:22" x14ac:dyDescent="0.25">
      <c r="A29" s="737"/>
      <c r="B29" s="481"/>
      <c r="C29" s="188"/>
      <c r="D29" s="188"/>
      <c r="E29" s="188"/>
      <c r="F29" s="188"/>
      <c r="G29" s="188"/>
      <c r="H29" s="188"/>
      <c r="I29" s="188"/>
      <c r="J29" s="484"/>
      <c r="K29" s="120"/>
      <c r="L29" s="487"/>
      <c r="M29" s="188"/>
      <c r="N29" s="120"/>
    </row>
    <row r="30" spans="1:22" x14ac:dyDescent="0.25">
      <c r="A30" s="935"/>
      <c r="B30" s="408"/>
      <c r="C30" s="124"/>
      <c r="D30" s="124"/>
      <c r="E30" s="124"/>
      <c r="F30" s="124"/>
      <c r="G30" s="124"/>
      <c r="H30" s="124"/>
      <c r="I30" s="124"/>
      <c r="J30" s="410"/>
      <c r="K30" s="120"/>
      <c r="L30" s="449"/>
      <c r="M30" s="124"/>
      <c r="N30" s="120"/>
    </row>
    <row r="31" spans="1:22" x14ac:dyDescent="0.25">
      <c r="A31" s="154"/>
      <c r="B31" s="392"/>
      <c r="J31" s="393"/>
      <c r="K31" s="1"/>
      <c r="L31" s="163"/>
      <c r="N31" s="120"/>
      <c r="V31" s="19"/>
    </row>
    <row r="32" spans="1:22" x14ac:dyDescent="0.25">
      <c r="A32" s="154"/>
      <c r="B32" s="392"/>
      <c r="J32" s="393"/>
      <c r="L32" s="163"/>
      <c r="M32" s="14"/>
    </row>
    <row r="33" spans="1:14" x14ac:dyDescent="0.25">
      <c r="A33" s="154"/>
      <c r="B33" s="392"/>
      <c r="J33" s="393"/>
      <c r="K33" s="1"/>
      <c r="L33" s="163"/>
      <c r="N33" s="120"/>
    </row>
    <row r="34" spans="1:14" x14ac:dyDescent="0.25">
      <c r="A34" s="740"/>
      <c r="B34" s="380"/>
      <c r="C34" s="105"/>
      <c r="D34" s="105"/>
      <c r="E34" s="105"/>
      <c r="F34" s="105"/>
      <c r="G34" s="105"/>
      <c r="H34" s="105"/>
      <c r="I34" s="105"/>
      <c r="J34" s="381"/>
      <c r="K34" s="1"/>
      <c r="L34" s="372"/>
      <c r="M34" s="105"/>
      <c r="N34" s="120"/>
    </row>
    <row r="35" spans="1:14" x14ac:dyDescent="0.25">
      <c r="A35" s="740"/>
      <c r="B35" s="380"/>
      <c r="C35" s="105"/>
      <c r="D35" s="105"/>
      <c r="E35" s="105"/>
      <c r="F35" s="105"/>
      <c r="G35" s="105"/>
      <c r="H35" s="105"/>
      <c r="I35" s="105"/>
      <c r="J35" s="381"/>
      <c r="K35" s="1"/>
      <c r="L35" s="372"/>
      <c r="M35" s="105"/>
      <c r="N35" s="120"/>
    </row>
    <row r="36" spans="1:14" x14ac:dyDescent="0.25">
      <c r="A36" s="740"/>
      <c r="B36" s="380"/>
      <c r="C36" s="105"/>
      <c r="D36" s="105"/>
      <c r="E36" s="105"/>
      <c r="F36" s="105"/>
      <c r="G36" s="105"/>
      <c r="H36" s="105"/>
      <c r="I36" s="105"/>
      <c r="J36" s="381"/>
      <c r="K36" s="1"/>
      <c r="L36" s="372"/>
      <c r="M36" s="105"/>
      <c r="N36" s="120"/>
    </row>
    <row r="37" spans="1:14" s="17" customFormat="1" x14ac:dyDescent="0.25">
      <c r="A37" s="740"/>
      <c r="B37" s="380"/>
      <c r="C37" s="105"/>
      <c r="D37" s="105"/>
      <c r="E37" s="105"/>
      <c r="F37" s="105"/>
      <c r="G37" s="105"/>
      <c r="H37" s="105"/>
      <c r="I37" s="105"/>
      <c r="J37" s="381"/>
      <c r="K37" s="32"/>
      <c r="L37" s="372"/>
      <c r="M37" s="105"/>
      <c r="N37" s="128"/>
    </row>
    <row r="38" spans="1:14" x14ac:dyDescent="0.25">
      <c r="A38" s="738"/>
      <c r="B38" s="416"/>
      <c r="C38" s="93"/>
      <c r="D38" s="93"/>
      <c r="E38" s="93"/>
      <c r="F38" s="93"/>
      <c r="G38" s="93"/>
      <c r="H38" s="93"/>
      <c r="I38" s="93"/>
      <c r="J38" s="417"/>
      <c r="K38" s="1"/>
      <c r="L38" s="109"/>
      <c r="M38" s="93"/>
      <c r="N38" s="120"/>
    </row>
    <row r="39" spans="1:14" x14ac:dyDescent="0.25">
      <c r="A39" s="738"/>
      <c r="B39" s="407"/>
      <c r="C39" s="116"/>
      <c r="D39" s="116"/>
      <c r="E39" s="116"/>
      <c r="F39" s="116"/>
      <c r="G39" s="116"/>
      <c r="H39" s="116"/>
      <c r="I39" s="133"/>
      <c r="J39" s="591"/>
      <c r="K39" s="1"/>
      <c r="L39" s="134"/>
      <c r="M39" s="133"/>
      <c r="N39" s="120"/>
    </row>
    <row r="40" spans="1:14" x14ac:dyDescent="0.25">
      <c r="A40" s="738"/>
      <c r="B40" s="418"/>
      <c r="C40" s="114"/>
      <c r="D40" s="114"/>
      <c r="E40" s="114"/>
      <c r="F40" s="114"/>
      <c r="G40" s="114"/>
      <c r="H40" s="114"/>
      <c r="I40" s="114"/>
      <c r="J40" s="419"/>
      <c r="K40" s="1"/>
      <c r="L40" s="455"/>
      <c r="M40" s="114"/>
      <c r="N40" s="120"/>
    </row>
    <row r="41" spans="1:14" x14ac:dyDescent="0.25">
      <c r="A41" s="765"/>
      <c r="B41" s="418"/>
      <c r="C41" s="114"/>
      <c r="D41" s="114"/>
      <c r="E41" s="114"/>
      <c r="F41" s="114"/>
      <c r="G41" s="114"/>
      <c r="H41" s="114"/>
      <c r="I41" s="114"/>
      <c r="J41" s="419"/>
      <c r="K41" s="1"/>
      <c r="L41" s="455"/>
      <c r="M41" s="114"/>
      <c r="N41" s="120"/>
    </row>
    <row r="42" spans="1:14" x14ac:dyDescent="0.25">
      <c r="A42" s="765"/>
      <c r="B42" s="416"/>
      <c r="C42" s="93"/>
      <c r="D42" s="93"/>
      <c r="E42" s="93"/>
      <c r="F42" s="93"/>
      <c r="G42" s="93"/>
      <c r="H42" s="93"/>
      <c r="I42" s="93"/>
      <c r="J42" s="417"/>
      <c r="K42" s="1"/>
      <c r="L42" s="109"/>
      <c r="M42" s="93"/>
      <c r="N42" s="120"/>
    </row>
    <row r="43" spans="1:14" x14ac:dyDescent="0.25">
      <c r="A43" s="765"/>
      <c r="B43" s="576"/>
      <c r="C43" s="200"/>
      <c r="D43" s="200"/>
      <c r="E43" s="200"/>
      <c r="F43" s="200"/>
      <c r="G43" s="200"/>
      <c r="H43" s="200"/>
      <c r="I43" s="200"/>
      <c r="J43" s="459"/>
      <c r="K43" s="1"/>
      <c r="L43" s="468"/>
      <c r="M43" s="200"/>
      <c r="N43" s="120"/>
    </row>
    <row r="44" spans="1:14" x14ac:dyDescent="0.25">
      <c r="A44" s="739"/>
      <c r="B44" s="577"/>
      <c r="C44" s="202"/>
      <c r="D44" s="202"/>
      <c r="E44" s="202"/>
      <c r="F44" s="202"/>
      <c r="G44" s="202"/>
      <c r="H44" s="202"/>
      <c r="I44" s="202"/>
      <c r="J44" s="460"/>
      <c r="K44" s="1"/>
      <c r="L44" s="469"/>
      <c r="M44" s="202"/>
      <c r="N44" s="120"/>
    </row>
    <row r="45" spans="1:14" x14ac:dyDescent="0.25">
      <c r="A45" s="764"/>
      <c r="B45" s="577"/>
      <c r="C45" s="202"/>
      <c r="D45" s="202"/>
      <c r="E45" s="202"/>
      <c r="F45" s="202"/>
      <c r="G45" s="202"/>
      <c r="H45" s="202"/>
      <c r="I45" s="202"/>
      <c r="J45" s="460"/>
      <c r="K45" s="1"/>
      <c r="L45" s="469"/>
      <c r="M45" s="202"/>
      <c r="N45" s="120"/>
    </row>
    <row r="46" spans="1:14" x14ac:dyDescent="0.25">
      <c r="A46" s="203"/>
      <c r="B46" s="508"/>
      <c r="C46" s="204"/>
      <c r="D46" s="204"/>
      <c r="E46" s="204"/>
      <c r="F46" s="204"/>
      <c r="G46" s="204"/>
      <c r="H46" s="204"/>
      <c r="I46" s="204"/>
      <c r="J46" s="574"/>
      <c r="K46" s="1"/>
      <c r="L46" s="572"/>
      <c r="M46" s="204"/>
      <c r="N46" s="120"/>
    </row>
    <row r="47" spans="1:14" x14ac:dyDescent="0.25">
      <c r="A47" s="205"/>
      <c r="B47" s="576"/>
      <c r="C47" s="140"/>
      <c r="D47" s="140"/>
      <c r="E47" s="140"/>
      <c r="F47" s="140"/>
      <c r="G47" s="140"/>
      <c r="H47" s="140"/>
      <c r="I47" s="140"/>
      <c r="J47" s="461"/>
      <c r="K47" s="1"/>
      <c r="L47" s="470"/>
      <c r="M47" s="140"/>
      <c r="N47" s="120"/>
    </row>
    <row r="48" spans="1:14" x14ac:dyDescent="0.25">
      <c r="A48" s="141"/>
      <c r="B48" s="576"/>
      <c r="C48" s="140"/>
      <c r="D48" s="140"/>
      <c r="E48" s="140"/>
      <c r="F48" s="140"/>
      <c r="G48" s="140"/>
      <c r="H48" s="140"/>
      <c r="I48" s="140"/>
      <c r="J48" s="461"/>
      <c r="K48" s="1"/>
      <c r="L48" s="470"/>
      <c r="M48" s="140"/>
      <c r="N48" s="120"/>
    </row>
    <row r="49" spans="1:14" x14ac:dyDescent="0.25">
      <c r="A49" s="114"/>
      <c r="B49" s="416"/>
      <c r="C49" s="93"/>
      <c r="D49" s="93"/>
      <c r="E49" s="93"/>
      <c r="F49" s="93"/>
      <c r="G49" s="93"/>
      <c r="H49" s="93"/>
      <c r="I49" s="93"/>
      <c r="J49" s="417"/>
      <c r="K49" s="1"/>
      <c r="L49" s="109"/>
      <c r="M49" s="93"/>
      <c r="N49" s="120"/>
    </row>
    <row r="50" spans="1:14" ht="18.75" x14ac:dyDescent="0.3">
      <c r="A50" s="206"/>
      <c r="B50" s="416"/>
      <c r="C50" s="93"/>
      <c r="D50" s="93"/>
      <c r="E50" s="93"/>
      <c r="F50" s="93"/>
      <c r="G50" s="93"/>
      <c r="H50" s="93"/>
      <c r="I50" s="93"/>
      <c r="J50" s="417"/>
      <c r="K50" s="1"/>
      <c r="L50" s="109"/>
      <c r="M50" s="93"/>
      <c r="N50" s="120"/>
    </row>
    <row r="51" spans="1:14" x14ac:dyDescent="0.25">
      <c r="A51" s="116"/>
      <c r="B51" s="639"/>
      <c r="C51" s="207"/>
      <c r="D51" s="207"/>
      <c r="E51" s="207"/>
      <c r="F51" s="207"/>
      <c r="G51" s="207"/>
      <c r="H51" s="207"/>
      <c r="I51" s="207"/>
      <c r="J51" s="462"/>
      <c r="K51" s="1"/>
      <c r="L51" s="471"/>
      <c r="M51" s="207"/>
      <c r="N51" s="120"/>
    </row>
    <row r="52" spans="1:14" x14ac:dyDescent="0.25">
      <c r="A52" s="114"/>
      <c r="B52" s="416"/>
      <c r="C52" s="93"/>
      <c r="D52" s="93"/>
      <c r="E52" s="93"/>
      <c r="F52" s="93"/>
      <c r="G52" s="93"/>
      <c r="H52" s="93"/>
      <c r="I52" s="93"/>
      <c r="J52" s="417"/>
      <c r="K52" s="1"/>
      <c r="L52" s="109"/>
      <c r="M52" s="93"/>
      <c r="N52" s="120"/>
    </row>
    <row r="53" spans="1:14" x14ac:dyDescent="0.25">
      <c r="A53" s="114"/>
      <c r="B53" s="416"/>
      <c r="C53" s="93"/>
      <c r="D53" s="93"/>
      <c r="E53" s="93"/>
      <c r="F53" s="93"/>
      <c r="G53" s="93"/>
      <c r="H53" s="93"/>
      <c r="I53" s="93"/>
      <c r="J53" s="417"/>
      <c r="K53" s="1"/>
      <c r="L53" s="109"/>
      <c r="M53" s="93"/>
      <c r="N53" s="120"/>
    </row>
    <row r="54" spans="1:14" x14ac:dyDescent="0.25">
      <c r="A54" s="114"/>
      <c r="B54" s="416"/>
      <c r="C54" s="93"/>
      <c r="D54" s="93"/>
      <c r="E54" s="93"/>
      <c r="F54" s="93"/>
      <c r="G54" s="93"/>
      <c r="H54" s="93"/>
      <c r="I54" s="93"/>
      <c r="J54" s="417"/>
      <c r="K54" s="1"/>
      <c r="L54" s="109"/>
      <c r="M54" s="93"/>
      <c r="N54" s="120"/>
    </row>
    <row r="55" spans="1:14" x14ac:dyDescent="0.25">
      <c r="A55" s="201"/>
      <c r="B55" s="416"/>
      <c r="C55" s="93"/>
      <c r="D55" s="93"/>
      <c r="E55" s="93"/>
      <c r="F55" s="93"/>
      <c r="G55" s="93"/>
      <c r="H55" s="93"/>
      <c r="I55" s="93"/>
      <c r="J55" s="417"/>
      <c r="K55" s="1"/>
      <c r="L55" s="109"/>
      <c r="M55" s="93"/>
      <c r="N55" s="120"/>
    </row>
    <row r="56" spans="1:14" x14ac:dyDescent="0.25">
      <c r="A56" s="199"/>
      <c r="B56" s="416"/>
      <c r="C56" s="93"/>
      <c r="D56" s="93"/>
      <c r="E56" s="93"/>
      <c r="F56" s="93"/>
      <c r="G56" s="93"/>
      <c r="H56" s="93"/>
      <c r="I56" s="93"/>
      <c r="J56" s="417"/>
      <c r="K56" s="1"/>
      <c r="L56" s="109"/>
      <c r="M56" s="93"/>
      <c r="N56" s="120"/>
    </row>
    <row r="57" spans="1:14" x14ac:dyDescent="0.25">
      <c r="A57" s="114"/>
      <c r="B57" s="416"/>
      <c r="C57" s="93"/>
      <c r="D57" s="93"/>
      <c r="E57" s="93"/>
      <c r="F57" s="93"/>
      <c r="G57" s="93"/>
      <c r="H57" s="93"/>
      <c r="I57" s="93"/>
      <c r="J57" s="417"/>
      <c r="K57" s="1"/>
      <c r="L57" s="109"/>
      <c r="M57" s="93"/>
      <c r="N57" s="120"/>
    </row>
    <row r="58" spans="1:14" x14ac:dyDescent="0.25">
      <c r="A58" s="114"/>
      <c r="B58" s="416"/>
      <c r="C58" s="93"/>
      <c r="D58" s="93"/>
      <c r="E58" s="93"/>
      <c r="F58" s="93"/>
      <c r="G58" s="93"/>
      <c r="H58" s="93"/>
      <c r="I58" s="93"/>
      <c r="J58" s="417"/>
      <c r="K58" s="1"/>
      <c r="L58" s="109"/>
      <c r="M58" s="93"/>
      <c r="N58" s="120"/>
    </row>
    <row r="59" spans="1:14" x14ac:dyDescent="0.25">
      <c r="A59" s="114"/>
      <c r="B59" s="423"/>
      <c r="C59" s="112"/>
      <c r="D59" s="112"/>
      <c r="E59" s="112"/>
      <c r="F59" s="112"/>
      <c r="G59" s="112"/>
      <c r="H59" s="112"/>
      <c r="I59" s="112"/>
      <c r="J59" s="424"/>
      <c r="K59" s="1"/>
      <c r="L59" s="113"/>
      <c r="M59" s="112"/>
      <c r="N59" s="120"/>
    </row>
    <row r="60" spans="1:14" x14ac:dyDescent="0.25">
      <c r="A60" s="114"/>
      <c r="B60" s="418"/>
      <c r="C60" s="114"/>
      <c r="D60" s="114"/>
      <c r="E60" s="114"/>
      <c r="F60" s="114"/>
      <c r="G60" s="114"/>
      <c r="H60" s="114"/>
      <c r="I60" s="114"/>
      <c r="J60" s="419"/>
      <c r="K60" s="1"/>
      <c r="L60" s="455"/>
      <c r="M60" s="114"/>
      <c r="N60" s="120"/>
    </row>
    <row r="61" spans="1:14" x14ac:dyDescent="0.25">
      <c r="A61" s="114"/>
      <c r="B61" s="418"/>
      <c r="C61" s="114"/>
      <c r="D61" s="114"/>
      <c r="E61" s="114"/>
      <c r="F61" s="114"/>
      <c r="G61" s="114"/>
      <c r="H61" s="114"/>
      <c r="I61" s="114"/>
      <c r="J61" s="419"/>
      <c r="K61" s="1"/>
      <c r="L61" s="455"/>
      <c r="M61" s="114"/>
      <c r="N61" s="120"/>
    </row>
    <row r="62" spans="1:14" x14ac:dyDescent="0.25">
      <c r="A62" s="114"/>
      <c r="B62" s="418"/>
      <c r="C62" s="114"/>
      <c r="D62" s="114"/>
      <c r="E62" s="114"/>
      <c r="F62" s="114"/>
      <c r="G62" s="114"/>
      <c r="H62" s="114"/>
      <c r="I62" s="114"/>
      <c r="J62" s="419"/>
      <c r="K62" s="1"/>
      <c r="L62" s="455"/>
      <c r="M62" s="114"/>
      <c r="N62" s="120"/>
    </row>
    <row r="63" spans="1:14" x14ac:dyDescent="0.25">
      <c r="A63" s="114"/>
      <c r="B63" s="418"/>
      <c r="C63" s="114"/>
      <c r="D63" s="114"/>
      <c r="E63" s="114"/>
      <c r="F63" s="114"/>
      <c r="G63" s="114"/>
      <c r="H63" s="114"/>
      <c r="I63" s="114"/>
      <c r="J63" s="419"/>
      <c r="K63" s="1"/>
      <c r="L63" s="455"/>
      <c r="M63" s="114"/>
      <c r="N63" s="120"/>
    </row>
    <row r="64" spans="1:14" x14ac:dyDescent="0.25">
      <c r="A64" s="114"/>
      <c r="B64" s="418"/>
      <c r="C64" s="114"/>
      <c r="D64" s="114"/>
      <c r="E64" s="114"/>
      <c r="F64" s="114"/>
      <c r="G64" s="114"/>
      <c r="H64" s="114"/>
      <c r="I64" s="114"/>
      <c r="J64" s="419"/>
      <c r="K64" s="1"/>
      <c r="L64" s="455"/>
      <c r="M64" s="114"/>
      <c r="N64" s="120"/>
    </row>
    <row r="65" spans="1:14" x14ac:dyDescent="0.25">
      <c r="A65" s="114"/>
      <c r="B65" s="418"/>
      <c r="C65" s="114"/>
      <c r="D65" s="114"/>
      <c r="E65" s="114"/>
      <c r="F65" s="114"/>
      <c r="G65" s="114"/>
      <c r="H65" s="114"/>
      <c r="I65" s="114"/>
      <c r="J65" s="419"/>
      <c r="K65" s="1"/>
      <c r="L65" s="455"/>
      <c r="M65" s="114"/>
      <c r="N65" s="120"/>
    </row>
    <row r="66" spans="1:14" x14ac:dyDescent="0.25">
      <c r="A66" s="114"/>
      <c r="B66" s="418"/>
      <c r="C66" s="114"/>
      <c r="D66" s="114"/>
      <c r="E66" s="114"/>
      <c r="F66" s="114"/>
      <c r="G66" s="114"/>
      <c r="H66" s="114"/>
      <c r="I66" s="114"/>
      <c r="J66" s="419"/>
      <c r="K66" s="1"/>
      <c r="L66" s="455"/>
      <c r="M66" s="114"/>
      <c r="N66" s="120"/>
    </row>
    <row r="67" spans="1:14" x14ac:dyDescent="0.25">
      <c r="A67" s="114"/>
      <c r="B67" s="114"/>
      <c r="C67" s="114"/>
      <c r="D67" s="114"/>
      <c r="E67" s="114"/>
      <c r="F67" s="114"/>
      <c r="G67" s="114"/>
      <c r="H67" s="114"/>
      <c r="I67" s="114"/>
      <c r="J67" s="114"/>
      <c r="K67" s="1"/>
      <c r="L67" s="114"/>
      <c r="M67" s="114"/>
      <c r="N67" s="120"/>
    </row>
    <row r="68" spans="1:14" x14ac:dyDescent="0.25">
      <c r="A68" s="114"/>
      <c r="B68" s="114"/>
      <c r="C68" s="114"/>
      <c r="D68" s="114"/>
      <c r="E68" s="114"/>
      <c r="F68" s="114"/>
      <c r="G68" s="114"/>
      <c r="H68" s="114"/>
      <c r="I68" s="114"/>
      <c r="J68" s="114"/>
      <c r="K68" s="1"/>
      <c r="L68" s="114"/>
      <c r="M68" s="114"/>
      <c r="N68" s="120"/>
    </row>
    <row r="69" spans="1:14" x14ac:dyDescent="0.25">
      <c r="A69" s="114"/>
      <c r="B69" s="114"/>
      <c r="C69" s="114"/>
      <c r="D69" s="114"/>
      <c r="E69" s="114"/>
      <c r="F69" s="114"/>
      <c r="G69" s="114"/>
      <c r="H69" s="114"/>
      <c r="I69" s="114"/>
      <c r="J69" s="114"/>
      <c r="K69" s="1"/>
      <c r="L69" s="114"/>
      <c r="M69" s="114"/>
      <c r="N69" s="120"/>
    </row>
    <row r="70" spans="1:14" x14ac:dyDescent="0.25">
      <c r="A70" s="114"/>
      <c r="B70" s="114"/>
      <c r="C70" s="114"/>
      <c r="D70" s="114"/>
      <c r="E70" s="114"/>
      <c r="F70" s="114"/>
      <c r="G70" s="114"/>
      <c r="H70" s="114"/>
      <c r="I70" s="114"/>
      <c r="J70" s="114"/>
      <c r="K70" s="1"/>
      <c r="L70" s="114"/>
      <c r="M70" s="114"/>
      <c r="N70" s="120"/>
    </row>
    <row r="71" spans="1:14" x14ac:dyDescent="0.25">
      <c r="A71" s="114"/>
      <c r="B71" s="114"/>
      <c r="C71" s="114"/>
      <c r="D71" s="114"/>
      <c r="E71" s="114"/>
      <c r="F71" s="114"/>
      <c r="G71" s="114"/>
      <c r="H71" s="114"/>
      <c r="I71" s="114"/>
      <c r="J71" s="114"/>
      <c r="K71" s="1"/>
      <c r="L71" s="114"/>
      <c r="M71" s="114"/>
      <c r="N71" s="120"/>
    </row>
    <row r="72" spans="1:14" x14ac:dyDescent="0.25">
      <c r="A72" s="114"/>
      <c r="B72" s="114"/>
      <c r="C72" s="114"/>
      <c r="D72" s="114"/>
      <c r="E72" s="114"/>
      <c r="F72" s="114"/>
      <c r="G72" s="114"/>
      <c r="H72" s="114"/>
      <c r="I72" s="114"/>
      <c r="J72" s="114"/>
      <c r="K72" s="1"/>
      <c r="L72" s="114"/>
      <c r="M72" s="114"/>
      <c r="N72" s="120"/>
    </row>
    <row r="73" spans="1:14" x14ac:dyDescent="0.25">
      <c r="A73" s="114"/>
      <c r="B73" s="114"/>
      <c r="C73" s="114"/>
      <c r="D73" s="114"/>
      <c r="E73" s="114"/>
      <c r="F73" s="114"/>
      <c r="G73" s="114"/>
      <c r="H73" s="114"/>
      <c r="I73" s="114"/>
      <c r="J73" s="114"/>
      <c r="K73" s="1"/>
      <c r="L73" s="114"/>
      <c r="M73" s="114"/>
      <c r="N73" s="120"/>
    </row>
    <row r="74" spans="1:14" x14ac:dyDescent="0.25">
      <c r="A74" s="114"/>
      <c r="B74" s="114"/>
      <c r="C74" s="114"/>
      <c r="D74" s="114"/>
      <c r="E74" s="114"/>
      <c r="F74" s="114"/>
      <c r="G74" s="114"/>
      <c r="H74" s="114"/>
      <c r="I74" s="114"/>
      <c r="J74" s="114"/>
      <c r="K74" s="1"/>
      <c r="L74" s="114"/>
      <c r="M74" s="114"/>
      <c r="N74" s="120"/>
    </row>
    <row r="75" spans="1:14" x14ac:dyDescent="0.25">
      <c r="K75" s="1"/>
      <c r="N75" s="120"/>
    </row>
    <row r="76" spans="1:14" x14ac:dyDescent="0.25">
      <c r="K76" s="1"/>
      <c r="N76" s="120"/>
    </row>
    <row r="77" spans="1:14" x14ac:dyDescent="0.25">
      <c r="K77" s="1"/>
      <c r="N77" s="120"/>
    </row>
    <row r="78" spans="1:14" x14ac:dyDescent="0.25">
      <c r="K78" s="1"/>
      <c r="N78" s="120"/>
    </row>
    <row r="79" spans="1:14" x14ac:dyDescent="0.25">
      <c r="K79" s="1"/>
      <c r="N79" s="120"/>
    </row>
    <row r="80" spans="1:14" x14ac:dyDescent="0.25">
      <c r="K80" s="1"/>
      <c r="N80" s="120"/>
    </row>
    <row r="81" spans="2:14" x14ac:dyDescent="0.25">
      <c r="K81" s="1"/>
      <c r="N81" s="120"/>
    </row>
    <row r="82" spans="2:14" x14ac:dyDescent="0.25">
      <c r="K82" s="1"/>
      <c r="N82" s="120"/>
    </row>
    <row r="83" spans="2:14" x14ac:dyDescent="0.25">
      <c r="K83" s="1"/>
      <c r="N83" s="120"/>
    </row>
    <row r="84" spans="2:14" x14ac:dyDescent="0.25">
      <c r="K84" s="1"/>
      <c r="N84" s="120"/>
    </row>
    <row r="85" spans="2:14" x14ac:dyDescent="0.25">
      <c r="K85" s="1"/>
      <c r="N85" s="120"/>
    </row>
    <row r="86" spans="2:14" x14ac:dyDescent="0.25">
      <c r="K86" s="1"/>
      <c r="N86" s="120"/>
    </row>
    <row r="87" spans="2:14" x14ac:dyDescent="0.25">
      <c r="B87" s="1"/>
      <c r="C87" s="1"/>
      <c r="D87" s="1"/>
      <c r="E87" s="1"/>
      <c r="F87" s="1"/>
      <c r="G87" s="1"/>
      <c r="H87" s="1"/>
      <c r="I87" s="1"/>
      <c r="J87" s="1"/>
      <c r="K87" s="1"/>
      <c r="L87" s="1"/>
      <c r="M87" s="1"/>
      <c r="N87" s="120"/>
    </row>
    <row r="88" spans="2:14" x14ac:dyDescent="0.25">
      <c r="B88" s="1"/>
      <c r="C88" s="1"/>
      <c r="D88" s="1"/>
      <c r="E88" s="1"/>
      <c r="F88" s="1"/>
      <c r="G88" s="1"/>
      <c r="H88" s="1"/>
      <c r="I88" s="1"/>
      <c r="J88" s="1"/>
      <c r="K88" s="1"/>
      <c r="L88" s="1"/>
      <c r="M88" s="1"/>
      <c r="N88" s="120"/>
    </row>
    <row r="89" spans="2:14" x14ac:dyDescent="0.25">
      <c r="B89" s="1"/>
      <c r="C89" s="1"/>
      <c r="D89" s="1"/>
      <c r="E89" s="1"/>
      <c r="F89" s="1"/>
      <c r="G89" s="1"/>
      <c r="H89" s="1"/>
      <c r="I89" s="1"/>
      <c r="J89" s="1"/>
      <c r="K89" s="1"/>
      <c r="L89" s="1"/>
      <c r="M89" s="1"/>
      <c r="N89" s="120"/>
    </row>
    <row r="90" spans="2:14" x14ac:dyDescent="0.25">
      <c r="B90" s="1"/>
      <c r="C90" s="1"/>
      <c r="D90" s="1"/>
      <c r="E90" s="1"/>
      <c r="F90" s="1"/>
      <c r="G90" s="1"/>
      <c r="H90" s="1"/>
      <c r="I90" s="1"/>
      <c r="J90" s="1"/>
      <c r="K90" s="1"/>
      <c r="L90" s="1"/>
      <c r="M90" s="1"/>
      <c r="N90" s="120"/>
    </row>
    <row r="91" spans="2:14" x14ac:dyDescent="0.25">
      <c r="B91" s="1"/>
      <c r="C91" s="1"/>
      <c r="D91" s="1"/>
      <c r="E91" s="1"/>
      <c r="F91" s="1"/>
      <c r="G91" s="1"/>
      <c r="H91" s="1"/>
      <c r="I91" s="1"/>
      <c r="J91" s="1"/>
      <c r="K91" s="1"/>
      <c r="L91" s="1"/>
      <c r="M91" s="1"/>
      <c r="N91" s="120"/>
    </row>
    <row r="92" spans="2:14" x14ac:dyDescent="0.25">
      <c r="B92" s="1"/>
      <c r="C92" s="1"/>
      <c r="D92" s="1"/>
      <c r="E92" s="1"/>
      <c r="F92" s="1"/>
      <c r="G92" s="1"/>
      <c r="H92" s="1"/>
      <c r="I92" s="1"/>
      <c r="J92" s="1"/>
      <c r="K92" s="1"/>
      <c r="L92" s="1"/>
      <c r="M92" s="1"/>
      <c r="N92" s="120"/>
    </row>
    <row r="93" spans="2:14" x14ac:dyDescent="0.25">
      <c r="B93" s="1"/>
      <c r="C93" s="1"/>
      <c r="D93" s="1"/>
      <c r="E93" s="1"/>
      <c r="F93" s="1"/>
      <c r="G93" s="1"/>
      <c r="H93" s="1"/>
      <c r="I93" s="1"/>
      <c r="J93" s="1"/>
      <c r="K93" s="1"/>
      <c r="L93" s="1"/>
      <c r="M93" s="1"/>
      <c r="N93" s="120"/>
    </row>
    <row r="94" spans="2:14" x14ac:dyDescent="0.25">
      <c r="B94" s="1"/>
      <c r="C94" s="1"/>
      <c r="D94" s="1"/>
      <c r="E94" s="1"/>
      <c r="F94" s="1"/>
      <c r="G94" s="1"/>
      <c r="H94" s="1"/>
      <c r="I94" s="1"/>
      <c r="J94" s="1"/>
      <c r="K94" s="1"/>
      <c r="L94" s="1"/>
      <c r="M94" s="1"/>
      <c r="N94" s="120"/>
    </row>
    <row r="95" spans="2:14" x14ac:dyDescent="0.25">
      <c r="B95" s="1"/>
      <c r="C95" s="1"/>
      <c r="D95" s="1"/>
      <c r="E95" s="1"/>
      <c r="F95" s="1"/>
      <c r="G95" s="1"/>
      <c r="H95" s="1"/>
      <c r="I95" s="1"/>
      <c r="J95" s="1"/>
      <c r="K95" s="1"/>
      <c r="L95" s="1"/>
      <c r="M95" s="1"/>
      <c r="N95" s="120"/>
    </row>
    <row r="96" spans="2:14" x14ac:dyDescent="0.25">
      <c r="B96" s="1"/>
      <c r="C96" s="1"/>
      <c r="D96" s="1"/>
      <c r="E96" s="1"/>
      <c r="F96" s="1"/>
      <c r="G96" s="1"/>
      <c r="H96" s="1"/>
      <c r="I96" s="1"/>
      <c r="J96" s="1"/>
      <c r="K96" s="1"/>
      <c r="L96" s="1"/>
      <c r="M96" s="1"/>
      <c r="N96" s="120"/>
    </row>
    <row r="97" spans="2:14" x14ac:dyDescent="0.25">
      <c r="B97" s="1"/>
      <c r="C97" s="1"/>
      <c r="D97" s="1"/>
      <c r="E97" s="1"/>
      <c r="F97" s="1"/>
      <c r="G97" s="1"/>
      <c r="H97" s="1"/>
      <c r="I97" s="1"/>
      <c r="J97" s="1"/>
      <c r="K97" s="1"/>
      <c r="L97" s="1"/>
      <c r="M97" s="1"/>
      <c r="N97" s="120"/>
    </row>
    <row r="98" spans="2:14" x14ac:dyDescent="0.25">
      <c r="B98" s="1"/>
      <c r="C98" s="1"/>
      <c r="D98" s="1"/>
      <c r="E98" s="1"/>
      <c r="F98" s="1"/>
      <c r="G98" s="1"/>
      <c r="H98" s="1"/>
      <c r="I98" s="1"/>
      <c r="J98" s="1"/>
      <c r="K98" s="1"/>
      <c r="L98" s="1"/>
      <c r="M98" s="1"/>
      <c r="N98" s="120"/>
    </row>
    <row r="99" spans="2:14" x14ac:dyDescent="0.25">
      <c r="B99" s="1"/>
      <c r="C99" s="1"/>
      <c r="D99" s="1"/>
      <c r="E99" s="1"/>
      <c r="F99" s="1"/>
      <c r="G99" s="1"/>
      <c r="H99" s="1"/>
      <c r="I99" s="1"/>
      <c r="J99" s="1"/>
      <c r="K99" s="1"/>
      <c r="L99" s="1"/>
      <c r="M99" s="1"/>
      <c r="N99" s="120"/>
    </row>
    <row r="100" spans="2:14" x14ac:dyDescent="0.25">
      <c r="B100" s="1"/>
      <c r="C100" s="1"/>
      <c r="D100" s="1"/>
      <c r="E100" s="1"/>
      <c r="F100" s="1"/>
      <c r="G100" s="1"/>
      <c r="H100" s="1"/>
      <c r="I100" s="1"/>
      <c r="J100" s="1"/>
      <c r="K100" s="1"/>
      <c r="L100" s="1"/>
      <c r="M100" s="1"/>
      <c r="N100" s="120"/>
    </row>
    <row r="101" spans="2:14" x14ac:dyDescent="0.25">
      <c r="B101" s="1"/>
      <c r="C101" s="1"/>
      <c r="D101" s="1"/>
      <c r="E101" s="1"/>
      <c r="F101" s="1"/>
      <c r="G101" s="1"/>
      <c r="H101" s="1"/>
      <c r="I101" s="1"/>
      <c r="J101" s="1"/>
      <c r="K101" s="1"/>
      <c r="L101" s="1"/>
      <c r="M101" s="1"/>
      <c r="N101" s="120"/>
    </row>
    <row r="102" spans="2:14" x14ac:dyDescent="0.25">
      <c r="B102" s="1"/>
      <c r="C102" s="1"/>
      <c r="D102" s="1"/>
      <c r="E102" s="1"/>
      <c r="F102" s="1"/>
      <c r="G102" s="1"/>
      <c r="H102" s="1"/>
      <c r="I102" s="1"/>
      <c r="J102" s="1"/>
      <c r="K102" s="1"/>
      <c r="L102" s="1"/>
      <c r="M102" s="1"/>
      <c r="N102" s="120"/>
    </row>
    <row r="103" spans="2:14" x14ac:dyDescent="0.25">
      <c r="B103" s="1"/>
      <c r="C103" s="1"/>
      <c r="D103" s="1"/>
      <c r="E103" s="1"/>
      <c r="F103" s="1"/>
      <c r="G103" s="1"/>
      <c r="H103" s="1"/>
      <c r="I103" s="1"/>
      <c r="J103" s="1"/>
      <c r="K103" s="1"/>
      <c r="L103" s="1"/>
      <c r="M103" s="1"/>
      <c r="N103" s="120"/>
    </row>
    <row r="104" spans="2:14" x14ac:dyDescent="0.25">
      <c r="B104" s="1"/>
      <c r="C104" s="1"/>
      <c r="D104" s="1"/>
      <c r="E104" s="1"/>
      <c r="F104" s="1"/>
      <c r="G104" s="1"/>
      <c r="H104" s="1"/>
      <c r="I104" s="1"/>
      <c r="J104" s="1"/>
      <c r="K104" s="1"/>
      <c r="L104" s="1"/>
      <c r="M104" s="1"/>
      <c r="N104" s="120"/>
    </row>
    <row r="105" spans="2:14" x14ac:dyDescent="0.25">
      <c r="B105" s="1"/>
      <c r="C105" s="1"/>
      <c r="D105" s="1"/>
      <c r="E105" s="1"/>
      <c r="F105" s="1"/>
      <c r="G105" s="1"/>
      <c r="H105" s="1"/>
      <c r="I105" s="1"/>
      <c r="J105" s="1"/>
      <c r="K105" s="1"/>
      <c r="L105" s="1"/>
      <c r="M105" s="1"/>
      <c r="N105" s="120"/>
    </row>
    <row r="106" spans="2:14" x14ac:dyDescent="0.25">
      <c r="B106" s="1"/>
      <c r="C106" s="1"/>
      <c r="D106" s="1"/>
      <c r="E106" s="1"/>
      <c r="F106" s="1"/>
      <c r="G106" s="1"/>
      <c r="H106" s="1"/>
      <c r="I106" s="1"/>
      <c r="J106" s="1"/>
      <c r="K106" s="1"/>
      <c r="L106" s="1"/>
      <c r="M106" s="1"/>
      <c r="N106" s="120"/>
    </row>
    <row r="107" spans="2:14" x14ac:dyDescent="0.25">
      <c r="B107" s="1"/>
      <c r="C107" s="1"/>
      <c r="D107" s="1"/>
      <c r="E107" s="1"/>
      <c r="F107" s="1"/>
      <c r="G107" s="1"/>
      <c r="H107" s="1"/>
      <c r="I107" s="1"/>
      <c r="J107" s="1"/>
      <c r="K107" s="1"/>
      <c r="L107" s="1"/>
      <c r="M107" s="1"/>
      <c r="N107" s="120"/>
    </row>
    <row r="108" spans="2:14" x14ac:dyDescent="0.25">
      <c r="B108" s="1"/>
      <c r="C108" s="1"/>
      <c r="D108" s="1"/>
      <c r="E108" s="1"/>
      <c r="F108" s="1"/>
      <c r="G108" s="1"/>
      <c r="H108" s="1"/>
      <c r="I108" s="1"/>
      <c r="J108" s="1"/>
      <c r="K108" s="1"/>
      <c r="L108" s="1"/>
      <c r="M108" s="1"/>
      <c r="N108" s="120"/>
    </row>
    <row r="109" spans="2:14" x14ac:dyDescent="0.25">
      <c r="B109" s="1"/>
      <c r="C109" s="1"/>
      <c r="D109" s="1"/>
      <c r="E109" s="1"/>
      <c r="F109" s="1"/>
      <c r="G109" s="1"/>
      <c r="H109" s="1"/>
      <c r="I109" s="1"/>
      <c r="J109" s="1"/>
      <c r="K109" s="1"/>
      <c r="L109" s="1"/>
      <c r="M109" s="1"/>
      <c r="N109" s="120"/>
    </row>
    <row r="110" spans="2:14" x14ac:dyDescent="0.25">
      <c r="B110" s="1"/>
      <c r="C110" s="1"/>
      <c r="D110" s="1"/>
      <c r="E110" s="1"/>
      <c r="F110" s="1"/>
      <c r="G110" s="1"/>
      <c r="H110" s="1"/>
      <c r="I110" s="1"/>
      <c r="J110" s="1"/>
      <c r="K110" s="1"/>
      <c r="L110" s="1"/>
      <c r="M110" s="1"/>
      <c r="N110" s="120"/>
    </row>
    <row r="111" spans="2:14" x14ac:dyDescent="0.25">
      <c r="B111" s="1"/>
      <c r="C111" s="1"/>
      <c r="D111" s="1"/>
      <c r="E111" s="1"/>
      <c r="F111" s="1"/>
      <c r="G111" s="1"/>
      <c r="H111" s="1"/>
      <c r="I111" s="1"/>
      <c r="J111" s="1"/>
      <c r="K111" s="1"/>
      <c r="L111" s="1"/>
      <c r="M111" s="1"/>
      <c r="N111" s="120"/>
    </row>
    <row r="112" spans="2:14" x14ac:dyDescent="0.25">
      <c r="B112" s="1"/>
      <c r="C112" s="1"/>
      <c r="D112" s="1"/>
      <c r="E112" s="1"/>
      <c r="F112" s="1"/>
      <c r="G112" s="1"/>
      <c r="H112" s="1"/>
      <c r="I112" s="1"/>
      <c r="J112" s="1"/>
      <c r="K112" s="1"/>
      <c r="L112" s="1"/>
      <c r="M112" s="1"/>
      <c r="N112" s="120"/>
    </row>
    <row r="113" spans="2:14" x14ac:dyDescent="0.25">
      <c r="B113" s="1"/>
      <c r="C113" s="1"/>
      <c r="D113" s="1"/>
      <c r="E113" s="1"/>
      <c r="F113" s="1"/>
      <c r="G113" s="1"/>
      <c r="H113" s="1"/>
      <c r="I113" s="1"/>
      <c r="J113" s="1"/>
      <c r="K113" s="1"/>
      <c r="L113" s="1"/>
      <c r="M113" s="1"/>
      <c r="N113" s="120"/>
    </row>
    <row r="114" spans="2:14" x14ac:dyDescent="0.25">
      <c r="B114" s="1"/>
      <c r="C114" s="1"/>
      <c r="D114" s="1"/>
      <c r="E114" s="1"/>
      <c r="F114" s="1"/>
      <c r="G114" s="1"/>
      <c r="H114" s="1"/>
      <c r="I114" s="1"/>
      <c r="J114" s="1"/>
      <c r="K114" s="1"/>
      <c r="L114" s="1"/>
      <c r="M114" s="1"/>
      <c r="N114" s="120"/>
    </row>
    <row r="115" spans="2:14" x14ac:dyDescent="0.25">
      <c r="B115" s="1"/>
      <c r="C115" s="1"/>
      <c r="D115" s="1"/>
      <c r="E115" s="1"/>
      <c r="F115" s="1"/>
      <c r="G115" s="1"/>
      <c r="H115" s="1"/>
      <c r="I115" s="1"/>
      <c r="J115" s="1"/>
      <c r="K115" s="1"/>
      <c r="L115" s="1"/>
      <c r="M115" s="1"/>
      <c r="N115" s="120"/>
    </row>
    <row r="116" spans="2:14" x14ac:dyDescent="0.25">
      <c r="B116" s="1"/>
      <c r="C116" s="1"/>
      <c r="D116" s="1"/>
      <c r="E116" s="1"/>
      <c r="F116" s="1"/>
      <c r="G116" s="1"/>
      <c r="H116" s="1"/>
      <c r="I116" s="1"/>
      <c r="J116" s="1"/>
      <c r="K116" s="1"/>
      <c r="L116" s="1"/>
      <c r="M116" s="1"/>
      <c r="N116" s="120"/>
    </row>
    <row r="117" spans="2:14" x14ac:dyDescent="0.25">
      <c r="B117" s="1"/>
      <c r="C117" s="1"/>
      <c r="D117" s="1"/>
      <c r="E117" s="1"/>
      <c r="F117" s="1"/>
      <c r="G117" s="1"/>
      <c r="H117" s="1"/>
      <c r="I117" s="1"/>
      <c r="J117" s="1"/>
      <c r="K117" s="1"/>
      <c r="L117" s="1"/>
      <c r="M117" s="1"/>
      <c r="N117" s="120"/>
    </row>
    <row r="118" spans="2:14" x14ac:dyDescent="0.25">
      <c r="B118" s="1"/>
      <c r="C118" s="1"/>
      <c r="D118" s="1"/>
      <c r="E118" s="1"/>
      <c r="F118" s="1"/>
      <c r="G118" s="1"/>
      <c r="H118" s="1"/>
      <c r="I118" s="1"/>
      <c r="J118" s="1"/>
      <c r="K118" s="1"/>
      <c r="L118" s="1"/>
      <c r="M118" s="1"/>
      <c r="N118" s="120"/>
    </row>
    <row r="119" spans="2:14" x14ac:dyDescent="0.25">
      <c r="B119" s="1"/>
      <c r="C119" s="1"/>
      <c r="D119" s="1"/>
      <c r="E119" s="1"/>
      <c r="F119" s="1"/>
      <c r="G119" s="1"/>
      <c r="H119" s="1"/>
      <c r="I119" s="1"/>
      <c r="J119" s="1"/>
      <c r="K119" s="1"/>
      <c r="L119" s="1"/>
      <c r="M119" s="1"/>
      <c r="N119" s="120"/>
    </row>
    <row r="120" spans="2:14" x14ac:dyDescent="0.25">
      <c r="B120" s="1"/>
      <c r="C120" s="1"/>
      <c r="D120" s="1"/>
      <c r="E120" s="1"/>
      <c r="F120" s="1"/>
      <c r="G120" s="1"/>
      <c r="H120" s="1"/>
      <c r="I120" s="1"/>
      <c r="J120" s="1"/>
      <c r="K120" s="1"/>
      <c r="L120" s="1"/>
      <c r="M120" s="1"/>
      <c r="N120" s="120"/>
    </row>
    <row r="121" spans="2:14" x14ac:dyDescent="0.25">
      <c r="B121" s="1"/>
      <c r="C121" s="1"/>
      <c r="D121" s="1"/>
      <c r="E121" s="1"/>
      <c r="F121" s="1"/>
      <c r="G121" s="1"/>
      <c r="H121" s="1"/>
      <c r="I121" s="1"/>
      <c r="J121" s="1"/>
      <c r="K121" s="1"/>
      <c r="L121" s="1"/>
      <c r="M121" s="1"/>
      <c r="N121" s="120"/>
    </row>
    <row r="122" spans="2:14" x14ac:dyDescent="0.25">
      <c r="B122" s="1"/>
      <c r="C122" s="1"/>
      <c r="D122" s="1"/>
      <c r="E122" s="1"/>
      <c r="F122" s="1"/>
      <c r="G122" s="1"/>
      <c r="H122" s="1"/>
      <c r="I122" s="1"/>
      <c r="J122" s="1"/>
      <c r="K122" s="1"/>
      <c r="L122" s="1"/>
      <c r="M122" s="1"/>
      <c r="N122" s="120"/>
    </row>
    <row r="123" spans="2:14" x14ac:dyDescent="0.25">
      <c r="B123" s="1"/>
      <c r="C123" s="1"/>
      <c r="D123" s="1"/>
      <c r="E123" s="1"/>
      <c r="F123" s="1"/>
      <c r="G123" s="1"/>
      <c r="H123" s="1"/>
      <c r="I123" s="1"/>
      <c r="J123" s="1"/>
      <c r="K123" s="1"/>
      <c r="L123" s="1"/>
      <c r="M123" s="1"/>
      <c r="N123" s="120"/>
    </row>
    <row r="124" spans="2:14" x14ac:dyDescent="0.25">
      <c r="B124" s="1"/>
      <c r="C124" s="1"/>
      <c r="D124" s="1"/>
      <c r="E124" s="1"/>
      <c r="F124" s="1"/>
      <c r="G124" s="1"/>
      <c r="H124" s="1"/>
      <c r="I124" s="1"/>
      <c r="J124" s="1"/>
      <c r="K124" s="1"/>
      <c r="L124" s="1"/>
      <c r="M124" s="1"/>
      <c r="N124" s="120"/>
    </row>
    <row r="125" spans="2:14" x14ac:dyDescent="0.25">
      <c r="B125" s="1"/>
      <c r="C125" s="1"/>
      <c r="D125" s="1"/>
      <c r="E125" s="1"/>
      <c r="F125" s="1"/>
      <c r="G125" s="1"/>
      <c r="H125" s="1"/>
      <c r="I125" s="1"/>
      <c r="J125" s="1"/>
      <c r="K125" s="1"/>
      <c r="L125" s="1"/>
      <c r="M125" s="1"/>
      <c r="N125" s="120"/>
    </row>
    <row r="126" spans="2:14" x14ac:dyDescent="0.25">
      <c r="B126" s="1"/>
      <c r="C126" s="1"/>
      <c r="D126" s="1"/>
      <c r="E126" s="1"/>
      <c r="F126" s="1"/>
      <c r="G126" s="1"/>
      <c r="H126" s="1"/>
      <c r="I126" s="1"/>
      <c r="J126" s="1"/>
      <c r="K126" s="1"/>
      <c r="L126" s="1"/>
      <c r="M126" s="1"/>
      <c r="N126" s="120"/>
    </row>
    <row r="127" spans="2:14" x14ac:dyDescent="0.25">
      <c r="B127" s="1"/>
      <c r="C127" s="1"/>
      <c r="D127" s="1"/>
      <c r="E127" s="1"/>
      <c r="F127" s="1"/>
      <c r="G127" s="1"/>
      <c r="H127" s="1"/>
      <c r="I127" s="1"/>
      <c r="J127" s="1"/>
      <c r="K127" s="1"/>
      <c r="L127" s="1"/>
      <c r="M127" s="1"/>
      <c r="N127" s="120"/>
    </row>
    <row r="128" spans="2:14" x14ac:dyDescent="0.25">
      <c r="B128" s="1"/>
      <c r="C128" s="1"/>
      <c r="D128" s="1"/>
      <c r="E128" s="1"/>
      <c r="F128" s="1"/>
      <c r="G128" s="1"/>
      <c r="H128" s="1"/>
      <c r="I128" s="1"/>
      <c r="J128" s="1"/>
      <c r="K128" s="1"/>
      <c r="L128" s="1"/>
      <c r="M128" s="1"/>
      <c r="N128" s="120"/>
    </row>
    <row r="129" spans="2:14" x14ac:dyDescent="0.25">
      <c r="B129" s="1"/>
      <c r="C129" s="1"/>
      <c r="D129" s="1"/>
      <c r="E129" s="1"/>
      <c r="F129" s="1"/>
      <c r="G129" s="1"/>
      <c r="H129" s="1"/>
      <c r="I129" s="1"/>
      <c r="J129" s="1"/>
      <c r="K129" s="1"/>
      <c r="L129" s="1"/>
      <c r="M129" s="1"/>
      <c r="N129" s="120"/>
    </row>
    <row r="130" spans="2:14" x14ac:dyDescent="0.25">
      <c r="B130" s="1"/>
      <c r="C130" s="1"/>
      <c r="D130" s="1"/>
      <c r="E130" s="1"/>
      <c r="F130" s="1"/>
      <c r="G130" s="1"/>
      <c r="H130" s="1"/>
      <c r="I130" s="1"/>
      <c r="J130" s="1"/>
      <c r="K130" s="1"/>
      <c r="L130" s="1"/>
      <c r="M130" s="1"/>
      <c r="N130" s="120"/>
    </row>
    <row r="131" spans="2:14" x14ac:dyDescent="0.25">
      <c r="B131" s="1"/>
      <c r="C131" s="1"/>
      <c r="D131" s="1"/>
      <c r="E131" s="1"/>
      <c r="F131" s="1"/>
      <c r="G131" s="1"/>
      <c r="H131" s="1"/>
      <c r="I131" s="1"/>
      <c r="J131" s="1"/>
      <c r="K131" s="1"/>
      <c r="L131" s="1"/>
      <c r="M131" s="1"/>
      <c r="N131" s="120"/>
    </row>
    <row r="132" spans="2:14" x14ac:dyDescent="0.25">
      <c r="B132" s="1"/>
      <c r="C132" s="1"/>
      <c r="D132" s="1"/>
      <c r="E132" s="1"/>
      <c r="F132" s="1"/>
      <c r="G132" s="1"/>
      <c r="H132" s="1"/>
      <c r="I132" s="1"/>
      <c r="J132" s="1"/>
      <c r="K132" s="1"/>
      <c r="L132" s="1"/>
      <c r="M132" s="1"/>
      <c r="N132" s="120"/>
    </row>
    <row r="133" spans="2:14" x14ac:dyDescent="0.25">
      <c r="B133" s="1"/>
      <c r="C133" s="1"/>
      <c r="D133" s="1"/>
      <c r="E133" s="1"/>
      <c r="F133" s="1"/>
      <c r="G133" s="1"/>
      <c r="H133" s="1"/>
      <c r="I133" s="1"/>
      <c r="J133" s="1"/>
      <c r="K133" s="1"/>
      <c r="L133" s="1"/>
      <c r="M133" s="1"/>
      <c r="N133" s="120"/>
    </row>
    <row r="134" spans="2:14" x14ac:dyDescent="0.25">
      <c r="B134" s="1"/>
      <c r="C134" s="1"/>
      <c r="D134" s="1"/>
      <c r="E134" s="1"/>
      <c r="F134" s="1"/>
      <c r="G134" s="1"/>
      <c r="H134" s="1"/>
      <c r="I134" s="1"/>
      <c r="J134" s="1"/>
      <c r="K134" s="1"/>
      <c r="L134" s="1"/>
      <c r="M134" s="1"/>
      <c r="N134" s="120"/>
    </row>
    <row r="135" spans="2:14" x14ac:dyDescent="0.25">
      <c r="B135" s="1"/>
      <c r="C135" s="1"/>
      <c r="D135" s="1"/>
      <c r="E135" s="1"/>
      <c r="F135" s="1"/>
      <c r="G135" s="1"/>
      <c r="H135" s="1"/>
      <c r="I135" s="1"/>
      <c r="J135" s="1"/>
      <c r="K135" s="1"/>
      <c r="L135" s="1"/>
      <c r="M135" s="1"/>
      <c r="N135" s="120"/>
    </row>
    <row r="136" spans="2:14" x14ac:dyDescent="0.25">
      <c r="B136" s="1"/>
      <c r="C136" s="1"/>
      <c r="D136" s="1"/>
      <c r="E136" s="1"/>
      <c r="F136" s="1"/>
      <c r="G136" s="1"/>
      <c r="H136" s="1"/>
      <c r="I136" s="1"/>
      <c r="J136" s="1"/>
      <c r="K136" s="1"/>
      <c r="L136" s="1"/>
      <c r="M136" s="1"/>
      <c r="N136" s="120"/>
    </row>
    <row r="137" spans="2:14" x14ac:dyDescent="0.25">
      <c r="B137" s="1"/>
      <c r="C137" s="1"/>
      <c r="D137" s="1"/>
      <c r="E137" s="1"/>
      <c r="F137" s="1"/>
      <c r="G137" s="1"/>
      <c r="H137" s="1"/>
      <c r="I137" s="1"/>
      <c r="J137" s="1"/>
      <c r="K137" s="1"/>
      <c r="L137" s="1"/>
      <c r="M137" s="1"/>
      <c r="N137" s="120"/>
    </row>
    <row r="138" spans="2:14" x14ac:dyDescent="0.25">
      <c r="B138" s="1"/>
      <c r="C138" s="1"/>
      <c r="D138" s="1"/>
      <c r="E138" s="1"/>
      <c r="F138" s="1"/>
      <c r="G138" s="1"/>
      <c r="H138" s="1"/>
      <c r="I138" s="1"/>
      <c r="J138" s="1"/>
      <c r="K138" s="1"/>
      <c r="L138" s="1"/>
      <c r="M138" s="1"/>
      <c r="N138" s="120"/>
    </row>
    <row r="139" spans="2:14" x14ac:dyDescent="0.25">
      <c r="B139" s="1"/>
      <c r="C139" s="1"/>
      <c r="D139" s="1"/>
      <c r="E139" s="1"/>
      <c r="F139" s="1"/>
      <c r="G139" s="1"/>
      <c r="H139" s="1"/>
      <c r="I139" s="1"/>
      <c r="J139" s="1"/>
      <c r="K139" s="1"/>
      <c r="L139" s="1"/>
      <c r="M139" s="1"/>
      <c r="N139" s="120"/>
    </row>
    <row r="140" spans="2:14" x14ac:dyDescent="0.25">
      <c r="B140" s="1"/>
      <c r="C140" s="1"/>
      <c r="D140" s="1"/>
      <c r="E140" s="1"/>
      <c r="F140" s="1"/>
      <c r="G140" s="1"/>
      <c r="H140" s="1"/>
      <c r="I140" s="1"/>
      <c r="J140" s="1"/>
      <c r="K140" s="1"/>
      <c r="L140" s="1"/>
      <c r="M140" s="1"/>
      <c r="N140" s="120"/>
    </row>
    <row r="141" spans="2:14" x14ac:dyDescent="0.25">
      <c r="B141" s="1"/>
      <c r="C141" s="1"/>
      <c r="D141" s="1"/>
      <c r="E141" s="1"/>
      <c r="F141" s="1"/>
      <c r="G141" s="1"/>
      <c r="H141" s="1"/>
      <c r="I141" s="1"/>
      <c r="J141" s="1"/>
      <c r="K141" s="1"/>
      <c r="L141" s="1"/>
      <c r="M141" s="1"/>
      <c r="N141" s="120"/>
    </row>
    <row r="239" spans="2:13" x14ac:dyDescent="0.25">
      <c r="B239" s="1"/>
      <c r="C239" s="1"/>
      <c r="D239" s="1"/>
      <c r="E239" s="1"/>
      <c r="F239" s="1"/>
      <c r="G239" s="1"/>
      <c r="H239" s="1"/>
      <c r="I239" s="1"/>
      <c r="J239" s="1"/>
      <c r="L239" s="1"/>
      <c r="M239" s="1"/>
    </row>
    <row r="240" spans="2:13" x14ac:dyDescent="0.25">
      <c r="B240" s="1"/>
      <c r="C240" s="1"/>
      <c r="D240" s="1"/>
      <c r="E240" s="1"/>
      <c r="F240" s="1"/>
      <c r="G240" s="1"/>
      <c r="H240" s="1"/>
      <c r="I240" s="1"/>
      <c r="J240" s="1"/>
      <c r="L240" s="1"/>
      <c r="M240" s="1"/>
    </row>
    <row r="241" spans="2:13" x14ac:dyDescent="0.25">
      <c r="B241" s="1"/>
      <c r="C241" s="1"/>
      <c r="D241" s="1"/>
      <c r="E241" s="1"/>
      <c r="F241" s="1"/>
      <c r="G241" s="1"/>
      <c r="H241" s="1"/>
      <c r="I241" s="1"/>
      <c r="J241" s="1"/>
      <c r="L241" s="1"/>
      <c r="M241" s="1"/>
    </row>
    <row r="242" spans="2:13" x14ac:dyDescent="0.25">
      <c r="B242" s="1"/>
      <c r="C242" s="1"/>
      <c r="D242" s="1"/>
      <c r="E242" s="1"/>
      <c r="F242" s="1"/>
      <c r="G242" s="1"/>
      <c r="H242" s="1"/>
      <c r="I242" s="1"/>
      <c r="J242" s="1"/>
      <c r="L242" s="1"/>
      <c r="M242" s="1"/>
    </row>
    <row r="243" spans="2:13" x14ac:dyDescent="0.25">
      <c r="B243" s="1"/>
      <c r="C243" s="1"/>
      <c r="D243" s="1"/>
      <c r="E243" s="1"/>
      <c r="F243" s="1"/>
      <c r="G243" s="1"/>
      <c r="H243" s="1"/>
      <c r="I243" s="1"/>
      <c r="J243" s="1"/>
      <c r="L243" s="1"/>
      <c r="M243" s="1"/>
    </row>
    <row r="244" spans="2:13" x14ac:dyDescent="0.25">
      <c r="B244" s="1"/>
      <c r="C244" s="1"/>
      <c r="D244" s="1"/>
      <c r="E244" s="1"/>
      <c r="F244" s="1"/>
      <c r="G244" s="1"/>
      <c r="H244" s="1"/>
      <c r="I244" s="1"/>
      <c r="J244" s="1"/>
      <c r="L244" s="1"/>
      <c r="M244" s="1"/>
    </row>
    <row r="245" spans="2:13" x14ac:dyDescent="0.25">
      <c r="B245" s="1"/>
      <c r="C245" s="1"/>
      <c r="D245" s="1"/>
      <c r="E245" s="1"/>
      <c r="F245" s="1"/>
      <c r="G245" s="1"/>
      <c r="H245" s="1"/>
      <c r="I245" s="1"/>
      <c r="J245" s="1"/>
      <c r="L245" s="1"/>
      <c r="M245" s="1"/>
    </row>
    <row r="246" spans="2:13" x14ac:dyDescent="0.25">
      <c r="B246" s="1"/>
      <c r="C246" s="1"/>
      <c r="D246" s="1"/>
      <c r="E246" s="1"/>
      <c r="F246" s="1"/>
      <c r="G246" s="1"/>
      <c r="H246" s="1"/>
      <c r="I246" s="1"/>
      <c r="J246" s="1"/>
      <c r="L246" s="1"/>
      <c r="M246" s="1"/>
    </row>
    <row r="247" spans="2:13" x14ac:dyDescent="0.25">
      <c r="B247" s="1"/>
      <c r="C247" s="1"/>
      <c r="D247" s="1"/>
      <c r="E247" s="1"/>
      <c r="F247" s="1"/>
      <c r="G247" s="1"/>
      <c r="H247" s="1"/>
      <c r="I247" s="1"/>
      <c r="J247" s="1"/>
      <c r="L247" s="1"/>
      <c r="M247" s="1"/>
    </row>
    <row r="248" spans="2:13" x14ac:dyDescent="0.25">
      <c r="B248" s="1"/>
      <c r="C248" s="1"/>
      <c r="D248" s="1"/>
      <c r="E248" s="1"/>
      <c r="F248" s="1"/>
      <c r="G248" s="1"/>
      <c r="H248" s="1"/>
      <c r="I248" s="1"/>
      <c r="J248" s="1"/>
      <c r="L248" s="1"/>
      <c r="M248" s="1"/>
    </row>
    <row r="249" spans="2:13" x14ac:dyDescent="0.25">
      <c r="B249" s="1"/>
      <c r="C249" s="1"/>
      <c r="D249" s="1"/>
      <c r="E249" s="1"/>
      <c r="F249" s="1"/>
      <c r="G249" s="1"/>
      <c r="H249" s="1"/>
      <c r="I249" s="1"/>
      <c r="J249" s="1"/>
      <c r="L249" s="1"/>
      <c r="M249" s="1"/>
    </row>
    <row r="250" spans="2:13" x14ac:dyDescent="0.25">
      <c r="B250" s="1"/>
      <c r="C250" s="1"/>
      <c r="D250" s="1"/>
      <c r="E250" s="1"/>
      <c r="F250" s="1"/>
      <c r="G250" s="1"/>
      <c r="H250" s="1"/>
      <c r="I250" s="1"/>
      <c r="J250" s="1"/>
      <c r="L250" s="1"/>
      <c r="M250" s="1"/>
    </row>
    <row r="251" spans="2:13" x14ac:dyDescent="0.25">
      <c r="B251" s="1"/>
      <c r="C251" s="1"/>
      <c r="D251" s="1"/>
      <c r="E251" s="1"/>
      <c r="F251" s="1"/>
      <c r="G251" s="1"/>
      <c r="H251" s="1"/>
      <c r="I251" s="1"/>
      <c r="J251" s="1"/>
      <c r="L251" s="1"/>
      <c r="M251" s="1"/>
    </row>
    <row r="252" spans="2:13" x14ac:dyDescent="0.25">
      <c r="B252" s="1"/>
      <c r="C252" s="1"/>
      <c r="D252" s="1"/>
      <c r="E252" s="1"/>
      <c r="F252" s="1"/>
      <c r="G252" s="1"/>
      <c r="H252" s="1"/>
      <c r="I252" s="1"/>
      <c r="J252" s="1"/>
      <c r="L252" s="1"/>
      <c r="M252" s="1"/>
    </row>
    <row r="253" spans="2:13" x14ac:dyDescent="0.25">
      <c r="B253" s="1"/>
      <c r="C253" s="1"/>
      <c r="D253" s="1"/>
      <c r="E253" s="1"/>
      <c r="F253" s="1"/>
      <c r="G253" s="1"/>
      <c r="H253" s="1"/>
      <c r="I253" s="1"/>
      <c r="J253" s="1"/>
      <c r="L253" s="1"/>
      <c r="M253" s="1"/>
    </row>
    <row r="254" spans="2:13" x14ac:dyDescent="0.25">
      <c r="B254" s="1"/>
      <c r="C254" s="1"/>
      <c r="D254" s="1"/>
      <c r="E254" s="1"/>
      <c r="F254" s="1"/>
      <c r="G254" s="1"/>
      <c r="H254" s="1"/>
      <c r="I254" s="1"/>
      <c r="J254" s="1"/>
      <c r="L254" s="1"/>
      <c r="M254" s="1"/>
    </row>
    <row r="255" spans="2:13" x14ac:dyDescent="0.25">
      <c r="B255" s="1"/>
      <c r="C255" s="1"/>
      <c r="D255" s="1"/>
      <c r="E255" s="1"/>
      <c r="F255" s="1"/>
      <c r="G255" s="1"/>
      <c r="H255" s="1"/>
      <c r="I255" s="1"/>
      <c r="J255" s="1"/>
      <c r="L255" s="1"/>
      <c r="M255" s="1"/>
    </row>
    <row r="256" spans="2:13" x14ac:dyDescent="0.25">
      <c r="B256" s="1"/>
      <c r="C256" s="1"/>
      <c r="D256" s="1"/>
      <c r="E256" s="1"/>
      <c r="F256" s="1"/>
      <c r="G256" s="1"/>
      <c r="H256" s="1"/>
      <c r="I256" s="1"/>
      <c r="J256" s="1"/>
      <c r="L256" s="1"/>
      <c r="M256" s="1"/>
    </row>
    <row r="257" spans="2:13" x14ac:dyDescent="0.25">
      <c r="B257" s="1"/>
      <c r="C257" s="1"/>
      <c r="D257" s="1"/>
      <c r="E257" s="1"/>
      <c r="F257" s="1"/>
      <c r="G257" s="1"/>
      <c r="H257" s="1"/>
      <c r="I257" s="1"/>
      <c r="J257" s="1"/>
      <c r="L257" s="1"/>
      <c r="M257" s="1"/>
    </row>
    <row r="258" spans="2:13" x14ac:dyDescent="0.25">
      <c r="B258" s="1"/>
      <c r="C258" s="1"/>
      <c r="D258" s="1"/>
      <c r="E258" s="1"/>
      <c r="F258" s="1"/>
      <c r="G258" s="1"/>
      <c r="H258" s="1"/>
      <c r="I258" s="1"/>
      <c r="J258" s="1"/>
      <c r="L258" s="1"/>
      <c r="M258" s="1"/>
    </row>
    <row r="259" spans="2:13" x14ac:dyDescent="0.25">
      <c r="B259" s="1"/>
      <c r="C259" s="1"/>
      <c r="D259" s="1"/>
      <c r="E259" s="1"/>
      <c r="F259" s="1"/>
      <c r="G259" s="1"/>
      <c r="H259" s="1"/>
      <c r="I259" s="1"/>
      <c r="J259" s="1"/>
      <c r="L259" s="1"/>
      <c r="M259" s="1"/>
    </row>
    <row r="260" spans="2:13" x14ac:dyDescent="0.25">
      <c r="B260" s="1"/>
      <c r="C260" s="1"/>
      <c r="D260" s="1"/>
      <c r="E260" s="1"/>
      <c r="F260" s="1"/>
      <c r="G260" s="1"/>
      <c r="H260" s="1"/>
      <c r="I260" s="1"/>
      <c r="J260" s="1"/>
      <c r="L260" s="1"/>
      <c r="M260" s="1"/>
    </row>
    <row r="261" spans="2:13" x14ac:dyDescent="0.25">
      <c r="B261" s="1"/>
      <c r="C261" s="1"/>
      <c r="D261" s="1"/>
      <c r="E261" s="1"/>
      <c r="F261" s="1"/>
      <c r="G261" s="1"/>
      <c r="H261" s="1"/>
      <c r="I261" s="1"/>
      <c r="J261" s="1"/>
      <c r="L261" s="1"/>
      <c r="M261" s="1"/>
    </row>
    <row r="262" spans="2:13" x14ac:dyDescent="0.25">
      <c r="B262" s="1"/>
      <c r="C262" s="1"/>
      <c r="D262" s="1"/>
      <c r="E262" s="1"/>
      <c r="F262" s="1"/>
      <c r="G262" s="1"/>
      <c r="H262" s="1"/>
      <c r="I262" s="1"/>
      <c r="J262" s="1"/>
      <c r="L262" s="1"/>
      <c r="M262" s="1"/>
    </row>
    <row r="263" spans="2:13" x14ac:dyDescent="0.25">
      <c r="B263" s="1"/>
      <c r="C263" s="1"/>
      <c r="D263" s="1"/>
      <c r="E263" s="1"/>
      <c r="F263" s="1"/>
      <c r="G263" s="1"/>
      <c r="H263" s="1"/>
      <c r="I263" s="1"/>
      <c r="J263" s="1"/>
      <c r="L263" s="1"/>
      <c r="M263" s="1"/>
    </row>
    <row r="264" spans="2:13" x14ac:dyDescent="0.25">
      <c r="B264" s="1"/>
      <c r="C264" s="1"/>
      <c r="D264" s="1"/>
      <c r="E264" s="1"/>
      <c r="F264" s="1"/>
      <c r="G264" s="1"/>
      <c r="H264" s="1"/>
      <c r="I264" s="1"/>
      <c r="J264" s="1"/>
      <c r="L264" s="1"/>
      <c r="M264" s="1"/>
    </row>
    <row r="265" spans="2:13" x14ac:dyDescent="0.25">
      <c r="B265" s="1"/>
      <c r="C265" s="1"/>
      <c r="D265" s="1"/>
      <c r="E265" s="1"/>
      <c r="F265" s="1"/>
      <c r="G265" s="1"/>
      <c r="H265" s="1"/>
      <c r="I265" s="1"/>
      <c r="J265" s="1"/>
      <c r="L265" s="1"/>
      <c r="M265" s="1"/>
    </row>
    <row r="266" spans="2:13" x14ac:dyDescent="0.25">
      <c r="B266" s="1"/>
      <c r="C266" s="1"/>
      <c r="D266" s="1"/>
      <c r="E266" s="1"/>
      <c r="F266" s="1"/>
      <c r="G266" s="1"/>
      <c r="H266" s="1"/>
      <c r="I266" s="1"/>
      <c r="J266" s="1"/>
      <c r="L266" s="1"/>
      <c r="M266" s="1"/>
    </row>
    <row r="267" spans="2:13" x14ac:dyDescent="0.25">
      <c r="B267" s="1"/>
      <c r="C267" s="1"/>
      <c r="D267" s="1"/>
      <c r="E267" s="1"/>
      <c r="F267" s="1"/>
      <c r="G267" s="1"/>
      <c r="H267" s="1"/>
      <c r="I267" s="1"/>
      <c r="J267" s="1"/>
      <c r="L267" s="1"/>
      <c r="M267" s="1"/>
    </row>
    <row r="268" spans="2:13" x14ac:dyDescent="0.25">
      <c r="B268" s="1"/>
      <c r="C268" s="1"/>
      <c r="D268" s="1"/>
      <c r="E268" s="1"/>
      <c r="F268" s="1"/>
      <c r="G268" s="1"/>
      <c r="H268" s="1"/>
      <c r="I268" s="1"/>
      <c r="J268" s="1"/>
      <c r="L268" s="1"/>
      <c r="M268" s="1"/>
    </row>
    <row r="269" spans="2:13" x14ac:dyDescent="0.25">
      <c r="B269" s="1"/>
      <c r="C269" s="1"/>
      <c r="D269" s="1"/>
      <c r="E269" s="1"/>
      <c r="F269" s="1"/>
      <c r="G269" s="1"/>
      <c r="H269" s="1"/>
      <c r="I269" s="1"/>
      <c r="J269" s="1"/>
      <c r="L269" s="1"/>
      <c r="M269" s="1"/>
    </row>
    <row r="270" spans="2:13" x14ac:dyDescent="0.25">
      <c r="B270" s="1"/>
      <c r="C270" s="1"/>
      <c r="D270" s="1"/>
      <c r="E270" s="1"/>
      <c r="F270" s="1"/>
      <c r="G270" s="1"/>
      <c r="H270" s="1"/>
      <c r="I270" s="1"/>
      <c r="J270" s="1"/>
      <c r="L270" s="1"/>
      <c r="M270" s="1"/>
    </row>
    <row r="271" spans="2:13" x14ac:dyDescent="0.25">
      <c r="B271" s="1"/>
      <c r="C271" s="1"/>
      <c r="D271" s="1"/>
      <c r="E271" s="1"/>
      <c r="F271" s="1"/>
      <c r="G271" s="1"/>
      <c r="H271" s="1"/>
      <c r="I271" s="1"/>
      <c r="J271" s="1"/>
      <c r="L271" s="1"/>
      <c r="M271" s="1"/>
    </row>
    <row r="272" spans="2:13" x14ac:dyDescent="0.25">
      <c r="B272" s="1"/>
      <c r="C272" s="1"/>
      <c r="D272" s="1"/>
      <c r="E272" s="1"/>
      <c r="F272" s="1"/>
      <c r="G272" s="1"/>
      <c r="H272" s="1"/>
      <c r="I272" s="1"/>
      <c r="J272" s="1"/>
      <c r="L272" s="1"/>
      <c r="M272" s="1"/>
    </row>
    <row r="273" spans="2:13" x14ac:dyDescent="0.25">
      <c r="B273" s="1"/>
      <c r="C273" s="1"/>
      <c r="D273" s="1"/>
      <c r="E273" s="1"/>
      <c r="F273" s="1"/>
      <c r="G273" s="1"/>
      <c r="H273" s="1"/>
      <c r="I273" s="1"/>
      <c r="J273" s="1"/>
      <c r="L273" s="1"/>
      <c r="M273" s="1"/>
    </row>
    <row r="274" spans="2:13" x14ac:dyDescent="0.25">
      <c r="B274" s="1"/>
      <c r="C274" s="1"/>
      <c r="D274" s="1"/>
      <c r="E274" s="1"/>
      <c r="F274" s="1"/>
      <c r="G274" s="1"/>
      <c r="H274" s="1"/>
      <c r="I274" s="1"/>
      <c r="J274" s="1"/>
      <c r="L274" s="1"/>
      <c r="M274" s="1"/>
    </row>
  </sheetData>
  <mergeCells count="1">
    <mergeCell ref="F1:H1"/>
  </mergeCells>
  <pageMargins left="0.75" right="0.75" top="1" bottom="1" header="0.5" footer="0.5"/>
  <pageSetup orientation="portrait" horizontalDpi="4294967292" verticalDpi="4294967292"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V758"/>
  <sheetViews>
    <sheetView zoomScaleNormal="100" workbookViewId="0">
      <pane ySplit="4" topLeftCell="A5" activePane="bottomLeft" state="frozen"/>
      <selection pane="bottomLeft" activeCell="V22" sqref="V22"/>
    </sheetView>
  </sheetViews>
  <sheetFormatPr defaultColWidth="11" defaultRowHeight="15.75" x14ac:dyDescent="0.25"/>
  <cols>
    <col min="1" max="1" width="36.125" customWidth="1"/>
    <col min="2" max="9" width="14.125" bestFit="1" customWidth="1"/>
    <col min="10" max="10" width="14.375" bestFit="1" customWidth="1"/>
    <col min="11" max="12" width="13.875" customWidth="1"/>
    <col min="13" max="13" width="14.375" hidden="1" customWidth="1"/>
    <col min="14" max="14" width="11" style="124"/>
    <col min="22" max="22" width="30" customWidth="1"/>
  </cols>
  <sheetData>
    <row r="1" spans="1:22" ht="18.75" x14ac:dyDescent="0.3">
      <c r="A1" s="36" t="s">
        <v>45</v>
      </c>
      <c r="F1" s="1020" t="s">
        <v>154</v>
      </c>
      <c r="G1" s="1020"/>
      <c r="H1" s="1020"/>
      <c r="J1" s="357"/>
      <c r="L1" s="357"/>
      <c r="M1" s="357"/>
    </row>
    <row r="2" spans="1:22" x14ac:dyDescent="0.25">
      <c r="A2" s="2"/>
      <c r="B2" s="30"/>
      <c r="C2" s="30"/>
      <c r="D2" s="30"/>
      <c r="E2" s="30"/>
      <c r="F2" s="30"/>
      <c r="G2" s="30"/>
      <c r="H2" s="30"/>
      <c r="I2" s="30"/>
      <c r="J2" s="143"/>
      <c r="K2" s="19"/>
      <c r="L2" s="143"/>
      <c r="M2" s="143"/>
    </row>
    <row r="3" spans="1:22" x14ac:dyDescent="0.25">
      <c r="A3" s="2"/>
      <c r="B3" s="435" t="s">
        <v>58</v>
      </c>
      <c r="C3" s="360" t="s">
        <v>58</v>
      </c>
      <c r="D3" s="360" t="s">
        <v>58</v>
      </c>
      <c r="E3" s="360" t="s">
        <v>58</v>
      </c>
      <c r="F3" s="360" t="s">
        <v>58</v>
      </c>
      <c r="G3" s="360" t="s">
        <v>58</v>
      </c>
      <c r="H3" s="360" t="s">
        <v>58</v>
      </c>
      <c r="I3" s="360" t="s">
        <v>58</v>
      </c>
      <c r="J3" s="436" t="s">
        <v>58</v>
      </c>
      <c r="K3" s="360" t="s">
        <v>58</v>
      </c>
      <c r="L3" s="441" t="s">
        <v>58</v>
      </c>
      <c r="M3" s="436" t="s">
        <v>58</v>
      </c>
    </row>
    <row r="4" spans="1:22" x14ac:dyDescent="0.25">
      <c r="A4" s="2"/>
      <c r="B4" s="437" t="s">
        <v>55</v>
      </c>
      <c r="C4" s="205" t="s">
        <v>55</v>
      </c>
      <c r="D4" s="205" t="s">
        <v>55</v>
      </c>
      <c r="E4" s="205" t="s">
        <v>55</v>
      </c>
      <c r="F4" s="205" t="s">
        <v>55</v>
      </c>
      <c r="G4" s="205" t="s">
        <v>55</v>
      </c>
      <c r="H4" s="205" t="s">
        <v>55</v>
      </c>
      <c r="I4" s="205" t="s">
        <v>55</v>
      </c>
      <c r="J4" s="438" t="s">
        <v>55</v>
      </c>
      <c r="K4" s="205" t="s">
        <v>151</v>
      </c>
      <c r="L4" s="442" t="s">
        <v>56</v>
      </c>
      <c r="M4" s="438" t="s">
        <v>253</v>
      </c>
    </row>
    <row r="5" spans="1:22" ht="16.5" thickBot="1" x14ac:dyDescent="0.3">
      <c r="A5" s="2"/>
      <c r="B5" s="439">
        <v>2009</v>
      </c>
      <c r="C5" s="367">
        <v>2010</v>
      </c>
      <c r="D5" s="367">
        <v>2011</v>
      </c>
      <c r="E5" s="367">
        <v>2012</v>
      </c>
      <c r="F5" s="367">
        <v>2013</v>
      </c>
      <c r="G5" s="367">
        <v>2014</v>
      </c>
      <c r="H5" s="367">
        <v>2015</v>
      </c>
      <c r="I5" s="367">
        <v>2016</v>
      </c>
      <c r="J5" s="440">
        <v>2017</v>
      </c>
      <c r="K5" s="367">
        <v>2018</v>
      </c>
      <c r="L5" s="456">
        <v>2019</v>
      </c>
      <c r="M5" s="440">
        <v>2018</v>
      </c>
    </row>
    <row r="6" spans="1:22" s="278" customFormat="1" ht="18.75" x14ac:dyDescent="0.3">
      <c r="A6" s="370" t="s">
        <v>333</v>
      </c>
      <c r="B6" s="378"/>
      <c r="C6" s="371"/>
      <c r="D6" s="371"/>
      <c r="E6" s="371"/>
      <c r="F6" s="371"/>
      <c r="G6" s="371"/>
      <c r="H6" s="371"/>
      <c r="I6" s="371"/>
      <c r="J6" s="379"/>
      <c r="K6" s="463"/>
      <c r="L6" s="464"/>
      <c r="M6" s="379"/>
      <c r="N6" s="126"/>
    </row>
    <row r="7" spans="1:22" ht="34.5" customHeight="1" x14ac:dyDescent="0.25">
      <c r="A7" s="106" t="s">
        <v>92</v>
      </c>
      <c r="B7" s="380">
        <f>1021383</f>
        <v>1021383</v>
      </c>
      <c r="C7" s="315">
        <f>35243+253828+111356</f>
        <v>400427</v>
      </c>
      <c r="D7" s="315">
        <f>61823+230687+143-31395</f>
        <v>261258</v>
      </c>
      <c r="E7" s="315">
        <f>30829+245990+80</f>
        <v>276899</v>
      </c>
      <c r="F7" s="315">
        <f>26078+210832-140+247241</f>
        <v>484011</v>
      </c>
      <c r="G7" s="315">
        <f>709+6200+199549+221+741425+13849</f>
        <v>961953</v>
      </c>
      <c r="H7" s="315">
        <f>-164+12088+235954+21267+734000</f>
        <v>1003145</v>
      </c>
      <c r="I7" s="315">
        <f>-545+17895+922797+1314+865152</f>
        <v>1806613</v>
      </c>
      <c r="J7" s="381">
        <f>557768+924177+951729</f>
        <v>2433674</v>
      </c>
      <c r="K7" s="315">
        <f>699857+1209541+787600</f>
        <v>2696998</v>
      </c>
      <c r="L7" s="372">
        <f>34000+808497</f>
        <v>842497</v>
      </c>
      <c r="M7" s="381">
        <f>699857+1209541+787600</f>
        <v>2696998</v>
      </c>
      <c r="N7" s="121"/>
      <c r="V7" s="144"/>
    </row>
    <row r="8" spans="1:22" x14ac:dyDescent="0.25">
      <c r="A8" s="353" t="s">
        <v>88</v>
      </c>
      <c r="B8" s="380">
        <v>0</v>
      </c>
      <c r="C8" s="315">
        <v>0</v>
      </c>
      <c r="D8" s="315">
        <v>0</v>
      </c>
      <c r="E8" s="315">
        <v>0</v>
      </c>
      <c r="F8" s="315">
        <v>0</v>
      </c>
      <c r="G8" s="315">
        <v>0</v>
      </c>
      <c r="H8" s="315">
        <v>0</v>
      </c>
      <c r="I8" s="315">
        <v>0</v>
      </c>
      <c r="J8" s="381">
        <v>0</v>
      </c>
      <c r="K8" s="315">
        <v>0</v>
      </c>
      <c r="L8" s="372">
        <v>0</v>
      </c>
      <c r="M8" s="381">
        <v>0</v>
      </c>
      <c r="N8" s="121"/>
    </row>
    <row r="9" spans="1:22" x14ac:dyDescent="0.25">
      <c r="A9" s="107" t="s">
        <v>93</v>
      </c>
      <c r="B9" s="380">
        <v>0</v>
      </c>
      <c r="C9" s="315">
        <v>0</v>
      </c>
      <c r="D9" s="315">
        <v>0</v>
      </c>
      <c r="E9" s="315">
        <v>0</v>
      </c>
      <c r="F9" s="315">
        <v>0</v>
      </c>
      <c r="G9" s="315">
        <v>0</v>
      </c>
      <c r="H9" s="315">
        <v>0</v>
      </c>
      <c r="I9" s="315">
        <v>0</v>
      </c>
      <c r="J9" s="381">
        <v>0</v>
      </c>
      <c r="K9" s="315">
        <v>0</v>
      </c>
      <c r="L9" s="372">
        <v>0</v>
      </c>
      <c r="M9" s="381">
        <v>0</v>
      </c>
      <c r="N9" s="121"/>
    </row>
    <row r="10" spans="1:22" x14ac:dyDescent="0.25">
      <c r="A10" s="354" t="s">
        <v>78</v>
      </c>
      <c r="B10" s="380">
        <v>458374</v>
      </c>
      <c r="C10" s="315">
        <v>224222</v>
      </c>
      <c r="D10" s="315">
        <v>391874</v>
      </c>
      <c r="E10" s="315">
        <v>240077</v>
      </c>
      <c r="F10" s="315">
        <v>293278</v>
      </c>
      <c r="G10" s="315">
        <v>458233</v>
      </c>
      <c r="H10" s="315">
        <v>288081</v>
      </c>
      <c r="I10" s="315">
        <f>16121+356494</f>
        <v>372615</v>
      </c>
      <c r="J10" s="381">
        <f>399406+358912</f>
        <v>758318</v>
      </c>
      <c r="K10" s="315">
        <f>563039+816279</f>
        <v>1379318</v>
      </c>
      <c r="L10" s="372">
        <f>576917+324868</f>
        <v>901785</v>
      </c>
      <c r="M10" s="381">
        <f>557239+316186</f>
        <v>873425</v>
      </c>
      <c r="N10" s="121"/>
    </row>
    <row r="11" spans="1:22" s="19" customFormat="1" ht="16.5" thickBot="1" x14ac:dyDescent="0.3">
      <c r="A11" s="527"/>
      <c r="B11" s="382"/>
      <c r="C11" s="369"/>
      <c r="D11" s="369"/>
      <c r="E11" s="369"/>
      <c r="F11" s="369"/>
      <c r="G11" s="369"/>
      <c r="H11" s="369"/>
      <c r="I11" s="369"/>
      <c r="J11" s="383"/>
      <c r="K11" s="369"/>
      <c r="L11" s="373"/>
      <c r="M11" s="383">
        <v>0</v>
      </c>
      <c r="N11" s="121"/>
    </row>
    <row r="12" spans="1:22" ht="17.25" thickTop="1" thickBot="1" x14ac:dyDescent="0.3">
      <c r="A12" s="474" t="s">
        <v>100</v>
      </c>
      <c r="B12" s="475">
        <f>SUM(B7:B11)</f>
        <v>1479757</v>
      </c>
      <c r="C12" s="476">
        <f t="shared" ref="C12:M12" si="0">SUM(C7:C11)</f>
        <v>624649</v>
      </c>
      <c r="D12" s="476">
        <f t="shared" si="0"/>
        <v>653132</v>
      </c>
      <c r="E12" s="476">
        <f t="shared" si="0"/>
        <v>516976</v>
      </c>
      <c r="F12" s="476">
        <f t="shared" si="0"/>
        <v>777289</v>
      </c>
      <c r="G12" s="476">
        <f t="shared" si="0"/>
        <v>1420186</v>
      </c>
      <c r="H12" s="476">
        <f t="shared" si="0"/>
        <v>1291226</v>
      </c>
      <c r="I12" s="476">
        <f t="shared" si="0"/>
        <v>2179228</v>
      </c>
      <c r="J12" s="477">
        <f t="shared" si="0"/>
        <v>3191992</v>
      </c>
      <c r="K12" s="476">
        <f>SUM(K7:K11)</f>
        <v>4076316</v>
      </c>
      <c r="L12" s="478">
        <f>SUM(L7:L11)</f>
        <v>1744282</v>
      </c>
      <c r="M12" s="433">
        <f t="shared" si="0"/>
        <v>3570423</v>
      </c>
      <c r="N12" s="126"/>
    </row>
    <row r="13" spans="1:22" x14ac:dyDescent="0.25">
      <c r="B13" s="504"/>
      <c r="C13" s="317"/>
      <c r="D13" s="317"/>
      <c r="E13" s="317"/>
      <c r="F13" s="317"/>
      <c r="G13" s="317"/>
      <c r="H13" s="317"/>
      <c r="I13" s="317"/>
      <c r="J13" s="496"/>
      <c r="K13" s="317"/>
      <c r="L13" s="490"/>
      <c r="M13" s="317"/>
    </row>
    <row r="14" spans="1:22" x14ac:dyDescent="0.25">
      <c r="A14" s="75"/>
      <c r="B14" s="505"/>
      <c r="C14" s="311"/>
      <c r="D14" s="311"/>
      <c r="E14" s="311"/>
      <c r="F14" s="311"/>
      <c r="G14" s="311"/>
      <c r="H14" s="311"/>
      <c r="I14" s="311"/>
      <c r="J14" s="497"/>
      <c r="K14" s="311"/>
      <c r="L14" s="178"/>
      <c r="M14" s="311"/>
    </row>
    <row r="15" spans="1:22" ht="19.5" thickBot="1" x14ac:dyDescent="0.35">
      <c r="A15" s="489"/>
      <c r="B15" s="505"/>
      <c r="C15" s="311"/>
      <c r="D15" s="311"/>
      <c r="E15" s="311"/>
      <c r="F15" s="311"/>
      <c r="G15" s="311"/>
      <c r="H15" s="311"/>
      <c r="I15" s="311"/>
      <c r="J15" s="497"/>
      <c r="K15" s="311"/>
      <c r="L15" s="178"/>
      <c r="M15" s="311"/>
    </row>
    <row r="16" spans="1:22" s="9" customFormat="1" ht="18.75" x14ac:dyDescent="0.3">
      <c r="A16" s="376" t="s">
        <v>332</v>
      </c>
      <c r="B16" s="521">
        <v>2009</v>
      </c>
      <c r="C16" s="522">
        <v>2010</v>
      </c>
      <c r="D16" s="522">
        <v>2011</v>
      </c>
      <c r="E16" s="522">
        <v>2012</v>
      </c>
      <c r="F16" s="522">
        <v>2013</v>
      </c>
      <c r="G16" s="522">
        <v>2014</v>
      </c>
      <c r="H16" s="522">
        <v>2015</v>
      </c>
      <c r="I16" s="522">
        <v>2016</v>
      </c>
      <c r="J16" s="523">
        <v>2017</v>
      </c>
      <c r="K16" s="522">
        <v>2018</v>
      </c>
      <c r="L16" s="524">
        <v>2019</v>
      </c>
      <c r="M16" s="379">
        <v>2018</v>
      </c>
      <c r="N16" s="126"/>
    </row>
    <row r="17" spans="1:14" x14ac:dyDescent="0.25">
      <c r="A17" s="106" t="s">
        <v>92</v>
      </c>
      <c r="B17" s="380">
        <f>1881047+638106+138645</f>
        <v>2657798</v>
      </c>
      <c r="C17" s="315">
        <f>1803833+637434</f>
        <v>2441267</v>
      </c>
      <c r="D17" s="315">
        <f>2262316-438062+586136</f>
        <v>2410390</v>
      </c>
      <c r="E17" s="315">
        <f>1810112+491479</f>
        <v>2301591</v>
      </c>
      <c r="F17" s="315">
        <f>1957336+548734</f>
        <v>2506070</v>
      </c>
      <c r="G17" s="315">
        <f>2246175+664773</f>
        <v>2910948</v>
      </c>
      <c r="H17" s="315">
        <v>2049717</v>
      </c>
      <c r="I17" s="315">
        <v>3293352</v>
      </c>
      <c r="J17" s="381">
        <v>4572991</v>
      </c>
      <c r="K17" s="315">
        <v>5185874</v>
      </c>
      <c r="L17" s="372">
        <v>3975103</v>
      </c>
      <c r="M17" s="381">
        <v>4799183</v>
      </c>
      <c r="N17" s="126"/>
    </row>
    <row r="18" spans="1:14" x14ac:dyDescent="0.25">
      <c r="A18" s="353" t="s">
        <v>88</v>
      </c>
      <c r="B18" s="380">
        <v>0</v>
      </c>
      <c r="C18" s="315">
        <v>0</v>
      </c>
      <c r="D18" s="315">
        <v>0</v>
      </c>
      <c r="E18" s="315">
        <v>0</v>
      </c>
      <c r="F18" s="315">
        <v>0</v>
      </c>
      <c r="G18" s="315">
        <v>0</v>
      </c>
      <c r="H18" s="315">
        <v>0</v>
      </c>
      <c r="I18" s="315">
        <v>0</v>
      </c>
      <c r="J18" s="381">
        <v>0</v>
      </c>
      <c r="K18" s="315">
        <v>0</v>
      </c>
      <c r="L18" s="372">
        <v>0</v>
      </c>
      <c r="M18" s="381">
        <v>0</v>
      </c>
      <c r="N18" s="127"/>
    </row>
    <row r="19" spans="1:14" x14ac:dyDescent="0.25">
      <c r="A19" s="107" t="s">
        <v>93</v>
      </c>
      <c r="B19" s="380">
        <v>0</v>
      </c>
      <c r="C19" s="315">
        <v>0</v>
      </c>
      <c r="D19" s="315">
        <v>0</v>
      </c>
      <c r="E19" s="315">
        <v>0</v>
      </c>
      <c r="F19" s="315">
        <v>0</v>
      </c>
      <c r="G19" s="315">
        <v>0</v>
      </c>
      <c r="H19" s="315">
        <v>0</v>
      </c>
      <c r="I19" s="315">
        <v>0</v>
      </c>
      <c r="J19" s="381">
        <v>0</v>
      </c>
      <c r="K19" s="315">
        <v>0</v>
      </c>
      <c r="L19" s="372">
        <v>0</v>
      </c>
      <c r="M19" s="381">
        <v>0</v>
      </c>
    </row>
    <row r="20" spans="1:14" x14ac:dyDescent="0.25">
      <c r="A20" s="354" t="s">
        <v>78</v>
      </c>
      <c r="B20" s="380">
        <v>458374</v>
      </c>
      <c r="C20" s="315">
        <v>224222</v>
      </c>
      <c r="D20" s="315">
        <v>391874</v>
      </c>
      <c r="E20" s="315">
        <f>240077</f>
        <v>240077</v>
      </c>
      <c r="F20" s="315">
        <v>293278</v>
      </c>
      <c r="G20" s="315">
        <v>458233</v>
      </c>
      <c r="H20" s="315">
        <v>288080</v>
      </c>
      <c r="I20" s="315">
        <v>356494</v>
      </c>
      <c r="J20" s="381">
        <f>35027+358912</f>
        <v>393939</v>
      </c>
      <c r="K20" s="315">
        <f>945724+816279</f>
        <v>1762003</v>
      </c>
      <c r="L20" s="372">
        <f>558265+324868</f>
        <v>883133</v>
      </c>
      <c r="M20" s="381">
        <f>557239+316186</f>
        <v>873425</v>
      </c>
    </row>
    <row r="21" spans="1:14" ht="16.5" thickBot="1" x14ac:dyDescent="0.3">
      <c r="A21" s="479"/>
      <c r="B21" s="382"/>
      <c r="C21" s="369"/>
      <c r="D21" s="369"/>
      <c r="E21" s="369"/>
      <c r="F21" s="369"/>
      <c r="G21" s="369"/>
      <c r="H21" s="369"/>
      <c r="I21" s="369"/>
      <c r="J21" s="383"/>
      <c r="K21" s="369"/>
      <c r="L21" s="373"/>
      <c r="M21" s="383">
        <v>0</v>
      </c>
      <c r="N21" s="488"/>
    </row>
    <row r="22" spans="1:14" ht="17.25" thickTop="1" thickBot="1" x14ac:dyDescent="0.3">
      <c r="A22" s="896" t="s">
        <v>102</v>
      </c>
      <c r="B22" s="475">
        <f t="shared" ref="B22:M22" si="1">SUM(B17:B21)</f>
        <v>3116172</v>
      </c>
      <c r="C22" s="476">
        <f t="shared" si="1"/>
        <v>2665489</v>
      </c>
      <c r="D22" s="476">
        <f t="shared" si="1"/>
        <v>2802264</v>
      </c>
      <c r="E22" s="476">
        <f t="shared" si="1"/>
        <v>2541668</v>
      </c>
      <c r="F22" s="476">
        <f t="shared" si="1"/>
        <v>2799348</v>
      </c>
      <c r="G22" s="476">
        <f t="shared" si="1"/>
        <v>3369181</v>
      </c>
      <c r="H22" s="476">
        <f t="shared" si="1"/>
        <v>2337797</v>
      </c>
      <c r="I22" s="476">
        <f t="shared" si="1"/>
        <v>3649846</v>
      </c>
      <c r="J22" s="477">
        <f t="shared" si="1"/>
        <v>4966930</v>
      </c>
      <c r="K22" s="476">
        <f>SUM(K17:K21)</f>
        <v>6947877</v>
      </c>
      <c r="L22" s="478">
        <f>SUM(L17:L21)</f>
        <v>4858236</v>
      </c>
      <c r="M22" s="433">
        <f t="shared" si="1"/>
        <v>5672608</v>
      </c>
      <c r="N22" s="488"/>
    </row>
    <row r="23" spans="1:14" ht="18.75" x14ac:dyDescent="0.3">
      <c r="A23" s="138"/>
      <c r="B23" s="401"/>
      <c r="C23" s="120"/>
      <c r="D23" s="120"/>
      <c r="E23" s="120"/>
      <c r="F23" s="120"/>
      <c r="G23" s="120"/>
      <c r="H23" s="120"/>
      <c r="I23" s="120"/>
      <c r="J23" s="402"/>
      <c r="K23" s="120"/>
      <c r="L23" s="445"/>
      <c r="M23" s="120"/>
      <c r="N23" s="120"/>
    </row>
    <row r="24" spans="1:14" x14ac:dyDescent="0.25">
      <c r="B24" s="392"/>
      <c r="J24" s="393"/>
      <c r="K24" s="278"/>
      <c r="L24" s="163"/>
      <c r="N24" s="120"/>
    </row>
    <row r="25" spans="1:14" ht="18.75" x14ac:dyDescent="0.3">
      <c r="A25" s="36"/>
      <c r="B25" s="525">
        <v>2009</v>
      </c>
      <c r="C25" s="46">
        <v>2010</v>
      </c>
      <c r="D25" s="46">
        <v>2011</v>
      </c>
      <c r="E25" s="46">
        <v>2012</v>
      </c>
      <c r="F25" s="46">
        <v>2013</v>
      </c>
      <c r="G25" s="46">
        <v>2014</v>
      </c>
      <c r="H25" s="46">
        <v>2015</v>
      </c>
      <c r="I25" s="46">
        <v>2016</v>
      </c>
      <c r="J25" s="526">
        <v>2017</v>
      </c>
      <c r="K25" s="46">
        <v>2018</v>
      </c>
      <c r="L25" s="443">
        <v>2019</v>
      </c>
      <c r="M25" s="146">
        <v>2018</v>
      </c>
      <c r="N25" s="120"/>
    </row>
    <row r="26" spans="1:14" x14ac:dyDescent="0.25">
      <c r="A26" s="10" t="s">
        <v>152</v>
      </c>
      <c r="B26" s="511">
        <f t="shared" ref="B26:M26" si="2">+B22/B27</f>
        <v>49.336183148095373</v>
      </c>
      <c r="C26" s="512">
        <f t="shared" si="2"/>
        <v>39.347657287945438</v>
      </c>
      <c r="D26" s="512">
        <f t="shared" si="2"/>
        <v>40.753683047076102</v>
      </c>
      <c r="E26" s="512">
        <f t="shared" si="2"/>
        <v>36.654619921835568</v>
      </c>
      <c r="F26" s="512">
        <f t="shared" si="2"/>
        <v>39.780417791672591</v>
      </c>
      <c r="G26" s="512">
        <f t="shared" si="2"/>
        <v>47.43521477747899</v>
      </c>
      <c r="H26" s="512">
        <f t="shared" si="2"/>
        <v>31.841419231816943</v>
      </c>
      <c r="I26" s="512">
        <f t="shared" si="2"/>
        <v>49.06696242522014</v>
      </c>
      <c r="J26" s="513">
        <f t="shared" si="2"/>
        <v>65.492220464135016</v>
      </c>
      <c r="K26" s="512">
        <f t="shared" ref="K26" si="3">+K22/K27</f>
        <v>89.926186223499258</v>
      </c>
      <c r="L26" s="514">
        <f>+L22/L27</f>
        <v>61.512230944542921</v>
      </c>
      <c r="M26" s="8">
        <f t="shared" si="2"/>
        <v>73.420413657425385</v>
      </c>
      <c r="N26" s="120"/>
    </row>
    <row r="27" spans="1:14" x14ac:dyDescent="0.25">
      <c r="A27" s="519" t="s">
        <v>336</v>
      </c>
      <c r="B27" s="515">
        <f>+Stats!D4</f>
        <v>63162</v>
      </c>
      <c r="C27" s="125">
        <f>+Stats!E4</f>
        <v>67742</v>
      </c>
      <c r="D27" s="125">
        <f>+Stats!F4</f>
        <v>68761</v>
      </c>
      <c r="E27" s="125">
        <f>+Stats!G4</f>
        <v>69341</v>
      </c>
      <c r="F27" s="125">
        <f>+Stats!H4</f>
        <v>70370</v>
      </c>
      <c r="G27" s="125">
        <f>+Stats!I4</f>
        <v>71027</v>
      </c>
      <c r="H27" s="125">
        <f>+Stats!J4</f>
        <v>73420</v>
      </c>
      <c r="I27" s="125">
        <f>+Stats!K4</f>
        <v>74385</v>
      </c>
      <c r="J27" s="483">
        <f>+Stats!L4</f>
        <v>75840</v>
      </c>
      <c r="K27" s="125">
        <f>+Stats!M4</f>
        <v>77262</v>
      </c>
      <c r="L27" s="486">
        <f>+Stats!N4</f>
        <v>78980</v>
      </c>
      <c r="M27" s="16">
        <f>+Stats!M4</f>
        <v>77262</v>
      </c>
      <c r="N27" s="120"/>
    </row>
    <row r="28" spans="1:14" x14ac:dyDescent="0.25">
      <c r="B28" s="480"/>
      <c r="C28" s="146"/>
      <c r="D28" s="146"/>
      <c r="E28" s="146"/>
      <c r="F28" s="146"/>
      <c r="G28" s="146"/>
      <c r="H28" s="146"/>
      <c r="I28" s="146"/>
      <c r="J28" s="482"/>
      <c r="K28" s="146"/>
      <c r="L28" s="485"/>
      <c r="M28" s="146"/>
      <c r="N28" s="120"/>
    </row>
    <row r="29" spans="1:14" x14ac:dyDescent="0.25">
      <c r="A29" s="377" t="s">
        <v>130</v>
      </c>
      <c r="B29" s="516">
        <f t="shared" ref="B29:M29" si="4">+B17/B30</f>
        <v>160592.0241691843</v>
      </c>
      <c r="C29" s="79">
        <f t="shared" si="4"/>
        <v>160083.0819672131</v>
      </c>
      <c r="D29" s="79">
        <f t="shared" si="4"/>
        <v>148331.69230769231</v>
      </c>
      <c r="E29" s="79">
        <f t="shared" si="4"/>
        <v>143849.4375</v>
      </c>
      <c r="F29" s="79">
        <f t="shared" si="4"/>
        <v>151424.16918429002</v>
      </c>
      <c r="G29" s="79">
        <f t="shared" si="4"/>
        <v>159504</v>
      </c>
      <c r="H29" s="79">
        <f t="shared" si="4"/>
        <v>107258.86970172684</v>
      </c>
      <c r="I29" s="79">
        <f t="shared" si="4"/>
        <v>157803.16243411598</v>
      </c>
      <c r="J29" s="517">
        <f t="shared" si="4"/>
        <v>220650.95295536789</v>
      </c>
      <c r="K29" s="79">
        <f t="shared" ref="K29" si="5">+K17/K30</f>
        <v>207642.60260260259</v>
      </c>
      <c r="L29" s="518">
        <f>+L17/L30</f>
        <v>159163.28328328326</v>
      </c>
      <c r="M29" s="26">
        <f t="shared" si="4"/>
        <v>202283.79346680714</v>
      </c>
      <c r="N29" s="120"/>
    </row>
    <row r="30" spans="1:14" x14ac:dyDescent="0.25">
      <c r="A30" s="519" t="s">
        <v>337</v>
      </c>
      <c r="B30" s="515">
        <f>+B41</f>
        <v>16.55</v>
      </c>
      <c r="C30" s="125">
        <f t="shared" ref="C30:M30" si="6">+C41</f>
        <v>15.25</v>
      </c>
      <c r="D30" s="125">
        <f t="shared" si="6"/>
        <v>16.25</v>
      </c>
      <c r="E30" s="125">
        <f t="shared" si="6"/>
        <v>16</v>
      </c>
      <c r="F30" s="125">
        <f t="shared" si="6"/>
        <v>16.55</v>
      </c>
      <c r="G30" s="125">
        <f t="shared" si="6"/>
        <v>18.25</v>
      </c>
      <c r="H30" s="125">
        <f t="shared" si="6"/>
        <v>19.11</v>
      </c>
      <c r="I30" s="125">
        <f t="shared" si="6"/>
        <v>20.869999999999997</v>
      </c>
      <c r="J30" s="483">
        <f t="shared" si="6"/>
        <v>20.725000000000001</v>
      </c>
      <c r="K30" s="125">
        <f t="shared" ref="K30" si="7">+K41</f>
        <v>24.975000000000001</v>
      </c>
      <c r="L30" s="486">
        <f>+L41</f>
        <v>24.975000000000001</v>
      </c>
      <c r="M30" s="33">
        <f t="shared" si="6"/>
        <v>23.725000000000001</v>
      </c>
      <c r="N30" s="120"/>
    </row>
    <row r="31" spans="1:14" x14ac:dyDescent="0.25">
      <c r="B31" s="392"/>
      <c r="J31" s="393"/>
      <c r="K31" s="1"/>
      <c r="L31" s="163"/>
      <c r="N31" s="120"/>
    </row>
    <row r="32" spans="1:14" x14ac:dyDescent="0.25">
      <c r="A32" s="124"/>
      <c r="B32" s="408"/>
      <c r="C32" s="124"/>
      <c r="D32" s="124"/>
      <c r="E32" s="124"/>
      <c r="F32" s="124"/>
      <c r="G32" s="124"/>
      <c r="H32" s="124"/>
      <c r="I32" s="124"/>
      <c r="J32" s="410"/>
      <c r="K32" s="124"/>
      <c r="L32" s="449"/>
      <c r="M32" s="124"/>
    </row>
    <row r="33" spans="1:14" x14ac:dyDescent="0.25">
      <c r="A33" s="124"/>
      <c r="B33" s="408"/>
      <c r="C33" s="124"/>
      <c r="D33" s="124"/>
      <c r="E33" s="124"/>
      <c r="F33" s="124"/>
      <c r="G33" s="124"/>
      <c r="H33" s="124"/>
      <c r="I33" s="124"/>
      <c r="J33" s="410"/>
      <c r="K33" s="124"/>
      <c r="L33" s="449"/>
      <c r="M33" s="124"/>
      <c r="N33" s="120"/>
    </row>
    <row r="34" spans="1:14" x14ac:dyDescent="0.25">
      <c r="A34" s="208"/>
      <c r="B34" s="416"/>
      <c r="C34" s="93"/>
      <c r="D34" s="93"/>
      <c r="E34" s="93"/>
      <c r="F34" s="93"/>
      <c r="G34" s="93"/>
      <c r="H34" s="93"/>
      <c r="I34" s="93"/>
      <c r="J34" s="417"/>
      <c r="K34" s="114"/>
      <c r="L34" s="109"/>
      <c r="M34" s="93"/>
      <c r="N34" s="120"/>
    </row>
    <row r="35" spans="1:14" x14ac:dyDescent="0.25">
      <c r="A35" s="9" t="s">
        <v>60</v>
      </c>
      <c r="B35" s="413"/>
      <c r="C35" s="15"/>
      <c r="D35" s="15"/>
      <c r="E35" s="15"/>
      <c r="F35" s="15"/>
      <c r="G35" s="15"/>
      <c r="H35" s="15"/>
      <c r="I35" s="15"/>
      <c r="J35" s="415"/>
      <c r="K35" s="114"/>
      <c r="L35" s="451"/>
      <c r="M35" s="15"/>
      <c r="N35" s="120"/>
    </row>
    <row r="36" spans="1:14" x14ac:dyDescent="0.25">
      <c r="A36" s="39" t="s">
        <v>51</v>
      </c>
      <c r="B36" s="791">
        <v>3.25</v>
      </c>
      <c r="C36" s="745">
        <v>2.75</v>
      </c>
      <c r="D36" s="745">
        <v>2.75</v>
      </c>
      <c r="E36" s="745">
        <v>2.5</v>
      </c>
      <c r="F36" s="745">
        <v>2.5</v>
      </c>
      <c r="G36" s="745">
        <v>2.5</v>
      </c>
      <c r="H36" s="745">
        <v>2.5</v>
      </c>
      <c r="I36" s="745">
        <v>4</v>
      </c>
      <c r="J36" s="746">
        <v>4</v>
      </c>
      <c r="K36" s="745">
        <v>5</v>
      </c>
      <c r="L36" s="794">
        <v>5</v>
      </c>
      <c r="M36" s="22">
        <v>5</v>
      </c>
      <c r="N36" s="120"/>
    </row>
    <row r="37" spans="1:14" x14ac:dyDescent="0.25">
      <c r="A37" s="39" t="s">
        <v>52</v>
      </c>
      <c r="B37" s="791">
        <v>0.8</v>
      </c>
      <c r="C37" s="745">
        <v>0.8</v>
      </c>
      <c r="D37" s="745">
        <v>0.75</v>
      </c>
      <c r="E37" s="745">
        <v>0.75</v>
      </c>
      <c r="F37" s="745">
        <v>1.3</v>
      </c>
      <c r="G37" s="745">
        <v>1.75</v>
      </c>
      <c r="H37" s="745">
        <v>1.75</v>
      </c>
      <c r="I37" s="745">
        <v>1.75</v>
      </c>
      <c r="J37" s="746">
        <v>1.75</v>
      </c>
      <c r="K37" s="745">
        <v>3</v>
      </c>
      <c r="L37" s="794">
        <v>3</v>
      </c>
      <c r="M37" s="22">
        <v>2.75</v>
      </c>
      <c r="N37" s="120"/>
    </row>
    <row r="38" spans="1:14" x14ac:dyDescent="0.25">
      <c r="A38" s="39" t="s">
        <v>53</v>
      </c>
      <c r="B38" s="936">
        <v>1.5</v>
      </c>
      <c r="C38" s="745">
        <v>1.2</v>
      </c>
      <c r="D38" s="745">
        <v>2</v>
      </c>
      <c r="E38" s="745">
        <v>2</v>
      </c>
      <c r="F38" s="745">
        <v>2</v>
      </c>
      <c r="G38" s="745">
        <v>2</v>
      </c>
      <c r="H38" s="937">
        <v>1.26</v>
      </c>
      <c r="I38" s="745">
        <v>1.25</v>
      </c>
      <c r="J38" s="746">
        <v>2</v>
      </c>
      <c r="K38" s="745">
        <v>2</v>
      </c>
      <c r="L38" s="794">
        <v>2</v>
      </c>
      <c r="M38" s="22">
        <v>2</v>
      </c>
      <c r="N38" s="120"/>
    </row>
    <row r="39" spans="1:14" x14ac:dyDescent="0.25">
      <c r="A39" s="39" t="s">
        <v>57</v>
      </c>
      <c r="B39" s="791">
        <v>7</v>
      </c>
      <c r="C39" s="745">
        <v>6.75</v>
      </c>
      <c r="D39" s="745">
        <v>6.75</v>
      </c>
      <c r="E39" s="745">
        <v>6.75</v>
      </c>
      <c r="F39" s="745">
        <v>6.75</v>
      </c>
      <c r="G39" s="745">
        <v>8</v>
      </c>
      <c r="H39" s="745">
        <v>9</v>
      </c>
      <c r="I39" s="745">
        <v>8.8699999999999992</v>
      </c>
      <c r="J39" s="746">
        <f>7.975</f>
        <v>7.9749999999999996</v>
      </c>
      <c r="K39" s="745">
        <v>8.9749999999999996</v>
      </c>
      <c r="L39" s="794">
        <v>8.9749999999999996</v>
      </c>
      <c r="M39" s="22">
        <f>8.975</f>
        <v>8.9749999999999996</v>
      </c>
      <c r="N39" s="120"/>
    </row>
    <row r="40" spans="1:14" ht="16.5" thickBot="1" x14ac:dyDescent="0.3">
      <c r="A40" s="39" t="s">
        <v>54</v>
      </c>
      <c r="B40" s="938">
        <v>4</v>
      </c>
      <c r="C40" s="799">
        <v>3.75</v>
      </c>
      <c r="D40" s="799">
        <v>4</v>
      </c>
      <c r="E40" s="799">
        <v>4</v>
      </c>
      <c r="F40" s="799">
        <v>4</v>
      </c>
      <c r="G40" s="799">
        <v>4</v>
      </c>
      <c r="H40" s="799">
        <v>4.5999999999999996</v>
      </c>
      <c r="I40" s="799">
        <v>5</v>
      </c>
      <c r="J40" s="939">
        <v>5</v>
      </c>
      <c r="K40" s="799">
        <v>6</v>
      </c>
      <c r="L40" s="940">
        <v>6</v>
      </c>
      <c r="M40" s="34">
        <v>5</v>
      </c>
      <c r="N40" s="120"/>
    </row>
    <row r="41" spans="1:14" x14ac:dyDescent="0.25">
      <c r="A41" s="45" t="s">
        <v>335</v>
      </c>
      <c r="B41" s="941">
        <f t="shared" ref="B41:M41" si="8">SUM(B36:B40)</f>
        <v>16.55</v>
      </c>
      <c r="C41" s="942">
        <f t="shared" si="8"/>
        <v>15.25</v>
      </c>
      <c r="D41" s="942">
        <f t="shared" si="8"/>
        <v>16.25</v>
      </c>
      <c r="E41" s="942">
        <f t="shared" si="8"/>
        <v>16</v>
      </c>
      <c r="F41" s="942">
        <f t="shared" si="8"/>
        <v>16.55</v>
      </c>
      <c r="G41" s="942">
        <f t="shared" si="8"/>
        <v>18.25</v>
      </c>
      <c r="H41" s="942">
        <f t="shared" si="8"/>
        <v>19.11</v>
      </c>
      <c r="I41" s="942">
        <f t="shared" si="8"/>
        <v>20.869999999999997</v>
      </c>
      <c r="J41" s="943">
        <f t="shared" si="8"/>
        <v>20.725000000000001</v>
      </c>
      <c r="K41" s="944">
        <f t="shared" ref="K41" si="9">SUM(K36:K40)</f>
        <v>24.975000000000001</v>
      </c>
      <c r="L41" s="945">
        <f>SUM(L36:L40)</f>
        <v>24.975000000000001</v>
      </c>
      <c r="M41" s="944">
        <f t="shared" si="8"/>
        <v>23.725000000000001</v>
      </c>
      <c r="N41" s="946"/>
    </row>
    <row r="42" spans="1:14" x14ac:dyDescent="0.25">
      <c r="A42" s="44" t="s">
        <v>369</v>
      </c>
      <c r="B42" s="622" t="s">
        <v>348</v>
      </c>
      <c r="C42" s="947">
        <f>C41/B41</f>
        <v>0.9214501510574018</v>
      </c>
      <c r="D42" s="947">
        <f t="shared" ref="D42:J42" si="10">D41/C41</f>
        <v>1.0655737704918034</v>
      </c>
      <c r="E42" s="947">
        <f t="shared" si="10"/>
        <v>0.98461538461538467</v>
      </c>
      <c r="F42" s="947">
        <f t="shared" si="10"/>
        <v>1.034375</v>
      </c>
      <c r="G42" s="947">
        <f t="shared" si="10"/>
        <v>1.1027190332326284</v>
      </c>
      <c r="H42" s="947">
        <f t="shared" si="10"/>
        <v>1.0471232876712329</v>
      </c>
      <c r="I42" s="947">
        <f t="shared" si="10"/>
        <v>1.0920983778126634</v>
      </c>
      <c r="J42" s="948">
        <f t="shared" si="10"/>
        <v>0.99305222807858184</v>
      </c>
      <c r="K42" s="947">
        <f>K41/L41</f>
        <v>1</v>
      </c>
      <c r="L42" s="949">
        <f>L41/M41</f>
        <v>1.0526870389884089</v>
      </c>
      <c r="M42" s="947">
        <f>M41/J41</f>
        <v>1.1447527141133895</v>
      </c>
      <c r="N42" s="946"/>
    </row>
    <row r="43" spans="1:14" x14ac:dyDescent="0.25">
      <c r="A43" s="205"/>
      <c r="B43" s="416"/>
      <c r="C43" s="93"/>
      <c r="D43" s="93"/>
      <c r="E43" s="93"/>
      <c r="F43" s="93"/>
      <c r="G43" s="93"/>
      <c r="H43" s="93"/>
      <c r="I43" s="93"/>
      <c r="J43" s="417"/>
      <c r="K43" s="93"/>
      <c r="L43" s="109"/>
      <c r="M43" s="93"/>
      <c r="N43" s="120"/>
    </row>
    <row r="44" spans="1:14" x14ac:dyDescent="0.25">
      <c r="A44" s="205"/>
      <c r="B44" s="416"/>
      <c r="C44" s="193"/>
      <c r="D44" s="193"/>
      <c r="E44" s="193"/>
      <c r="F44" s="193"/>
      <c r="G44" s="193"/>
      <c r="H44" s="193"/>
      <c r="I44" s="193"/>
      <c r="J44" s="501"/>
      <c r="K44" s="93"/>
      <c r="L44" s="465"/>
      <c r="M44" s="193"/>
      <c r="N44" s="120"/>
    </row>
    <row r="45" spans="1:14" x14ac:dyDescent="0.25">
      <c r="A45" s="252" t="s">
        <v>200</v>
      </c>
      <c r="B45" s="416"/>
      <c r="C45" s="93"/>
      <c r="D45" s="93"/>
      <c r="E45" s="93"/>
      <c r="F45" s="93"/>
      <c r="G45" s="93"/>
      <c r="H45" s="93"/>
      <c r="I45" s="93"/>
      <c r="J45" s="417"/>
      <c r="K45" s="93"/>
      <c r="L45" s="465"/>
      <c r="M45" s="93"/>
      <c r="N45" s="120"/>
    </row>
    <row r="46" spans="1:14" x14ac:dyDescent="0.25">
      <c r="A46" s="9" t="s">
        <v>60</v>
      </c>
      <c r="B46" s="416"/>
      <c r="C46" s="93"/>
      <c r="D46" s="93"/>
      <c r="E46" s="93"/>
      <c r="F46" s="93"/>
      <c r="G46" s="93"/>
      <c r="H46" s="93"/>
      <c r="I46" s="93"/>
      <c r="J46" s="417"/>
      <c r="K46" s="93"/>
      <c r="L46" s="109"/>
      <c r="M46" s="93"/>
      <c r="N46" s="120"/>
    </row>
    <row r="47" spans="1:14" x14ac:dyDescent="0.25">
      <c r="A47" s="285" t="s">
        <v>201</v>
      </c>
      <c r="B47" s="420">
        <v>2</v>
      </c>
      <c r="C47" s="22"/>
      <c r="D47" s="22"/>
      <c r="E47" s="22"/>
      <c r="F47" s="22"/>
      <c r="G47" s="22"/>
      <c r="H47" s="745">
        <v>0.74</v>
      </c>
      <c r="I47" s="745">
        <v>0.75</v>
      </c>
      <c r="J47" s="421">
        <v>0.6</v>
      </c>
      <c r="K47" s="22">
        <v>0.6</v>
      </c>
      <c r="L47" s="452">
        <v>0.6</v>
      </c>
      <c r="M47" s="22">
        <v>0.6</v>
      </c>
      <c r="N47" s="120"/>
    </row>
    <row r="48" spans="1:14" x14ac:dyDescent="0.25">
      <c r="A48" s="201"/>
      <c r="B48" s="416"/>
      <c r="C48" s="93"/>
      <c r="D48" s="93"/>
      <c r="E48" s="93"/>
      <c r="F48" s="93"/>
      <c r="G48" s="93"/>
      <c r="H48" s="93"/>
      <c r="I48" s="93"/>
      <c r="J48" s="417"/>
      <c r="K48" s="114"/>
      <c r="L48" s="109"/>
      <c r="M48" s="93"/>
    </row>
    <row r="49" spans="1:14" x14ac:dyDescent="0.25">
      <c r="A49" s="212"/>
      <c r="B49" s="380"/>
      <c r="C49" s="105"/>
      <c r="D49" s="105"/>
      <c r="E49" s="105"/>
      <c r="F49" s="105"/>
      <c r="G49" s="105"/>
      <c r="H49" s="93"/>
      <c r="I49" s="93"/>
      <c r="J49" s="417"/>
      <c r="K49" s="114"/>
      <c r="L49" s="109"/>
      <c r="M49" s="93"/>
    </row>
    <row r="50" spans="1:14" x14ac:dyDescent="0.25">
      <c r="A50" s="208"/>
      <c r="B50" s="509"/>
      <c r="C50" s="314"/>
      <c r="D50" s="314"/>
      <c r="E50" s="314"/>
      <c r="F50" s="314"/>
      <c r="G50" s="314"/>
      <c r="H50" s="314"/>
      <c r="I50" s="314"/>
      <c r="J50" s="502"/>
      <c r="K50" s="316"/>
      <c r="L50" s="494"/>
      <c r="M50" s="314"/>
    </row>
    <row r="51" spans="1:14" x14ac:dyDescent="0.25">
      <c r="A51" s="201"/>
      <c r="B51" s="509"/>
      <c r="C51" s="314"/>
      <c r="D51" s="314"/>
      <c r="E51" s="314"/>
      <c r="F51" s="314"/>
      <c r="G51" s="314"/>
      <c r="H51" s="314"/>
      <c r="I51" s="314"/>
      <c r="J51" s="502"/>
      <c r="K51" s="314"/>
      <c r="L51" s="494"/>
      <c r="M51" s="314"/>
    </row>
    <row r="52" spans="1:14" x14ac:dyDescent="0.25">
      <c r="A52" s="201"/>
      <c r="B52" s="509"/>
      <c r="C52" s="314"/>
      <c r="D52" s="314"/>
      <c r="E52" s="314"/>
      <c r="F52" s="314"/>
      <c r="G52" s="314"/>
      <c r="H52" s="314"/>
      <c r="I52" s="314"/>
      <c r="J52" s="502"/>
      <c r="K52" s="314"/>
      <c r="L52" s="494"/>
      <c r="M52" s="314"/>
    </row>
    <row r="53" spans="1:14" x14ac:dyDescent="0.25">
      <c r="A53" s="209"/>
      <c r="B53" s="418"/>
      <c r="C53" s="316"/>
      <c r="D53" s="316"/>
      <c r="E53" s="316"/>
      <c r="F53" s="316"/>
      <c r="G53" s="316"/>
      <c r="H53" s="316"/>
      <c r="I53" s="316"/>
      <c r="J53" s="419"/>
      <c r="K53" s="316"/>
      <c r="L53" s="455"/>
      <c r="M53" s="316"/>
    </row>
    <row r="54" spans="1:14" x14ac:dyDescent="0.25">
      <c r="A54" s="201"/>
      <c r="B54" s="509"/>
      <c r="C54" s="314"/>
      <c r="D54" s="314"/>
      <c r="E54" s="314"/>
      <c r="F54" s="314"/>
      <c r="G54" s="314"/>
      <c r="H54" s="314"/>
      <c r="I54" s="314"/>
      <c r="J54" s="502"/>
      <c r="K54" s="314"/>
      <c r="L54" s="494"/>
      <c r="M54" s="314"/>
    </row>
    <row r="55" spans="1:14" x14ac:dyDescent="0.25">
      <c r="A55" s="201"/>
      <c r="B55" s="509"/>
      <c r="C55" s="314"/>
      <c r="D55" s="314"/>
      <c r="E55" s="314"/>
      <c r="F55" s="314"/>
      <c r="G55" s="314"/>
      <c r="H55" s="314"/>
      <c r="I55" s="314"/>
      <c r="J55" s="502"/>
      <c r="K55" s="314"/>
      <c r="L55" s="494"/>
      <c r="M55" s="314"/>
    </row>
    <row r="56" spans="1:14" x14ac:dyDescent="0.25">
      <c r="A56" s="205"/>
      <c r="B56" s="509"/>
      <c r="C56" s="314"/>
      <c r="D56" s="314"/>
      <c r="E56" s="314"/>
      <c r="F56" s="314"/>
      <c r="G56" s="314"/>
      <c r="H56" s="314"/>
      <c r="I56" s="314"/>
      <c r="J56" s="502"/>
      <c r="K56" s="314"/>
      <c r="L56" s="494"/>
      <c r="M56" s="314"/>
      <c r="N56" s="120"/>
    </row>
    <row r="57" spans="1:14" x14ac:dyDescent="0.25">
      <c r="A57" s="209"/>
      <c r="B57" s="509"/>
      <c r="C57" s="314"/>
      <c r="D57" s="314"/>
      <c r="E57" s="314"/>
      <c r="F57" s="314"/>
      <c r="G57" s="314"/>
      <c r="H57" s="314"/>
      <c r="I57" s="314"/>
      <c r="J57" s="502"/>
      <c r="K57" s="314"/>
      <c r="L57" s="494"/>
      <c r="M57" s="314"/>
    </row>
    <row r="58" spans="1:14" x14ac:dyDescent="0.25">
      <c r="A58" s="201"/>
      <c r="B58" s="509"/>
      <c r="C58" s="314"/>
      <c r="D58" s="314"/>
      <c r="E58" s="314"/>
      <c r="F58" s="314"/>
      <c r="G58" s="314"/>
      <c r="H58" s="314"/>
      <c r="I58" s="314"/>
      <c r="J58" s="502"/>
      <c r="K58" s="314"/>
      <c r="L58" s="494"/>
      <c r="M58" s="314"/>
      <c r="N58" s="120"/>
    </row>
    <row r="59" spans="1:14" x14ac:dyDescent="0.25">
      <c r="A59" s="201"/>
      <c r="B59" s="510"/>
      <c r="C59" s="314"/>
      <c r="D59" s="314"/>
      <c r="E59" s="314"/>
      <c r="F59" s="314"/>
      <c r="G59" s="314"/>
      <c r="H59" s="314"/>
      <c r="I59" s="314"/>
      <c r="J59" s="502"/>
      <c r="K59" s="314"/>
      <c r="L59" s="494"/>
      <c r="M59" s="314"/>
      <c r="N59" s="120"/>
    </row>
    <row r="60" spans="1:14" x14ac:dyDescent="0.25">
      <c r="A60" s="205"/>
      <c r="B60" s="509"/>
      <c r="C60" s="314"/>
      <c r="D60" s="314"/>
      <c r="E60" s="314"/>
      <c r="F60" s="314"/>
      <c r="G60" s="314"/>
      <c r="H60" s="314"/>
      <c r="I60" s="314"/>
      <c r="J60" s="502"/>
      <c r="K60" s="314"/>
      <c r="L60" s="494"/>
      <c r="M60" s="314"/>
      <c r="N60" s="120"/>
    </row>
    <row r="61" spans="1:14" x14ac:dyDescent="0.25">
      <c r="A61" s="205"/>
      <c r="B61" s="509"/>
      <c r="C61" s="321"/>
      <c r="D61" s="321"/>
      <c r="E61" s="321"/>
      <c r="F61" s="321"/>
      <c r="G61" s="321"/>
      <c r="H61" s="321"/>
      <c r="I61" s="321"/>
      <c r="J61" s="503"/>
      <c r="K61" s="321"/>
      <c r="L61" s="495"/>
      <c r="M61" s="321"/>
      <c r="N61" s="120"/>
    </row>
    <row r="62" spans="1:14" x14ac:dyDescent="0.25">
      <c r="A62" s="210"/>
      <c r="B62" s="509"/>
      <c r="C62" s="314"/>
      <c r="D62" s="314"/>
      <c r="E62" s="314"/>
      <c r="F62" s="314"/>
      <c r="G62" s="314"/>
      <c r="H62" s="314"/>
      <c r="I62" s="314"/>
      <c r="J62" s="502"/>
      <c r="K62" s="321"/>
      <c r="L62" s="495"/>
      <c r="M62" s="314"/>
      <c r="N62" s="120"/>
    </row>
    <row r="63" spans="1:14" x14ac:dyDescent="0.25">
      <c r="A63" s="199"/>
      <c r="B63" s="316"/>
      <c r="C63" s="316"/>
      <c r="D63" s="316"/>
      <c r="E63" s="316"/>
      <c r="F63" s="316"/>
      <c r="G63" s="316"/>
      <c r="H63" s="316"/>
      <c r="I63" s="316"/>
      <c r="J63" s="316"/>
      <c r="K63" s="93"/>
      <c r="L63" s="316"/>
      <c r="M63" s="316"/>
      <c r="N63" s="26"/>
    </row>
    <row r="64" spans="1:14" x14ac:dyDescent="0.25">
      <c r="A64" s="199"/>
      <c r="B64" s="93"/>
      <c r="C64" s="93"/>
      <c r="D64" s="93"/>
      <c r="E64" s="93"/>
      <c r="F64" s="93"/>
      <c r="G64" s="93"/>
      <c r="H64" s="93"/>
      <c r="I64" s="93"/>
      <c r="J64" s="93"/>
      <c r="K64" s="93"/>
      <c r="L64" s="93"/>
      <c r="M64" s="93"/>
      <c r="N64" s="26"/>
    </row>
    <row r="65" spans="1:14" x14ac:dyDescent="0.25">
      <c r="A65" s="199"/>
      <c r="B65" s="322"/>
      <c r="C65" s="322"/>
      <c r="D65" s="322"/>
      <c r="E65" s="322"/>
      <c r="F65" s="322"/>
      <c r="G65" s="322"/>
      <c r="H65" s="322"/>
      <c r="I65" s="322"/>
      <c r="J65" s="322"/>
      <c r="K65" s="316"/>
      <c r="L65" s="322"/>
      <c r="M65" s="322"/>
      <c r="N65" s="19"/>
    </row>
    <row r="66" spans="1:14" x14ac:dyDescent="0.25">
      <c r="A66" s="201"/>
      <c r="B66" s="202"/>
      <c r="C66" s="202"/>
      <c r="D66" s="202"/>
      <c r="E66" s="202"/>
      <c r="F66" s="202"/>
      <c r="G66" s="202"/>
      <c r="H66" s="202"/>
      <c r="I66" s="202"/>
      <c r="J66" s="202"/>
      <c r="K66" s="93"/>
      <c r="L66" s="202"/>
      <c r="M66" s="202"/>
      <c r="N66" s="26"/>
    </row>
    <row r="67" spans="1:14" x14ac:dyDescent="0.25">
      <c r="A67" s="201"/>
      <c r="B67" s="202"/>
      <c r="C67" s="202"/>
      <c r="D67" s="202"/>
      <c r="E67" s="202"/>
      <c r="F67" s="202"/>
      <c r="G67" s="202"/>
      <c r="H67" s="202"/>
      <c r="I67" s="202"/>
      <c r="J67" s="202"/>
      <c r="K67" s="93"/>
      <c r="L67" s="202"/>
      <c r="M67" s="202"/>
      <c r="N67" s="26"/>
    </row>
    <row r="68" spans="1:14" x14ac:dyDescent="0.25">
      <c r="A68" s="201"/>
      <c r="B68" s="112"/>
      <c r="C68" s="202"/>
      <c r="D68" s="202"/>
      <c r="E68" s="202"/>
      <c r="F68" s="202"/>
      <c r="G68" s="202"/>
      <c r="H68" s="112"/>
      <c r="I68" s="202"/>
      <c r="J68" s="202"/>
      <c r="K68" s="93"/>
      <c r="L68" s="202"/>
      <c r="M68" s="202"/>
      <c r="N68" s="26"/>
    </row>
    <row r="69" spans="1:14" x14ac:dyDescent="0.25">
      <c r="A69" s="201"/>
      <c r="B69" s="202"/>
      <c r="C69" s="202"/>
      <c r="D69" s="202"/>
      <c r="E69" s="202"/>
      <c r="F69" s="202"/>
      <c r="G69" s="202"/>
      <c r="H69" s="202"/>
      <c r="I69" s="202"/>
      <c r="J69" s="202"/>
      <c r="K69" s="93"/>
      <c r="L69" s="202"/>
      <c r="M69" s="202"/>
      <c r="N69" s="26"/>
    </row>
    <row r="70" spans="1:14" x14ac:dyDescent="0.25">
      <c r="A70" s="201"/>
      <c r="B70" s="202"/>
      <c r="C70" s="202"/>
      <c r="D70" s="202"/>
      <c r="E70" s="202"/>
      <c r="F70" s="202"/>
      <c r="G70" s="202"/>
      <c r="H70" s="202"/>
      <c r="I70" s="202"/>
      <c r="J70" s="202"/>
      <c r="K70" s="93"/>
      <c r="L70" s="202"/>
      <c r="M70" s="202"/>
      <c r="N70" s="26"/>
    </row>
    <row r="71" spans="1:14" x14ac:dyDescent="0.25">
      <c r="A71" s="114"/>
      <c r="B71" s="114"/>
      <c r="C71" s="114"/>
      <c r="D71" s="114"/>
      <c r="E71" s="114"/>
      <c r="F71" s="114"/>
      <c r="G71" s="114"/>
      <c r="H71" s="114"/>
      <c r="I71" s="114"/>
      <c r="J71" s="114"/>
      <c r="K71" s="93"/>
      <c r="L71" s="114"/>
      <c r="M71" s="114"/>
      <c r="N71" s="26"/>
    </row>
    <row r="72" spans="1:14" x14ac:dyDescent="0.25">
      <c r="A72" s="205"/>
      <c r="B72" s="200"/>
      <c r="C72" s="140"/>
      <c r="D72" s="140"/>
      <c r="E72" s="140"/>
      <c r="F72" s="140"/>
      <c r="G72" s="140"/>
      <c r="H72" s="140"/>
      <c r="I72" s="140"/>
      <c r="J72" s="140"/>
      <c r="K72" s="93"/>
      <c r="L72" s="140"/>
      <c r="M72" s="140"/>
      <c r="N72" s="26"/>
    </row>
    <row r="73" spans="1:14" s="17" customFormat="1" x14ac:dyDescent="0.25">
      <c r="A73" s="141"/>
      <c r="B73" s="200"/>
      <c r="C73" s="140"/>
      <c r="D73" s="140"/>
      <c r="E73" s="140"/>
      <c r="F73" s="140"/>
      <c r="G73" s="140"/>
      <c r="H73" s="140"/>
      <c r="I73" s="140"/>
      <c r="J73" s="140"/>
      <c r="K73" s="216"/>
      <c r="L73" s="140"/>
      <c r="M73" s="140"/>
      <c r="N73" s="68"/>
    </row>
    <row r="74" spans="1:14" x14ac:dyDescent="0.25">
      <c r="A74" s="114"/>
      <c r="B74" s="93"/>
      <c r="C74" s="93"/>
      <c r="D74" s="93"/>
      <c r="E74" s="93"/>
      <c r="F74" s="93"/>
      <c r="G74" s="93"/>
      <c r="H74" s="93"/>
      <c r="I74" s="93"/>
      <c r="J74" s="93"/>
      <c r="K74" s="93"/>
      <c r="L74" s="93"/>
      <c r="M74" s="93"/>
      <c r="N74" s="26"/>
    </row>
    <row r="75" spans="1:14" ht="18.75" x14ac:dyDescent="0.3">
      <c r="A75" s="206"/>
      <c r="B75" s="215"/>
      <c r="C75" s="215"/>
      <c r="D75" s="215"/>
      <c r="E75" s="215"/>
      <c r="F75" s="215"/>
      <c r="G75" s="215"/>
      <c r="H75" s="215"/>
      <c r="I75" s="215"/>
      <c r="J75" s="215"/>
      <c r="K75" s="93"/>
      <c r="L75" s="215"/>
      <c r="M75" s="215"/>
      <c r="N75" s="26"/>
    </row>
    <row r="76" spans="1:14" x14ac:dyDescent="0.25">
      <c r="A76" s="116"/>
      <c r="B76" s="207"/>
      <c r="C76" s="207"/>
      <c r="D76" s="207"/>
      <c r="E76" s="207"/>
      <c r="F76" s="207"/>
      <c r="G76" s="207"/>
      <c r="H76" s="207"/>
      <c r="I76" s="207"/>
      <c r="J76" s="207"/>
      <c r="K76" s="93"/>
      <c r="L76" s="207"/>
      <c r="M76" s="207"/>
      <c r="N76" s="26"/>
    </row>
    <row r="77" spans="1:14" x14ac:dyDescent="0.25">
      <c r="A77" s="114"/>
      <c r="B77" s="93"/>
      <c r="C77" s="93"/>
      <c r="D77" s="93"/>
      <c r="E77" s="93"/>
      <c r="F77" s="93"/>
      <c r="G77" s="93"/>
      <c r="H77" s="93"/>
      <c r="I77" s="93"/>
      <c r="J77" s="93"/>
      <c r="K77" s="93"/>
      <c r="L77" s="93"/>
      <c r="M77" s="93"/>
      <c r="N77" s="26"/>
    </row>
    <row r="78" spans="1:14" x14ac:dyDescent="0.25">
      <c r="A78" s="114"/>
      <c r="B78" s="93"/>
      <c r="C78" s="93"/>
      <c r="D78" s="93"/>
      <c r="E78" s="93"/>
      <c r="F78" s="93"/>
      <c r="G78" s="93"/>
      <c r="H78" s="93"/>
      <c r="I78" s="93"/>
      <c r="J78" s="93"/>
      <c r="K78" s="93"/>
      <c r="L78" s="93"/>
      <c r="M78" s="93"/>
      <c r="N78" s="26"/>
    </row>
    <row r="79" spans="1:14" x14ac:dyDescent="0.25">
      <c r="A79" s="201"/>
      <c r="B79" s="93"/>
      <c r="C79" s="93"/>
      <c r="D79" s="93"/>
      <c r="E79" s="93"/>
      <c r="F79" s="93"/>
      <c r="G79" s="93"/>
      <c r="H79" s="93"/>
      <c r="I79" s="93"/>
      <c r="J79" s="93"/>
      <c r="K79" s="93"/>
      <c r="L79" s="93"/>
      <c r="M79" s="93"/>
      <c r="N79" s="26"/>
    </row>
    <row r="80" spans="1:14" x14ac:dyDescent="0.25">
      <c r="A80" s="201"/>
      <c r="B80" s="93"/>
      <c r="C80" s="93"/>
      <c r="D80" s="93"/>
      <c r="E80" s="93"/>
      <c r="F80" s="93"/>
      <c r="G80" s="93"/>
      <c r="H80" s="93"/>
      <c r="I80" s="93"/>
      <c r="J80" s="93"/>
      <c r="K80" s="93"/>
      <c r="L80" s="93"/>
      <c r="M80" s="93"/>
      <c r="N80" s="26"/>
    </row>
    <row r="81" spans="1:14" x14ac:dyDescent="0.25">
      <c r="A81" s="201"/>
      <c r="B81" s="93"/>
      <c r="C81" s="93"/>
      <c r="D81" s="93"/>
      <c r="E81" s="93"/>
      <c r="F81" s="93"/>
      <c r="G81" s="93"/>
      <c r="H81" s="93"/>
      <c r="I81" s="93"/>
      <c r="J81" s="93"/>
      <c r="K81" s="93"/>
      <c r="L81" s="93"/>
      <c r="M81" s="93"/>
      <c r="N81" s="26"/>
    </row>
    <row r="82" spans="1:14" x14ac:dyDescent="0.25">
      <c r="A82" s="201"/>
      <c r="B82" s="93"/>
      <c r="C82" s="93"/>
      <c r="D82" s="93"/>
      <c r="E82" s="93"/>
      <c r="F82" s="93"/>
      <c r="G82" s="93"/>
      <c r="H82" s="93"/>
      <c r="I82" s="93"/>
      <c r="J82" s="93"/>
      <c r="K82" s="93"/>
      <c r="L82" s="93"/>
      <c r="M82" s="93"/>
      <c r="N82" s="26"/>
    </row>
    <row r="83" spans="1:14" x14ac:dyDescent="0.25">
      <c r="A83" s="201"/>
      <c r="B83" s="93"/>
      <c r="C83" s="93"/>
      <c r="D83" s="93"/>
      <c r="E83" s="93"/>
      <c r="F83" s="93"/>
      <c r="G83" s="93"/>
      <c r="H83" s="93"/>
      <c r="I83" s="93"/>
      <c r="J83" s="93"/>
      <c r="K83" s="93"/>
      <c r="L83" s="93"/>
      <c r="M83" s="93"/>
      <c r="N83" s="26"/>
    </row>
    <row r="84" spans="1:14" x14ac:dyDescent="0.25">
      <c r="A84" s="199"/>
      <c r="B84" s="93"/>
      <c r="C84" s="93"/>
      <c r="D84" s="93"/>
      <c r="E84" s="93"/>
      <c r="F84" s="93"/>
      <c r="G84" s="93"/>
      <c r="H84" s="93"/>
      <c r="I84" s="93"/>
      <c r="J84" s="93"/>
      <c r="K84" s="93"/>
      <c r="L84" s="93"/>
      <c r="M84" s="93"/>
      <c r="N84" s="26"/>
    </row>
    <row r="85" spans="1:14" x14ac:dyDescent="0.25">
      <c r="A85" s="114"/>
      <c r="B85" s="93"/>
      <c r="C85" s="93"/>
      <c r="D85" s="93"/>
      <c r="E85" s="93"/>
      <c r="F85" s="93"/>
      <c r="G85" s="93"/>
      <c r="H85" s="93"/>
      <c r="I85" s="93"/>
      <c r="J85" s="93"/>
      <c r="K85" s="93"/>
      <c r="L85" s="93"/>
      <c r="M85" s="93"/>
      <c r="N85" s="26"/>
    </row>
    <row r="86" spans="1:14" x14ac:dyDescent="0.25">
      <c r="A86" s="114"/>
      <c r="B86" s="215"/>
      <c r="C86" s="215"/>
      <c r="D86" s="215"/>
      <c r="E86" s="215"/>
      <c r="F86" s="215"/>
      <c r="G86" s="215"/>
      <c r="H86" s="215"/>
      <c r="I86" s="215"/>
      <c r="J86" s="215"/>
      <c r="K86" s="93"/>
      <c r="L86" s="215"/>
      <c r="M86" s="215"/>
      <c r="N86" s="26"/>
    </row>
    <row r="87" spans="1:14" x14ac:dyDescent="0.25">
      <c r="A87" s="114"/>
      <c r="B87" s="112"/>
      <c r="C87" s="112"/>
      <c r="D87" s="112"/>
      <c r="E87" s="112"/>
      <c r="F87" s="112"/>
      <c r="G87" s="112"/>
      <c r="H87" s="112"/>
      <c r="I87" s="112"/>
      <c r="J87" s="112"/>
      <c r="K87" s="93"/>
      <c r="L87" s="112"/>
      <c r="M87" s="112"/>
      <c r="N87" s="26"/>
    </row>
    <row r="88" spans="1:14" x14ac:dyDescent="0.25">
      <c r="A88" s="114"/>
      <c r="B88" s="112"/>
      <c r="C88" s="112"/>
      <c r="D88" s="112"/>
      <c r="E88" s="112"/>
      <c r="F88" s="112"/>
      <c r="G88" s="112"/>
      <c r="H88" s="112"/>
      <c r="I88" s="112"/>
      <c r="J88" s="112"/>
      <c r="K88" s="93"/>
      <c r="L88" s="112"/>
      <c r="M88" s="112"/>
      <c r="N88" s="26"/>
    </row>
    <row r="89" spans="1:14" x14ac:dyDescent="0.25">
      <c r="A89" s="114"/>
      <c r="B89" s="114"/>
      <c r="C89" s="114"/>
      <c r="D89" s="114"/>
      <c r="E89" s="114"/>
      <c r="F89" s="114"/>
      <c r="G89" s="114"/>
      <c r="H89" s="114"/>
      <c r="I89" s="114"/>
      <c r="J89" s="114"/>
      <c r="K89" s="93"/>
      <c r="L89" s="114"/>
      <c r="M89" s="114"/>
      <c r="N89" s="26"/>
    </row>
    <row r="90" spans="1:14" x14ac:dyDescent="0.25">
      <c r="A90" s="114"/>
      <c r="B90" s="114"/>
      <c r="C90" s="114"/>
      <c r="D90" s="114"/>
      <c r="E90" s="114"/>
      <c r="F90" s="114"/>
      <c r="G90" s="114"/>
      <c r="H90" s="114"/>
      <c r="I90" s="114"/>
      <c r="J90" s="114"/>
      <c r="K90" s="93"/>
      <c r="L90" s="114"/>
      <c r="M90" s="114"/>
      <c r="N90" s="26"/>
    </row>
    <row r="91" spans="1:14" x14ac:dyDescent="0.25">
      <c r="A91" s="114"/>
      <c r="B91" s="114"/>
      <c r="C91" s="114"/>
      <c r="D91" s="114"/>
      <c r="E91" s="114"/>
      <c r="F91" s="114"/>
      <c r="G91" s="114"/>
      <c r="H91" s="114"/>
      <c r="I91" s="114"/>
      <c r="J91" s="114"/>
      <c r="K91" s="114"/>
      <c r="L91" s="114"/>
      <c r="M91" s="114"/>
      <c r="N91" s="19"/>
    </row>
    <row r="92" spans="1:14" x14ac:dyDescent="0.25">
      <c r="A92" s="114"/>
      <c r="B92" s="114"/>
      <c r="C92" s="114"/>
      <c r="D92" s="114"/>
      <c r="E92" s="114"/>
      <c r="F92" s="114"/>
      <c r="G92" s="114"/>
      <c r="H92" s="114"/>
      <c r="I92" s="114"/>
      <c r="J92" s="114"/>
      <c r="K92" s="114"/>
      <c r="L92" s="114"/>
      <c r="M92" s="114"/>
      <c r="N92" s="19"/>
    </row>
    <row r="93" spans="1:14" x14ac:dyDescent="0.25">
      <c r="A93" s="114"/>
      <c r="B93" s="114"/>
      <c r="C93" s="114"/>
      <c r="D93" s="114"/>
      <c r="E93" s="114"/>
      <c r="F93" s="114"/>
      <c r="G93" s="114"/>
      <c r="H93" s="114"/>
      <c r="I93" s="114"/>
      <c r="J93" s="114"/>
      <c r="K93" s="114"/>
      <c r="L93" s="114"/>
      <c r="M93" s="114"/>
      <c r="N93" s="19"/>
    </row>
    <row r="94" spans="1:14" x14ac:dyDescent="0.25">
      <c r="A94" s="114"/>
      <c r="B94" s="114"/>
      <c r="C94" s="114"/>
      <c r="D94" s="114"/>
      <c r="E94" s="114"/>
      <c r="F94" s="114"/>
      <c r="G94" s="114"/>
      <c r="H94" s="114"/>
      <c r="I94" s="114"/>
      <c r="J94" s="114"/>
      <c r="K94" s="114"/>
      <c r="L94" s="114"/>
      <c r="M94" s="114"/>
      <c r="N94" s="19"/>
    </row>
    <row r="95" spans="1:14" x14ac:dyDescent="0.25">
      <c r="A95" s="114"/>
      <c r="B95" s="114"/>
      <c r="C95" s="114"/>
      <c r="D95" s="114"/>
      <c r="E95" s="114"/>
      <c r="F95" s="114"/>
      <c r="G95" s="114"/>
      <c r="H95" s="114"/>
      <c r="I95" s="114"/>
      <c r="J95" s="114"/>
      <c r="K95" s="114"/>
      <c r="L95" s="114"/>
      <c r="M95" s="114"/>
      <c r="N95" s="19"/>
    </row>
    <row r="96" spans="1:14" x14ac:dyDescent="0.25">
      <c r="A96" s="114"/>
      <c r="B96" s="114"/>
      <c r="C96" s="114"/>
      <c r="D96" s="114"/>
      <c r="E96" s="114"/>
      <c r="F96" s="114"/>
      <c r="G96" s="114"/>
      <c r="H96" s="114"/>
      <c r="I96" s="114"/>
      <c r="J96" s="114"/>
      <c r="K96" s="114"/>
      <c r="L96" s="114"/>
      <c r="M96" s="114"/>
      <c r="N96" s="19"/>
    </row>
    <row r="97" spans="1:14" x14ac:dyDescent="0.25">
      <c r="A97" s="114"/>
      <c r="B97" s="114"/>
      <c r="C97" s="114"/>
      <c r="D97" s="114"/>
      <c r="E97" s="114"/>
      <c r="F97" s="114"/>
      <c r="G97" s="114"/>
      <c r="H97" s="114"/>
      <c r="I97" s="114"/>
      <c r="J97" s="114"/>
      <c r="K97" s="114"/>
      <c r="L97" s="114"/>
      <c r="M97" s="114"/>
      <c r="N97" s="19"/>
    </row>
    <row r="98" spans="1:14" x14ac:dyDescent="0.25">
      <c r="A98" s="114"/>
      <c r="B98" s="114"/>
      <c r="C98" s="114"/>
      <c r="D98" s="114"/>
      <c r="E98" s="114"/>
      <c r="F98" s="114"/>
      <c r="G98" s="114"/>
      <c r="H98" s="114"/>
      <c r="I98" s="114"/>
      <c r="J98" s="114"/>
      <c r="K98" s="114"/>
      <c r="L98" s="114"/>
      <c r="M98" s="114"/>
      <c r="N98" s="19"/>
    </row>
    <row r="99" spans="1:14" x14ac:dyDescent="0.25">
      <c r="A99" s="114"/>
      <c r="B99" s="114"/>
      <c r="C99" s="114"/>
      <c r="D99" s="114"/>
      <c r="E99" s="114"/>
      <c r="F99" s="114"/>
      <c r="G99" s="114"/>
      <c r="H99" s="114"/>
      <c r="I99" s="114"/>
      <c r="J99" s="114"/>
      <c r="K99" s="114"/>
      <c r="L99" s="114"/>
      <c r="M99" s="114"/>
      <c r="N99" s="19"/>
    </row>
    <row r="100" spans="1:14" x14ac:dyDescent="0.25">
      <c r="A100" s="114"/>
      <c r="B100" s="114"/>
      <c r="C100" s="114"/>
      <c r="D100" s="114"/>
      <c r="E100" s="114"/>
      <c r="F100" s="114"/>
      <c r="G100" s="114"/>
      <c r="H100" s="114"/>
      <c r="I100" s="114"/>
      <c r="J100" s="114"/>
      <c r="K100" s="114"/>
      <c r="L100" s="114"/>
      <c r="M100" s="114"/>
      <c r="N100" s="19"/>
    </row>
    <row r="101" spans="1:14" x14ac:dyDescent="0.25">
      <c r="A101" s="114"/>
      <c r="B101" s="114"/>
      <c r="C101" s="114"/>
      <c r="D101" s="114"/>
      <c r="E101" s="114"/>
      <c r="F101" s="114"/>
      <c r="G101" s="114"/>
      <c r="H101" s="114"/>
      <c r="I101" s="114"/>
      <c r="J101" s="114"/>
      <c r="K101" s="114"/>
      <c r="L101" s="114"/>
      <c r="M101" s="114"/>
      <c r="N101" s="19"/>
    </row>
    <row r="102" spans="1:14" x14ac:dyDescent="0.25">
      <c r="A102" s="114"/>
      <c r="B102" s="114"/>
      <c r="C102" s="114"/>
      <c r="D102" s="114"/>
      <c r="E102" s="114"/>
      <c r="F102" s="114"/>
      <c r="G102" s="114"/>
      <c r="H102" s="114"/>
      <c r="I102" s="114"/>
      <c r="J102" s="114"/>
      <c r="K102" s="114"/>
      <c r="L102" s="114"/>
      <c r="M102" s="114"/>
      <c r="N102" s="19"/>
    </row>
    <row r="103" spans="1:14" x14ac:dyDescent="0.25">
      <c r="A103" s="114"/>
      <c r="B103" s="114"/>
      <c r="C103" s="114"/>
      <c r="D103" s="114"/>
      <c r="E103" s="114"/>
      <c r="F103" s="114"/>
      <c r="G103" s="114"/>
      <c r="H103" s="114"/>
      <c r="I103" s="114"/>
      <c r="J103" s="114"/>
      <c r="K103" s="114"/>
      <c r="L103" s="114"/>
      <c r="M103" s="114"/>
      <c r="N103" s="19"/>
    </row>
    <row r="104" spans="1:14" x14ac:dyDescent="0.25">
      <c r="A104" s="114"/>
      <c r="B104" s="114"/>
      <c r="C104" s="114"/>
      <c r="D104" s="114"/>
      <c r="E104" s="114"/>
      <c r="F104" s="114"/>
      <c r="G104" s="114"/>
      <c r="H104" s="114"/>
      <c r="I104" s="114"/>
      <c r="J104" s="114"/>
      <c r="K104" s="114"/>
      <c r="L104" s="114"/>
      <c r="M104" s="114"/>
      <c r="N104" s="19"/>
    </row>
    <row r="105" spans="1:14" x14ac:dyDescent="0.25">
      <c r="A105" s="114"/>
      <c r="B105" s="114"/>
      <c r="C105" s="114"/>
      <c r="D105" s="114"/>
      <c r="E105" s="114"/>
      <c r="F105" s="114"/>
      <c r="G105" s="114"/>
      <c r="H105" s="114"/>
      <c r="I105" s="114"/>
      <c r="J105" s="114"/>
      <c r="K105" s="114"/>
      <c r="L105" s="114"/>
      <c r="M105" s="114"/>
      <c r="N105" s="19"/>
    </row>
    <row r="106" spans="1:14" x14ac:dyDescent="0.25">
      <c r="A106" s="114"/>
      <c r="B106" s="114"/>
      <c r="C106" s="114"/>
      <c r="D106" s="114"/>
      <c r="E106" s="114"/>
      <c r="F106" s="114"/>
      <c r="G106" s="114"/>
      <c r="H106" s="114"/>
      <c r="I106" s="114"/>
      <c r="J106" s="114"/>
      <c r="K106" s="114"/>
      <c r="L106" s="114"/>
      <c r="M106" s="114"/>
      <c r="N106" s="19"/>
    </row>
    <row r="107" spans="1:14" x14ac:dyDescent="0.25">
      <c r="A107" s="114"/>
      <c r="B107" s="114"/>
      <c r="C107" s="114"/>
      <c r="D107" s="114"/>
      <c r="E107" s="114"/>
      <c r="F107" s="114"/>
      <c r="G107" s="114"/>
      <c r="H107" s="114"/>
      <c r="I107" s="114"/>
      <c r="J107" s="114"/>
      <c r="K107" s="114"/>
      <c r="L107" s="114"/>
      <c r="M107" s="114"/>
      <c r="N107" s="19"/>
    </row>
    <row r="108" spans="1:14" x14ac:dyDescent="0.25">
      <c r="A108" s="114"/>
      <c r="B108" s="114"/>
      <c r="C108" s="114"/>
      <c r="D108" s="114"/>
      <c r="E108" s="114"/>
      <c r="F108" s="114"/>
      <c r="G108" s="114"/>
      <c r="H108" s="114"/>
      <c r="I108" s="114"/>
      <c r="J108" s="114"/>
      <c r="K108" s="114"/>
      <c r="L108" s="114"/>
      <c r="M108" s="114"/>
      <c r="N108" s="19"/>
    </row>
    <row r="109" spans="1:14" x14ac:dyDescent="0.25">
      <c r="A109" s="114"/>
      <c r="B109" s="114"/>
      <c r="C109" s="114"/>
      <c r="D109" s="114"/>
      <c r="E109" s="114"/>
      <c r="F109" s="114"/>
      <c r="G109" s="114"/>
      <c r="H109" s="114"/>
      <c r="I109" s="114"/>
      <c r="J109" s="114"/>
      <c r="K109" s="114"/>
      <c r="L109" s="114"/>
      <c r="M109" s="114"/>
      <c r="N109" s="19"/>
    </row>
    <row r="110" spans="1:14" x14ac:dyDescent="0.25">
      <c r="A110" s="114"/>
      <c r="B110" s="114"/>
      <c r="C110" s="114"/>
      <c r="D110" s="114"/>
      <c r="E110" s="114"/>
      <c r="F110" s="114"/>
      <c r="G110" s="114"/>
      <c r="H110" s="114"/>
      <c r="I110" s="114"/>
      <c r="J110" s="114"/>
      <c r="K110" s="114"/>
      <c r="L110" s="114"/>
      <c r="M110" s="114"/>
      <c r="N110" s="19"/>
    </row>
    <row r="111" spans="1:14" x14ac:dyDescent="0.25">
      <c r="A111" s="114"/>
      <c r="B111" s="114"/>
      <c r="C111" s="114"/>
      <c r="D111" s="114"/>
      <c r="E111" s="114"/>
      <c r="F111" s="114"/>
      <c r="G111" s="114"/>
      <c r="H111" s="114"/>
      <c r="I111" s="114"/>
      <c r="J111" s="114"/>
      <c r="K111" s="114"/>
      <c r="L111" s="114"/>
      <c r="M111" s="114"/>
      <c r="N111" s="19"/>
    </row>
    <row r="112" spans="1:14" x14ac:dyDescent="0.25">
      <c r="A112" s="114"/>
      <c r="B112" s="114"/>
      <c r="C112" s="114"/>
      <c r="D112" s="114"/>
      <c r="E112" s="114"/>
      <c r="F112" s="114"/>
      <c r="G112" s="114"/>
      <c r="H112" s="114"/>
      <c r="I112" s="114"/>
      <c r="J112" s="114"/>
      <c r="K112" s="114"/>
      <c r="L112" s="114"/>
      <c r="M112" s="114"/>
      <c r="N112" s="19"/>
    </row>
    <row r="113" spans="1:14" x14ac:dyDescent="0.25">
      <c r="A113" s="114"/>
      <c r="B113" s="114"/>
      <c r="C113" s="114"/>
      <c r="D113" s="114"/>
      <c r="E113" s="114"/>
      <c r="F113" s="114"/>
      <c r="G113" s="114"/>
      <c r="H113" s="114"/>
      <c r="I113" s="114"/>
      <c r="J113" s="114"/>
      <c r="K113" s="114"/>
      <c r="L113" s="114"/>
      <c r="M113" s="114"/>
      <c r="N113" s="19"/>
    </row>
    <row r="114" spans="1:14" x14ac:dyDescent="0.25">
      <c r="A114" s="114"/>
      <c r="B114" s="114"/>
      <c r="C114" s="114"/>
      <c r="D114" s="114"/>
      <c r="E114" s="114"/>
      <c r="F114" s="114"/>
      <c r="G114" s="114"/>
      <c r="H114" s="114"/>
      <c r="I114" s="114"/>
      <c r="J114" s="114"/>
      <c r="K114" s="114"/>
      <c r="L114" s="114"/>
      <c r="M114" s="114"/>
      <c r="N114" s="19"/>
    </row>
    <row r="115" spans="1:14" x14ac:dyDescent="0.25">
      <c r="A115" s="114"/>
      <c r="B115" s="114"/>
      <c r="C115" s="114"/>
      <c r="D115" s="114"/>
      <c r="E115" s="114"/>
      <c r="F115" s="114"/>
      <c r="G115" s="114"/>
      <c r="H115" s="114"/>
      <c r="I115" s="114"/>
      <c r="J115" s="114"/>
      <c r="K115" s="114"/>
      <c r="L115" s="114"/>
      <c r="M115" s="114"/>
      <c r="N115" s="19"/>
    </row>
    <row r="116" spans="1:14" x14ac:dyDescent="0.25">
      <c r="A116" s="114"/>
      <c r="B116" s="114"/>
      <c r="C116" s="114"/>
      <c r="D116" s="114"/>
      <c r="E116" s="114"/>
      <c r="F116" s="114"/>
      <c r="G116" s="114"/>
      <c r="H116" s="114"/>
      <c r="I116" s="114"/>
      <c r="J116" s="114"/>
      <c r="K116" s="114"/>
      <c r="L116" s="114"/>
      <c r="M116" s="114"/>
      <c r="N116" s="19"/>
    </row>
    <row r="117" spans="1:14" x14ac:dyDescent="0.25">
      <c r="A117" s="114"/>
      <c r="B117" s="114"/>
      <c r="C117" s="114"/>
      <c r="D117" s="114"/>
      <c r="E117" s="114"/>
      <c r="F117" s="114"/>
      <c r="G117" s="114"/>
      <c r="H117" s="114"/>
      <c r="I117" s="114"/>
      <c r="J117" s="114"/>
      <c r="K117" s="114"/>
      <c r="L117" s="114"/>
      <c r="M117" s="114"/>
      <c r="N117" s="19"/>
    </row>
    <row r="118" spans="1:14" x14ac:dyDescent="0.25">
      <c r="A118" s="114"/>
      <c r="B118" s="114"/>
      <c r="C118" s="114"/>
      <c r="D118" s="114"/>
      <c r="E118" s="114"/>
      <c r="F118" s="114"/>
      <c r="G118" s="114"/>
      <c r="H118" s="114"/>
      <c r="I118" s="114"/>
      <c r="J118" s="114"/>
      <c r="K118" s="114"/>
      <c r="L118" s="114"/>
      <c r="M118" s="114"/>
      <c r="N118" s="19"/>
    </row>
    <row r="119" spans="1:14" x14ac:dyDescent="0.25">
      <c r="A119" s="114"/>
      <c r="B119" s="114"/>
      <c r="C119" s="114"/>
      <c r="D119" s="114"/>
      <c r="E119" s="114"/>
      <c r="F119" s="114"/>
      <c r="G119" s="114"/>
      <c r="H119" s="114"/>
      <c r="I119" s="114"/>
      <c r="J119" s="114"/>
      <c r="K119" s="114"/>
      <c r="L119" s="114"/>
      <c r="M119" s="114"/>
      <c r="N119" s="19"/>
    </row>
    <row r="120" spans="1:14" x14ac:dyDescent="0.25">
      <c r="A120" s="114"/>
      <c r="B120" s="114"/>
      <c r="C120" s="114"/>
      <c r="D120" s="114"/>
      <c r="E120" s="114"/>
      <c r="F120" s="114"/>
      <c r="G120" s="114"/>
      <c r="H120" s="114"/>
      <c r="I120" s="114"/>
      <c r="J120" s="114"/>
      <c r="K120" s="114"/>
      <c r="L120" s="114"/>
      <c r="M120" s="114"/>
      <c r="N120" s="19"/>
    </row>
    <row r="121" spans="1:14" x14ac:dyDescent="0.25">
      <c r="A121" s="114"/>
      <c r="B121" s="114"/>
      <c r="C121" s="114"/>
      <c r="D121" s="114"/>
      <c r="E121" s="114"/>
      <c r="F121" s="114"/>
      <c r="G121" s="114"/>
      <c r="H121" s="114"/>
      <c r="I121" s="114"/>
      <c r="J121" s="114"/>
      <c r="K121" s="114"/>
      <c r="L121" s="114"/>
      <c r="M121" s="114"/>
      <c r="N121" s="19"/>
    </row>
    <row r="122" spans="1:14" x14ac:dyDescent="0.25">
      <c r="A122" s="114"/>
      <c r="B122" s="114"/>
      <c r="C122" s="114"/>
      <c r="D122" s="114"/>
      <c r="E122" s="114"/>
      <c r="F122" s="114"/>
      <c r="G122" s="114"/>
      <c r="H122" s="114"/>
      <c r="I122" s="114"/>
      <c r="J122" s="114"/>
      <c r="K122" s="114"/>
      <c r="L122" s="114"/>
      <c r="M122" s="114"/>
      <c r="N122" s="19"/>
    </row>
    <row r="123" spans="1:14" x14ac:dyDescent="0.25">
      <c r="A123" s="114"/>
      <c r="B123" s="114"/>
      <c r="C123" s="114"/>
      <c r="D123" s="114"/>
      <c r="E123" s="114"/>
      <c r="F123" s="114"/>
      <c r="G123" s="114"/>
      <c r="H123" s="114"/>
      <c r="I123" s="114"/>
      <c r="J123" s="114"/>
      <c r="K123" s="114"/>
      <c r="L123" s="114"/>
      <c r="M123" s="114"/>
      <c r="N123" s="19"/>
    </row>
    <row r="124" spans="1:14" x14ac:dyDescent="0.25">
      <c r="A124" s="114"/>
      <c r="B124" s="114"/>
      <c r="C124" s="114"/>
      <c r="D124" s="114"/>
      <c r="E124" s="114"/>
      <c r="F124" s="114"/>
      <c r="G124" s="114"/>
      <c r="H124" s="114"/>
      <c r="I124" s="114"/>
      <c r="J124" s="114"/>
      <c r="K124" s="114"/>
      <c r="L124" s="114"/>
      <c r="M124" s="114"/>
      <c r="N124" s="19"/>
    </row>
    <row r="125" spans="1:14" x14ac:dyDescent="0.25">
      <c r="A125" s="114"/>
      <c r="B125" s="114"/>
      <c r="C125" s="114"/>
      <c r="D125" s="114"/>
      <c r="E125" s="114"/>
      <c r="F125" s="114"/>
      <c r="G125" s="114"/>
      <c r="H125" s="114"/>
      <c r="I125" s="114"/>
      <c r="J125" s="114"/>
      <c r="K125" s="114"/>
      <c r="L125" s="114"/>
      <c r="M125" s="114"/>
      <c r="N125" s="19"/>
    </row>
    <row r="126" spans="1:14" x14ac:dyDescent="0.25">
      <c r="A126" s="114"/>
      <c r="B126" s="114"/>
      <c r="C126" s="114"/>
      <c r="D126" s="114"/>
      <c r="E126" s="114"/>
      <c r="F126" s="114"/>
      <c r="G126" s="114"/>
      <c r="H126" s="114"/>
      <c r="I126" s="114"/>
      <c r="J126" s="114"/>
      <c r="K126" s="114"/>
      <c r="L126" s="114"/>
      <c r="M126" s="114"/>
      <c r="N126" s="19"/>
    </row>
    <row r="127" spans="1:14" x14ac:dyDescent="0.25">
      <c r="N127" s="19"/>
    </row>
    <row r="128" spans="1:14" x14ac:dyDescent="0.25">
      <c r="N128" s="19"/>
    </row>
    <row r="129" spans="14:14" x14ac:dyDescent="0.25">
      <c r="N129" s="19"/>
    </row>
    <row r="130" spans="14:14" x14ac:dyDescent="0.25">
      <c r="N130" s="19"/>
    </row>
    <row r="131" spans="14:14" x14ac:dyDescent="0.25">
      <c r="N131" s="19"/>
    </row>
    <row r="132" spans="14:14" x14ac:dyDescent="0.25">
      <c r="N132" s="19"/>
    </row>
    <row r="133" spans="14:14" x14ac:dyDescent="0.25">
      <c r="N133" s="19"/>
    </row>
    <row r="134" spans="14:14" x14ac:dyDescent="0.25">
      <c r="N134" s="19"/>
    </row>
    <row r="135" spans="14:14" x14ac:dyDescent="0.25">
      <c r="N135" s="19"/>
    </row>
    <row r="136" spans="14:14" x14ac:dyDescent="0.25">
      <c r="N136" s="19"/>
    </row>
    <row r="137" spans="14:14" x14ac:dyDescent="0.25">
      <c r="N137" s="19"/>
    </row>
    <row r="138" spans="14:14" x14ac:dyDescent="0.25">
      <c r="N138" s="19"/>
    </row>
    <row r="139" spans="14:14" x14ac:dyDescent="0.25">
      <c r="N139" s="19"/>
    </row>
    <row r="140" spans="14:14" x14ac:dyDescent="0.25">
      <c r="N140" s="19"/>
    </row>
    <row r="141" spans="14:14" x14ac:dyDescent="0.25">
      <c r="N141" s="19"/>
    </row>
    <row r="142" spans="14:14" x14ac:dyDescent="0.25">
      <c r="N142" s="19"/>
    </row>
    <row r="143" spans="14:14" x14ac:dyDescent="0.25">
      <c r="N143" s="19"/>
    </row>
    <row r="144" spans="14:14" x14ac:dyDescent="0.25">
      <c r="N144" s="19"/>
    </row>
    <row r="145" spans="14:14" x14ac:dyDescent="0.25">
      <c r="N145" s="19"/>
    </row>
    <row r="146" spans="14:14" x14ac:dyDescent="0.25">
      <c r="N146" s="19"/>
    </row>
    <row r="147" spans="14:14" x14ac:dyDescent="0.25">
      <c r="N147" s="19"/>
    </row>
    <row r="148" spans="14:14" x14ac:dyDescent="0.25">
      <c r="N148" s="19"/>
    </row>
    <row r="149" spans="14:14" x14ac:dyDescent="0.25">
      <c r="N149" s="19"/>
    </row>
    <row r="150" spans="14:14" x14ac:dyDescent="0.25">
      <c r="N150" s="19"/>
    </row>
    <row r="151" spans="14:14" x14ac:dyDescent="0.25">
      <c r="N151" s="19"/>
    </row>
    <row r="152" spans="14:14" x14ac:dyDescent="0.25">
      <c r="N152" s="19"/>
    </row>
    <row r="153" spans="14:14" x14ac:dyDescent="0.25">
      <c r="N153" s="19"/>
    </row>
    <row r="154" spans="14:14" x14ac:dyDescent="0.25">
      <c r="N154" s="19"/>
    </row>
    <row r="155" spans="14:14" x14ac:dyDescent="0.25">
      <c r="N155" s="19"/>
    </row>
    <row r="156" spans="14:14" x14ac:dyDescent="0.25">
      <c r="N156" s="19"/>
    </row>
    <row r="157" spans="14:14" x14ac:dyDescent="0.25">
      <c r="N157" s="19"/>
    </row>
    <row r="158" spans="14:14" x14ac:dyDescent="0.25">
      <c r="N158" s="19"/>
    </row>
    <row r="159" spans="14:14" x14ac:dyDescent="0.25">
      <c r="N159" s="19"/>
    </row>
    <row r="160" spans="14:14" x14ac:dyDescent="0.25">
      <c r="N160" s="19"/>
    </row>
    <row r="161" spans="14:14" x14ac:dyDescent="0.25">
      <c r="N161" s="19"/>
    </row>
    <row r="162" spans="14:14" x14ac:dyDescent="0.25">
      <c r="N162" s="19"/>
    </row>
    <row r="163" spans="14:14" x14ac:dyDescent="0.25">
      <c r="N163" s="19"/>
    </row>
    <row r="164" spans="14:14" x14ac:dyDescent="0.25">
      <c r="N164" s="19"/>
    </row>
    <row r="165" spans="14:14" x14ac:dyDescent="0.25">
      <c r="N165" s="19"/>
    </row>
    <row r="166" spans="14:14" x14ac:dyDescent="0.25">
      <c r="N166" s="19"/>
    </row>
    <row r="167" spans="14:14" x14ac:dyDescent="0.25">
      <c r="N167" s="19"/>
    </row>
    <row r="168" spans="14:14" x14ac:dyDescent="0.25">
      <c r="N168" s="19"/>
    </row>
    <row r="169" spans="14:14" x14ac:dyDescent="0.25">
      <c r="N169" s="19"/>
    </row>
    <row r="170" spans="14:14" x14ac:dyDescent="0.25">
      <c r="N170" s="19"/>
    </row>
    <row r="171" spans="14:14" x14ac:dyDescent="0.25">
      <c r="N171" s="19"/>
    </row>
    <row r="172" spans="14:14" x14ac:dyDescent="0.25">
      <c r="N172" s="19"/>
    </row>
    <row r="173" spans="14:14" x14ac:dyDescent="0.25">
      <c r="N173" s="19"/>
    </row>
    <row r="174" spans="14:14" x14ac:dyDescent="0.25">
      <c r="N174" s="19"/>
    </row>
    <row r="175" spans="14:14" x14ac:dyDescent="0.25">
      <c r="N175" s="19"/>
    </row>
    <row r="176" spans="14:14" x14ac:dyDescent="0.25">
      <c r="N176" s="19"/>
    </row>
    <row r="177" spans="14:14" x14ac:dyDescent="0.25">
      <c r="N177" s="19"/>
    </row>
    <row r="178" spans="14:14" x14ac:dyDescent="0.25">
      <c r="N178" s="19"/>
    </row>
    <row r="179" spans="14:14" x14ac:dyDescent="0.25">
      <c r="N179" s="19"/>
    </row>
    <row r="180" spans="14:14" x14ac:dyDescent="0.25">
      <c r="N180" s="19"/>
    </row>
    <row r="181" spans="14:14" x14ac:dyDescent="0.25">
      <c r="N181" s="19"/>
    </row>
    <row r="182" spans="14:14" x14ac:dyDescent="0.25">
      <c r="N182" s="19"/>
    </row>
    <row r="183" spans="14:14" x14ac:dyDescent="0.25">
      <c r="N183" s="19"/>
    </row>
    <row r="184" spans="14:14" x14ac:dyDescent="0.25">
      <c r="N184" s="19"/>
    </row>
    <row r="185" spans="14:14" x14ac:dyDescent="0.25">
      <c r="N185" s="19"/>
    </row>
    <row r="186" spans="14:14" x14ac:dyDescent="0.25">
      <c r="N186" s="19"/>
    </row>
    <row r="187" spans="14:14" x14ac:dyDescent="0.25">
      <c r="N187" s="19"/>
    </row>
    <row r="188" spans="14:14" x14ac:dyDescent="0.25">
      <c r="N188" s="19"/>
    </row>
    <row r="189" spans="14:14" x14ac:dyDescent="0.25">
      <c r="N189" s="19"/>
    </row>
    <row r="190" spans="14:14" x14ac:dyDescent="0.25">
      <c r="N190" s="19"/>
    </row>
    <row r="191" spans="14:14" x14ac:dyDescent="0.25">
      <c r="N191" s="19"/>
    </row>
    <row r="192" spans="14:14" x14ac:dyDescent="0.25">
      <c r="N192" s="19"/>
    </row>
    <row r="193" spans="14:14" x14ac:dyDescent="0.25">
      <c r="N193" s="19"/>
    </row>
    <row r="194" spans="14:14" x14ac:dyDescent="0.25">
      <c r="N194" s="19"/>
    </row>
    <row r="195" spans="14:14" x14ac:dyDescent="0.25">
      <c r="N195" s="19"/>
    </row>
    <row r="196" spans="14:14" x14ac:dyDescent="0.25">
      <c r="N196" s="19"/>
    </row>
    <row r="197" spans="14:14" x14ac:dyDescent="0.25">
      <c r="N197" s="19"/>
    </row>
    <row r="198" spans="14:14" x14ac:dyDescent="0.25">
      <c r="N198" s="19"/>
    </row>
    <row r="199" spans="14:14" x14ac:dyDescent="0.25">
      <c r="N199" s="19"/>
    </row>
    <row r="200" spans="14:14" x14ac:dyDescent="0.25">
      <c r="N200" s="19"/>
    </row>
    <row r="201" spans="14:14" x14ac:dyDescent="0.25">
      <c r="N201" s="19"/>
    </row>
    <row r="202" spans="14:14" x14ac:dyDescent="0.25">
      <c r="N202" s="19"/>
    </row>
    <row r="203" spans="14:14" x14ac:dyDescent="0.25">
      <c r="N203" s="19"/>
    </row>
    <row r="204" spans="14:14" x14ac:dyDescent="0.25">
      <c r="N204" s="19"/>
    </row>
    <row r="205" spans="14:14" x14ac:dyDescent="0.25">
      <c r="N205" s="19"/>
    </row>
    <row r="206" spans="14:14" x14ac:dyDescent="0.25">
      <c r="N206" s="19"/>
    </row>
    <row r="207" spans="14:14" x14ac:dyDescent="0.25">
      <c r="N207" s="19"/>
    </row>
    <row r="208" spans="14:14" x14ac:dyDescent="0.25">
      <c r="N208" s="19"/>
    </row>
    <row r="209" spans="14:14" x14ac:dyDescent="0.25">
      <c r="N209" s="19"/>
    </row>
    <row r="210" spans="14:14" x14ac:dyDescent="0.25">
      <c r="N210" s="19"/>
    </row>
    <row r="211" spans="14:14" x14ac:dyDescent="0.25">
      <c r="N211" s="19"/>
    </row>
    <row r="212" spans="14:14" x14ac:dyDescent="0.25">
      <c r="N212" s="19"/>
    </row>
    <row r="213" spans="14:14" x14ac:dyDescent="0.25">
      <c r="N213" s="19"/>
    </row>
    <row r="214" spans="14:14" x14ac:dyDescent="0.25">
      <c r="N214" s="19"/>
    </row>
    <row r="215" spans="14:14" x14ac:dyDescent="0.25">
      <c r="N215" s="19"/>
    </row>
    <row r="216" spans="14:14" x14ac:dyDescent="0.25">
      <c r="N216" s="19"/>
    </row>
    <row r="217" spans="14:14" x14ac:dyDescent="0.25">
      <c r="N217" s="19"/>
    </row>
    <row r="218" spans="14:14" x14ac:dyDescent="0.25">
      <c r="N218" s="19"/>
    </row>
    <row r="219" spans="14:14" x14ac:dyDescent="0.25">
      <c r="N219" s="19"/>
    </row>
    <row r="220" spans="14:14" x14ac:dyDescent="0.25">
      <c r="N220" s="19"/>
    </row>
    <row r="221" spans="14:14" x14ac:dyDescent="0.25">
      <c r="N221" s="19"/>
    </row>
    <row r="222" spans="14:14" x14ac:dyDescent="0.25">
      <c r="N222" s="19"/>
    </row>
    <row r="223" spans="14:14" x14ac:dyDescent="0.25">
      <c r="N223" s="19"/>
    </row>
    <row r="224" spans="14:14" x14ac:dyDescent="0.25">
      <c r="N224" s="19"/>
    </row>
    <row r="225" spans="14:14" x14ac:dyDescent="0.25">
      <c r="N225" s="19"/>
    </row>
    <row r="226" spans="14:14" x14ac:dyDescent="0.25">
      <c r="N226" s="19"/>
    </row>
    <row r="227" spans="14:14" x14ac:dyDescent="0.25">
      <c r="N227" s="19"/>
    </row>
    <row r="228" spans="14:14" x14ac:dyDescent="0.25">
      <c r="N228" s="19"/>
    </row>
    <row r="229" spans="14:14" x14ac:dyDescent="0.25">
      <c r="N229" s="19"/>
    </row>
    <row r="230" spans="14:14" x14ac:dyDescent="0.25">
      <c r="N230" s="19"/>
    </row>
    <row r="231" spans="14:14" x14ac:dyDescent="0.25">
      <c r="N231" s="19"/>
    </row>
    <row r="232" spans="14:14" x14ac:dyDescent="0.25">
      <c r="N232" s="19"/>
    </row>
    <row r="233" spans="14:14" x14ac:dyDescent="0.25">
      <c r="N233" s="19"/>
    </row>
    <row r="234" spans="14:14" x14ac:dyDescent="0.25">
      <c r="N234" s="19"/>
    </row>
    <row r="235" spans="14:14" x14ac:dyDescent="0.25">
      <c r="N235" s="19"/>
    </row>
    <row r="236" spans="14:14" x14ac:dyDescent="0.25">
      <c r="N236" s="19"/>
    </row>
    <row r="237" spans="14:14" x14ac:dyDescent="0.25">
      <c r="N237" s="19"/>
    </row>
    <row r="238" spans="14:14" x14ac:dyDescent="0.25">
      <c r="N238" s="19"/>
    </row>
    <row r="239" spans="14:14" x14ac:dyDescent="0.25">
      <c r="N239" s="19"/>
    </row>
    <row r="240" spans="14:14" x14ac:dyDescent="0.25">
      <c r="N240" s="19"/>
    </row>
    <row r="241" spans="14:14" x14ac:dyDescent="0.25">
      <c r="N241" s="19"/>
    </row>
    <row r="242" spans="14:14" x14ac:dyDescent="0.25">
      <c r="N242" s="19"/>
    </row>
    <row r="243" spans="14:14" x14ac:dyDescent="0.25">
      <c r="N243" s="19"/>
    </row>
    <row r="244" spans="14:14" x14ac:dyDescent="0.25">
      <c r="N244" s="19"/>
    </row>
    <row r="245" spans="14:14" x14ac:dyDescent="0.25">
      <c r="N245" s="19"/>
    </row>
    <row r="246" spans="14:14" x14ac:dyDescent="0.25">
      <c r="N246" s="19"/>
    </row>
    <row r="247" spans="14:14" x14ac:dyDescent="0.25">
      <c r="N247" s="19"/>
    </row>
    <row r="248" spans="14:14" x14ac:dyDescent="0.25">
      <c r="N248" s="19"/>
    </row>
    <row r="249" spans="14:14" x14ac:dyDescent="0.25">
      <c r="N249" s="19"/>
    </row>
    <row r="250" spans="14:14" x14ac:dyDescent="0.25">
      <c r="N250" s="19"/>
    </row>
    <row r="251" spans="14:14" x14ac:dyDescent="0.25">
      <c r="N251" s="19"/>
    </row>
    <row r="252" spans="14:14" x14ac:dyDescent="0.25">
      <c r="N252" s="19"/>
    </row>
    <row r="253" spans="14:14" x14ac:dyDescent="0.25">
      <c r="N253" s="19"/>
    </row>
    <row r="254" spans="14:14" x14ac:dyDescent="0.25">
      <c r="N254" s="19"/>
    </row>
    <row r="255" spans="14:14" x14ac:dyDescent="0.25">
      <c r="N255" s="19"/>
    </row>
    <row r="256" spans="14:14" x14ac:dyDescent="0.25">
      <c r="N256" s="19"/>
    </row>
    <row r="257" spans="14:14" x14ac:dyDescent="0.25">
      <c r="N257" s="19"/>
    </row>
    <row r="258" spans="14:14" x14ac:dyDescent="0.25">
      <c r="N258" s="19"/>
    </row>
    <row r="259" spans="14:14" x14ac:dyDescent="0.25">
      <c r="N259" s="19"/>
    </row>
    <row r="260" spans="14:14" x14ac:dyDescent="0.25">
      <c r="N260" s="19"/>
    </row>
    <row r="261" spans="14:14" x14ac:dyDescent="0.25">
      <c r="N261" s="19"/>
    </row>
    <row r="262" spans="14:14" x14ac:dyDescent="0.25">
      <c r="N262" s="19"/>
    </row>
    <row r="263" spans="14:14" x14ac:dyDescent="0.25">
      <c r="N263" s="19"/>
    </row>
    <row r="264" spans="14:14" x14ac:dyDescent="0.25">
      <c r="N264" s="19"/>
    </row>
    <row r="265" spans="14:14" x14ac:dyDescent="0.25">
      <c r="N265" s="19"/>
    </row>
    <row r="266" spans="14:14" x14ac:dyDescent="0.25">
      <c r="N266" s="19"/>
    </row>
    <row r="267" spans="14:14" x14ac:dyDescent="0.25">
      <c r="N267" s="19"/>
    </row>
    <row r="268" spans="14:14" x14ac:dyDescent="0.25">
      <c r="N268" s="19"/>
    </row>
    <row r="269" spans="14:14" x14ac:dyDescent="0.25">
      <c r="N269" s="19"/>
    </row>
    <row r="270" spans="14:14" x14ac:dyDescent="0.25">
      <c r="N270" s="19"/>
    </row>
    <row r="271" spans="14:14" x14ac:dyDescent="0.25">
      <c r="N271" s="19"/>
    </row>
    <row r="272" spans="14:14" x14ac:dyDescent="0.25">
      <c r="N272" s="19"/>
    </row>
    <row r="273" spans="14:14" x14ac:dyDescent="0.25">
      <c r="N273" s="19"/>
    </row>
    <row r="274" spans="14:14" x14ac:dyDescent="0.25">
      <c r="N274" s="19"/>
    </row>
    <row r="275" spans="14:14" x14ac:dyDescent="0.25">
      <c r="N275" s="19"/>
    </row>
    <row r="276" spans="14:14" x14ac:dyDescent="0.25">
      <c r="N276" s="19"/>
    </row>
    <row r="277" spans="14:14" x14ac:dyDescent="0.25">
      <c r="N277" s="19"/>
    </row>
    <row r="278" spans="14:14" x14ac:dyDescent="0.25">
      <c r="N278" s="19"/>
    </row>
    <row r="279" spans="14:14" x14ac:dyDescent="0.25">
      <c r="N279" s="19"/>
    </row>
    <row r="280" spans="14:14" x14ac:dyDescent="0.25">
      <c r="N280" s="19"/>
    </row>
    <row r="281" spans="14:14" x14ac:dyDescent="0.25">
      <c r="N281" s="19"/>
    </row>
    <row r="282" spans="14:14" x14ac:dyDescent="0.25">
      <c r="N282" s="19"/>
    </row>
    <row r="283" spans="14:14" x14ac:dyDescent="0.25">
      <c r="N283" s="19"/>
    </row>
    <row r="284" spans="14:14" x14ac:dyDescent="0.25">
      <c r="N284" s="19"/>
    </row>
    <row r="285" spans="14:14" x14ac:dyDescent="0.25">
      <c r="N285" s="19"/>
    </row>
    <row r="286" spans="14:14" x14ac:dyDescent="0.25">
      <c r="N286" s="19"/>
    </row>
    <row r="287" spans="14:14" x14ac:dyDescent="0.25">
      <c r="N287" s="19"/>
    </row>
    <row r="288" spans="14:14" x14ac:dyDescent="0.25">
      <c r="N288" s="19"/>
    </row>
    <row r="289" spans="14:14" x14ac:dyDescent="0.25">
      <c r="N289" s="19"/>
    </row>
    <row r="290" spans="14:14" x14ac:dyDescent="0.25">
      <c r="N290" s="19"/>
    </row>
    <row r="291" spans="14:14" x14ac:dyDescent="0.25">
      <c r="N291" s="19"/>
    </row>
    <row r="292" spans="14:14" x14ac:dyDescent="0.25">
      <c r="N292" s="19"/>
    </row>
    <row r="293" spans="14:14" x14ac:dyDescent="0.25">
      <c r="N293" s="19"/>
    </row>
    <row r="294" spans="14:14" x14ac:dyDescent="0.25">
      <c r="N294" s="19"/>
    </row>
    <row r="295" spans="14:14" x14ac:dyDescent="0.25">
      <c r="N295" s="19"/>
    </row>
    <row r="296" spans="14:14" x14ac:dyDescent="0.25">
      <c r="N296" s="19"/>
    </row>
    <row r="297" spans="14:14" x14ac:dyDescent="0.25">
      <c r="N297" s="19"/>
    </row>
    <row r="298" spans="14:14" x14ac:dyDescent="0.25">
      <c r="N298" s="19"/>
    </row>
    <row r="299" spans="14:14" x14ac:dyDescent="0.25">
      <c r="N299" s="19"/>
    </row>
    <row r="300" spans="14:14" x14ac:dyDescent="0.25">
      <c r="N300" s="19"/>
    </row>
    <row r="301" spans="14:14" x14ac:dyDescent="0.25">
      <c r="N301" s="19"/>
    </row>
    <row r="302" spans="14:14" x14ac:dyDescent="0.25">
      <c r="N302" s="19"/>
    </row>
    <row r="303" spans="14:14" x14ac:dyDescent="0.25">
      <c r="N303" s="19"/>
    </row>
    <row r="304" spans="14:14" x14ac:dyDescent="0.25">
      <c r="N304" s="19"/>
    </row>
    <row r="305" spans="10:14" x14ac:dyDescent="0.25">
      <c r="N305" s="19"/>
    </row>
    <row r="306" spans="10:14" x14ac:dyDescent="0.25">
      <c r="N306" s="19"/>
    </row>
    <row r="307" spans="10:14" x14ac:dyDescent="0.25">
      <c r="N307" s="19"/>
    </row>
    <row r="308" spans="10:14" x14ac:dyDescent="0.25">
      <c r="N308" s="19"/>
    </row>
    <row r="309" spans="10:14" x14ac:dyDescent="0.25">
      <c r="N309" s="19"/>
    </row>
    <row r="310" spans="10:14" x14ac:dyDescent="0.25">
      <c r="N310" s="19"/>
    </row>
    <row r="311" spans="10:14" x14ac:dyDescent="0.25">
      <c r="N311" s="19"/>
    </row>
    <row r="312" spans="10:14" x14ac:dyDescent="0.25">
      <c r="N312" s="19"/>
    </row>
    <row r="313" spans="10:14" x14ac:dyDescent="0.25">
      <c r="N313" s="19"/>
    </row>
    <row r="314" spans="10:14" x14ac:dyDescent="0.25">
      <c r="N314" s="19"/>
    </row>
    <row r="315" spans="10:14" x14ac:dyDescent="0.25">
      <c r="N315" s="19"/>
    </row>
    <row r="316" spans="10:14" x14ac:dyDescent="0.25">
      <c r="J316" t="s">
        <v>134</v>
      </c>
      <c r="N316" s="19"/>
    </row>
    <row r="317" spans="10:14" x14ac:dyDescent="0.25">
      <c r="N317" s="19"/>
    </row>
    <row r="318" spans="10:14" x14ac:dyDescent="0.25">
      <c r="N318" s="19"/>
    </row>
    <row r="319" spans="10:14" x14ac:dyDescent="0.25">
      <c r="N319" s="19"/>
    </row>
    <row r="320" spans="10:14" x14ac:dyDescent="0.25">
      <c r="N320" s="19"/>
    </row>
    <row r="321" spans="14:14" x14ac:dyDescent="0.25">
      <c r="N321" s="19"/>
    </row>
    <row r="322" spans="14:14" x14ac:dyDescent="0.25">
      <c r="N322" s="19"/>
    </row>
    <row r="323" spans="14:14" x14ac:dyDescent="0.25">
      <c r="N323" s="19"/>
    </row>
    <row r="324" spans="14:14" x14ac:dyDescent="0.25">
      <c r="N324" s="19"/>
    </row>
    <row r="325" spans="14:14" x14ac:dyDescent="0.25">
      <c r="N325" s="19"/>
    </row>
    <row r="326" spans="14:14" x14ac:dyDescent="0.25">
      <c r="N326" s="19"/>
    </row>
    <row r="327" spans="14:14" x14ac:dyDescent="0.25">
      <c r="N327" s="19"/>
    </row>
    <row r="328" spans="14:14" x14ac:dyDescent="0.25">
      <c r="N328" s="19"/>
    </row>
    <row r="329" spans="14:14" x14ac:dyDescent="0.25">
      <c r="N329" s="19"/>
    </row>
    <row r="330" spans="14:14" x14ac:dyDescent="0.25">
      <c r="N330" s="19"/>
    </row>
    <row r="331" spans="14:14" x14ac:dyDescent="0.25">
      <c r="N331" s="19"/>
    </row>
    <row r="332" spans="14:14" x14ac:dyDescent="0.25">
      <c r="N332" s="19"/>
    </row>
    <row r="333" spans="14:14" x14ac:dyDescent="0.25">
      <c r="N333" s="19"/>
    </row>
    <row r="334" spans="14:14" x14ac:dyDescent="0.25">
      <c r="N334" s="19"/>
    </row>
    <row r="335" spans="14:14" x14ac:dyDescent="0.25">
      <c r="N335" s="19"/>
    </row>
    <row r="336" spans="14:14" x14ac:dyDescent="0.25">
      <c r="N336" s="19"/>
    </row>
    <row r="337" spans="14:14" x14ac:dyDescent="0.25">
      <c r="N337" s="19"/>
    </row>
    <row r="338" spans="14:14" x14ac:dyDescent="0.25">
      <c r="N338" s="19"/>
    </row>
    <row r="339" spans="14:14" x14ac:dyDescent="0.25">
      <c r="N339" s="19"/>
    </row>
    <row r="340" spans="14:14" x14ac:dyDescent="0.25">
      <c r="N340" s="19"/>
    </row>
    <row r="341" spans="14:14" x14ac:dyDescent="0.25">
      <c r="N341" s="19"/>
    </row>
    <row r="342" spans="14:14" x14ac:dyDescent="0.25">
      <c r="N342" s="19"/>
    </row>
    <row r="343" spans="14:14" x14ac:dyDescent="0.25">
      <c r="N343" s="19"/>
    </row>
    <row r="344" spans="14:14" x14ac:dyDescent="0.25">
      <c r="N344" s="19"/>
    </row>
    <row r="345" spans="14:14" x14ac:dyDescent="0.25">
      <c r="N345" s="19"/>
    </row>
    <row r="346" spans="14:14" x14ac:dyDescent="0.25">
      <c r="N346" s="19"/>
    </row>
    <row r="347" spans="14:14" x14ac:dyDescent="0.25">
      <c r="N347" s="19"/>
    </row>
    <row r="348" spans="14:14" x14ac:dyDescent="0.25">
      <c r="N348" s="19"/>
    </row>
    <row r="349" spans="14:14" x14ac:dyDescent="0.25">
      <c r="N349" s="19"/>
    </row>
    <row r="350" spans="14:14" x14ac:dyDescent="0.25">
      <c r="N350" s="19"/>
    </row>
    <row r="351" spans="14:14" x14ac:dyDescent="0.25">
      <c r="N351" s="19"/>
    </row>
    <row r="352" spans="14:14" x14ac:dyDescent="0.25">
      <c r="N352" s="19"/>
    </row>
    <row r="353" spans="14:14" x14ac:dyDescent="0.25">
      <c r="N353" s="19"/>
    </row>
    <row r="354" spans="14:14" x14ac:dyDescent="0.25">
      <c r="N354" s="19"/>
    </row>
    <row r="355" spans="14:14" x14ac:dyDescent="0.25">
      <c r="N355" s="19"/>
    </row>
    <row r="356" spans="14:14" x14ac:dyDescent="0.25">
      <c r="N356" s="19"/>
    </row>
    <row r="357" spans="14:14" x14ac:dyDescent="0.25">
      <c r="N357" s="19"/>
    </row>
    <row r="358" spans="14:14" x14ac:dyDescent="0.25">
      <c r="N358" s="19"/>
    </row>
    <row r="359" spans="14:14" x14ac:dyDescent="0.25">
      <c r="N359" s="19"/>
    </row>
    <row r="360" spans="14:14" x14ac:dyDescent="0.25">
      <c r="N360" s="19"/>
    </row>
    <row r="361" spans="14:14" x14ac:dyDescent="0.25">
      <c r="N361" s="19"/>
    </row>
    <row r="362" spans="14:14" x14ac:dyDescent="0.25">
      <c r="N362" s="19"/>
    </row>
    <row r="363" spans="14:14" x14ac:dyDescent="0.25">
      <c r="N363" s="19"/>
    </row>
    <row r="364" spans="14:14" x14ac:dyDescent="0.25">
      <c r="N364" s="19"/>
    </row>
    <row r="365" spans="14:14" x14ac:dyDescent="0.25">
      <c r="N365" s="19"/>
    </row>
    <row r="366" spans="14:14" x14ac:dyDescent="0.25">
      <c r="N366" s="19"/>
    </row>
    <row r="367" spans="14:14" x14ac:dyDescent="0.25">
      <c r="N367" s="19"/>
    </row>
    <row r="368" spans="14:14" x14ac:dyDescent="0.25">
      <c r="N368" s="19"/>
    </row>
    <row r="369" spans="14:14" x14ac:dyDescent="0.25">
      <c r="N369" s="19"/>
    </row>
    <row r="370" spans="14:14" x14ac:dyDescent="0.25">
      <c r="N370" s="19"/>
    </row>
    <row r="371" spans="14:14" x14ac:dyDescent="0.25">
      <c r="N371" s="19"/>
    </row>
    <row r="372" spans="14:14" x14ac:dyDescent="0.25">
      <c r="N372" s="19"/>
    </row>
    <row r="373" spans="14:14" x14ac:dyDescent="0.25">
      <c r="N373" s="19"/>
    </row>
    <row r="374" spans="14:14" x14ac:dyDescent="0.25">
      <c r="N374" s="19"/>
    </row>
    <row r="375" spans="14:14" x14ac:dyDescent="0.25">
      <c r="N375" s="19"/>
    </row>
    <row r="376" spans="14:14" x14ac:dyDescent="0.25">
      <c r="N376" s="19"/>
    </row>
    <row r="377" spans="14:14" x14ac:dyDescent="0.25">
      <c r="N377" s="19"/>
    </row>
    <row r="378" spans="14:14" x14ac:dyDescent="0.25">
      <c r="N378" s="19"/>
    </row>
    <row r="379" spans="14:14" x14ac:dyDescent="0.25">
      <c r="N379" s="19"/>
    </row>
    <row r="380" spans="14:14" x14ac:dyDescent="0.25">
      <c r="N380" s="19"/>
    </row>
    <row r="381" spans="14:14" x14ac:dyDescent="0.25">
      <c r="N381" s="19"/>
    </row>
    <row r="382" spans="14:14" x14ac:dyDescent="0.25">
      <c r="N382" s="19"/>
    </row>
    <row r="383" spans="14:14" x14ac:dyDescent="0.25">
      <c r="N383" s="19"/>
    </row>
    <row r="384" spans="14:14" x14ac:dyDescent="0.25">
      <c r="N384" s="19"/>
    </row>
    <row r="385" spans="14:14" x14ac:dyDescent="0.25">
      <c r="N385" s="19"/>
    </row>
    <row r="386" spans="14:14" x14ac:dyDescent="0.25">
      <c r="N386" s="19"/>
    </row>
    <row r="387" spans="14:14" x14ac:dyDescent="0.25">
      <c r="N387" s="19"/>
    </row>
    <row r="388" spans="14:14" x14ac:dyDescent="0.25">
      <c r="N388" s="19"/>
    </row>
    <row r="389" spans="14:14" x14ac:dyDescent="0.25">
      <c r="N389" s="19"/>
    </row>
    <row r="390" spans="14:14" x14ac:dyDescent="0.25">
      <c r="N390" s="19"/>
    </row>
    <row r="391" spans="14:14" x14ac:dyDescent="0.25">
      <c r="N391" s="19"/>
    </row>
    <row r="392" spans="14:14" x14ac:dyDescent="0.25">
      <c r="N392" s="19"/>
    </row>
    <row r="393" spans="14:14" x14ac:dyDescent="0.25">
      <c r="N393" s="19"/>
    </row>
    <row r="394" spans="14:14" x14ac:dyDescent="0.25">
      <c r="N394" s="19"/>
    </row>
    <row r="395" spans="14:14" x14ac:dyDescent="0.25">
      <c r="N395" s="19"/>
    </row>
    <row r="396" spans="14:14" x14ac:dyDescent="0.25">
      <c r="N396" s="19"/>
    </row>
    <row r="397" spans="14:14" x14ac:dyDescent="0.25">
      <c r="N397" s="19"/>
    </row>
    <row r="398" spans="14:14" x14ac:dyDescent="0.25">
      <c r="N398" s="19"/>
    </row>
    <row r="399" spans="14:14" x14ac:dyDescent="0.25">
      <c r="N399" s="19"/>
    </row>
    <row r="400" spans="14:14" x14ac:dyDescent="0.25">
      <c r="N400" s="19"/>
    </row>
    <row r="401" spans="14:14" x14ac:dyDescent="0.25">
      <c r="N401" s="19"/>
    </row>
    <row r="402" spans="14:14" x14ac:dyDescent="0.25">
      <c r="N402" s="19"/>
    </row>
    <row r="403" spans="14:14" x14ac:dyDescent="0.25">
      <c r="N403" s="19"/>
    </row>
    <row r="404" spans="14:14" x14ac:dyDescent="0.25">
      <c r="N404" s="19"/>
    </row>
    <row r="405" spans="14:14" x14ac:dyDescent="0.25">
      <c r="N405" s="19"/>
    </row>
    <row r="406" spans="14:14" x14ac:dyDescent="0.25">
      <c r="N406" s="19"/>
    </row>
    <row r="407" spans="14:14" x14ac:dyDescent="0.25">
      <c r="N407" s="19"/>
    </row>
    <row r="408" spans="14:14" x14ac:dyDescent="0.25">
      <c r="N408" s="19"/>
    </row>
    <row r="409" spans="14:14" x14ac:dyDescent="0.25">
      <c r="N409" s="19"/>
    </row>
    <row r="410" spans="14:14" x14ac:dyDescent="0.25">
      <c r="N410" s="19"/>
    </row>
    <row r="411" spans="14:14" x14ac:dyDescent="0.25">
      <c r="N411" s="19"/>
    </row>
    <row r="412" spans="14:14" x14ac:dyDescent="0.25">
      <c r="N412" s="19"/>
    </row>
    <row r="413" spans="14:14" x14ac:dyDescent="0.25">
      <c r="N413" s="19"/>
    </row>
    <row r="414" spans="14:14" x14ac:dyDescent="0.25">
      <c r="N414" s="19"/>
    </row>
    <row r="415" spans="14:14" x14ac:dyDescent="0.25">
      <c r="N415" s="19"/>
    </row>
    <row r="416" spans="14:14" x14ac:dyDescent="0.25">
      <c r="N416" s="19"/>
    </row>
    <row r="417" spans="14:14" x14ac:dyDescent="0.25">
      <c r="N417" s="19"/>
    </row>
    <row r="418" spans="14:14" x14ac:dyDescent="0.25">
      <c r="N418" s="19"/>
    </row>
    <row r="419" spans="14:14" x14ac:dyDescent="0.25">
      <c r="N419" s="19"/>
    </row>
    <row r="420" spans="14:14" x14ac:dyDescent="0.25">
      <c r="N420" s="19"/>
    </row>
    <row r="421" spans="14:14" x14ac:dyDescent="0.25">
      <c r="N421" s="19"/>
    </row>
    <row r="422" spans="14:14" x14ac:dyDescent="0.25">
      <c r="N422" s="19"/>
    </row>
    <row r="423" spans="14:14" x14ac:dyDescent="0.25">
      <c r="N423" s="19"/>
    </row>
    <row r="424" spans="14:14" x14ac:dyDescent="0.25">
      <c r="N424" s="19"/>
    </row>
    <row r="425" spans="14:14" x14ac:dyDescent="0.25">
      <c r="N425" s="19"/>
    </row>
    <row r="426" spans="14:14" x14ac:dyDescent="0.25">
      <c r="N426" s="19"/>
    </row>
    <row r="427" spans="14:14" x14ac:dyDescent="0.25">
      <c r="N427" s="19"/>
    </row>
    <row r="428" spans="14:14" x14ac:dyDescent="0.25">
      <c r="N428" s="19"/>
    </row>
    <row r="429" spans="14:14" x14ac:dyDescent="0.25">
      <c r="N429" s="19"/>
    </row>
    <row r="430" spans="14:14" x14ac:dyDescent="0.25">
      <c r="N430" s="19"/>
    </row>
    <row r="431" spans="14:14" x14ac:dyDescent="0.25">
      <c r="N431" s="19"/>
    </row>
    <row r="432" spans="14:14" x14ac:dyDescent="0.25">
      <c r="N432" s="19"/>
    </row>
    <row r="433" spans="14:14" x14ac:dyDescent="0.25">
      <c r="N433" s="19"/>
    </row>
    <row r="434" spans="14:14" x14ac:dyDescent="0.25">
      <c r="N434" s="19"/>
    </row>
    <row r="435" spans="14:14" x14ac:dyDescent="0.25">
      <c r="N435" s="19"/>
    </row>
    <row r="436" spans="14:14" x14ac:dyDescent="0.25">
      <c r="N436" s="19"/>
    </row>
    <row r="437" spans="14:14" x14ac:dyDescent="0.25">
      <c r="N437" s="19"/>
    </row>
    <row r="438" spans="14:14" x14ac:dyDescent="0.25">
      <c r="N438" s="19"/>
    </row>
    <row r="439" spans="14:14" x14ac:dyDescent="0.25">
      <c r="N439" s="19"/>
    </row>
    <row r="440" spans="14:14" x14ac:dyDescent="0.25">
      <c r="N440" s="19"/>
    </row>
    <row r="441" spans="14:14" x14ac:dyDescent="0.25">
      <c r="N441" s="19"/>
    </row>
    <row r="442" spans="14:14" x14ac:dyDescent="0.25">
      <c r="N442" s="19"/>
    </row>
    <row r="443" spans="14:14" x14ac:dyDescent="0.25">
      <c r="N443" s="19"/>
    </row>
    <row r="444" spans="14:14" x14ac:dyDescent="0.25">
      <c r="N444" s="19"/>
    </row>
    <row r="445" spans="14:14" x14ac:dyDescent="0.25">
      <c r="N445" s="19"/>
    </row>
    <row r="446" spans="14:14" x14ac:dyDescent="0.25">
      <c r="N446" s="19"/>
    </row>
    <row r="447" spans="14:14" x14ac:dyDescent="0.25">
      <c r="N447" s="19"/>
    </row>
    <row r="448" spans="14:14" x14ac:dyDescent="0.25">
      <c r="N448" s="19"/>
    </row>
    <row r="449" spans="14:14" x14ac:dyDescent="0.25">
      <c r="N449" s="19"/>
    </row>
    <row r="450" spans="14:14" x14ac:dyDescent="0.25">
      <c r="N450" s="19"/>
    </row>
    <row r="451" spans="14:14" x14ac:dyDescent="0.25">
      <c r="N451" s="19"/>
    </row>
    <row r="452" spans="14:14" x14ac:dyDescent="0.25">
      <c r="N452" s="19"/>
    </row>
    <row r="453" spans="14:14" x14ac:dyDescent="0.25">
      <c r="N453" s="19"/>
    </row>
    <row r="454" spans="14:14" x14ac:dyDescent="0.25">
      <c r="N454" s="19"/>
    </row>
    <row r="455" spans="14:14" x14ac:dyDescent="0.25">
      <c r="N455" s="19"/>
    </row>
    <row r="456" spans="14:14" x14ac:dyDescent="0.25">
      <c r="N456" s="19"/>
    </row>
    <row r="457" spans="14:14" x14ac:dyDescent="0.25">
      <c r="N457" s="19"/>
    </row>
    <row r="458" spans="14:14" x14ac:dyDescent="0.25">
      <c r="N458" s="19"/>
    </row>
    <row r="459" spans="14:14" x14ac:dyDescent="0.25">
      <c r="N459" s="19"/>
    </row>
    <row r="460" spans="14:14" x14ac:dyDescent="0.25">
      <c r="N460" s="19"/>
    </row>
    <row r="461" spans="14:14" x14ac:dyDescent="0.25">
      <c r="N461" s="19"/>
    </row>
    <row r="462" spans="14:14" x14ac:dyDescent="0.25">
      <c r="N462" s="19"/>
    </row>
    <row r="463" spans="14:14" x14ac:dyDescent="0.25">
      <c r="N463" s="19"/>
    </row>
    <row r="464" spans="14:14" x14ac:dyDescent="0.25">
      <c r="N464" s="19"/>
    </row>
    <row r="465" spans="14:14" x14ac:dyDescent="0.25">
      <c r="N465" s="19"/>
    </row>
    <row r="466" spans="14:14" x14ac:dyDescent="0.25">
      <c r="N466" s="19"/>
    </row>
    <row r="467" spans="14:14" x14ac:dyDescent="0.25">
      <c r="N467" s="19"/>
    </row>
    <row r="468" spans="14:14" x14ac:dyDescent="0.25">
      <c r="N468" s="19"/>
    </row>
    <row r="469" spans="14:14" x14ac:dyDescent="0.25">
      <c r="N469" s="19"/>
    </row>
    <row r="470" spans="14:14" x14ac:dyDescent="0.25">
      <c r="N470" s="19"/>
    </row>
    <row r="471" spans="14:14" x14ac:dyDescent="0.25">
      <c r="N471" s="19"/>
    </row>
    <row r="472" spans="14:14" x14ac:dyDescent="0.25">
      <c r="N472" s="19"/>
    </row>
    <row r="473" spans="14:14" x14ac:dyDescent="0.25">
      <c r="N473" s="19"/>
    </row>
    <row r="474" spans="14:14" x14ac:dyDescent="0.25">
      <c r="N474" s="19"/>
    </row>
    <row r="475" spans="14:14" x14ac:dyDescent="0.25">
      <c r="N475" s="19"/>
    </row>
    <row r="476" spans="14:14" x14ac:dyDescent="0.25">
      <c r="N476" s="19"/>
    </row>
    <row r="477" spans="14:14" x14ac:dyDescent="0.25">
      <c r="N477" s="19"/>
    </row>
    <row r="478" spans="14:14" x14ac:dyDescent="0.25">
      <c r="N478" s="19"/>
    </row>
    <row r="479" spans="14:14" x14ac:dyDescent="0.25">
      <c r="N479" s="19"/>
    </row>
    <row r="480" spans="14:14" x14ac:dyDescent="0.25">
      <c r="N480" s="19"/>
    </row>
    <row r="481" spans="14:14" x14ac:dyDescent="0.25">
      <c r="N481" s="19"/>
    </row>
    <row r="482" spans="14:14" x14ac:dyDescent="0.25">
      <c r="N482" s="19"/>
    </row>
    <row r="483" spans="14:14" x14ac:dyDescent="0.25">
      <c r="N483" s="19"/>
    </row>
    <row r="484" spans="14:14" x14ac:dyDescent="0.25">
      <c r="N484" s="19"/>
    </row>
    <row r="485" spans="14:14" x14ac:dyDescent="0.25">
      <c r="N485" s="19"/>
    </row>
    <row r="486" spans="14:14" x14ac:dyDescent="0.25">
      <c r="N486" s="19"/>
    </row>
    <row r="487" spans="14:14" x14ac:dyDescent="0.25">
      <c r="N487" s="19"/>
    </row>
    <row r="488" spans="14:14" x14ac:dyDescent="0.25">
      <c r="N488" s="19"/>
    </row>
    <row r="489" spans="14:14" x14ac:dyDescent="0.25">
      <c r="N489" s="19"/>
    </row>
    <row r="490" spans="14:14" x14ac:dyDescent="0.25">
      <c r="N490" s="19"/>
    </row>
    <row r="491" spans="14:14" x14ac:dyDescent="0.25">
      <c r="N491" s="19"/>
    </row>
    <row r="492" spans="14:14" x14ac:dyDescent="0.25">
      <c r="N492" s="19"/>
    </row>
    <row r="493" spans="14:14" x14ac:dyDescent="0.25">
      <c r="N493" s="19"/>
    </row>
    <row r="494" spans="14:14" x14ac:dyDescent="0.25">
      <c r="N494" s="19"/>
    </row>
    <row r="495" spans="14:14" x14ac:dyDescent="0.25">
      <c r="N495" s="19"/>
    </row>
    <row r="496" spans="14:14" x14ac:dyDescent="0.25">
      <c r="N496" s="19"/>
    </row>
    <row r="497" spans="14:14" x14ac:dyDescent="0.25">
      <c r="N497" s="19"/>
    </row>
    <row r="498" spans="14:14" x14ac:dyDescent="0.25">
      <c r="N498" s="19"/>
    </row>
    <row r="499" spans="14:14" x14ac:dyDescent="0.25">
      <c r="N499" s="19"/>
    </row>
    <row r="500" spans="14:14" x14ac:dyDescent="0.25">
      <c r="N500" s="19"/>
    </row>
    <row r="501" spans="14:14" x14ac:dyDescent="0.25">
      <c r="N501" s="19"/>
    </row>
    <row r="502" spans="14:14" x14ac:dyDescent="0.25">
      <c r="N502" s="19"/>
    </row>
    <row r="503" spans="14:14" x14ac:dyDescent="0.25">
      <c r="N503" s="19"/>
    </row>
    <row r="504" spans="14:14" x14ac:dyDescent="0.25">
      <c r="N504" s="19"/>
    </row>
    <row r="505" spans="14:14" x14ac:dyDescent="0.25">
      <c r="N505" s="19"/>
    </row>
    <row r="506" spans="14:14" x14ac:dyDescent="0.25">
      <c r="N506" s="19"/>
    </row>
    <row r="507" spans="14:14" x14ac:dyDescent="0.25">
      <c r="N507" s="19"/>
    </row>
    <row r="508" spans="14:14" x14ac:dyDescent="0.25">
      <c r="N508" s="19"/>
    </row>
    <row r="509" spans="14:14" x14ac:dyDescent="0.25">
      <c r="N509" s="19"/>
    </row>
    <row r="510" spans="14:14" x14ac:dyDescent="0.25">
      <c r="N510" s="19"/>
    </row>
    <row r="511" spans="14:14" x14ac:dyDescent="0.25">
      <c r="N511" s="19"/>
    </row>
    <row r="512" spans="14:14" x14ac:dyDescent="0.25">
      <c r="N512" s="19"/>
    </row>
    <row r="513" spans="14:14" x14ac:dyDescent="0.25">
      <c r="N513" s="19"/>
    </row>
    <row r="514" spans="14:14" x14ac:dyDescent="0.25">
      <c r="N514" s="19"/>
    </row>
    <row r="515" spans="14:14" x14ac:dyDescent="0.25">
      <c r="N515" s="19"/>
    </row>
    <row r="516" spans="14:14" x14ac:dyDescent="0.25">
      <c r="N516" s="19"/>
    </row>
    <row r="517" spans="14:14" x14ac:dyDescent="0.25">
      <c r="N517" s="19"/>
    </row>
    <row r="518" spans="14:14" x14ac:dyDescent="0.25">
      <c r="N518" s="19"/>
    </row>
    <row r="519" spans="14:14" x14ac:dyDescent="0.25">
      <c r="N519" s="19"/>
    </row>
    <row r="520" spans="14:14" x14ac:dyDescent="0.25">
      <c r="N520" s="19"/>
    </row>
    <row r="521" spans="14:14" x14ac:dyDescent="0.25">
      <c r="N521" s="19"/>
    </row>
    <row r="522" spans="14:14" x14ac:dyDescent="0.25">
      <c r="N522" s="19"/>
    </row>
    <row r="523" spans="14:14" x14ac:dyDescent="0.25">
      <c r="N523" s="19"/>
    </row>
    <row r="524" spans="14:14" x14ac:dyDescent="0.25">
      <c r="N524" s="19"/>
    </row>
    <row r="525" spans="14:14" x14ac:dyDescent="0.25">
      <c r="N525" s="19"/>
    </row>
    <row r="526" spans="14:14" x14ac:dyDescent="0.25">
      <c r="N526" s="19"/>
    </row>
    <row r="527" spans="14:14" x14ac:dyDescent="0.25">
      <c r="N527" s="19"/>
    </row>
    <row r="528" spans="14:14" x14ac:dyDescent="0.25">
      <c r="N528" s="19"/>
    </row>
    <row r="529" spans="14:14" x14ac:dyDescent="0.25">
      <c r="N529" s="19"/>
    </row>
    <row r="530" spans="14:14" x14ac:dyDescent="0.25">
      <c r="N530" s="19"/>
    </row>
    <row r="531" spans="14:14" x14ac:dyDescent="0.25">
      <c r="N531" s="19"/>
    </row>
    <row r="532" spans="14:14" x14ac:dyDescent="0.25">
      <c r="N532" s="19"/>
    </row>
    <row r="533" spans="14:14" x14ac:dyDescent="0.25">
      <c r="N533" s="19"/>
    </row>
    <row r="534" spans="14:14" x14ac:dyDescent="0.25">
      <c r="N534" s="19"/>
    </row>
    <row r="535" spans="14:14" x14ac:dyDescent="0.25">
      <c r="N535" s="19"/>
    </row>
    <row r="536" spans="14:14" x14ac:dyDescent="0.25">
      <c r="N536" s="19"/>
    </row>
    <row r="537" spans="14:14" x14ac:dyDescent="0.25">
      <c r="N537" s="19"/>
    </row>
    <row r="538" spans="14:14" x14ac:dyDescent="0.25">
      <c r="N538" s="19"/>
    </row>
    <row r="539" spans="14:14" x14ac:dyDescent="0.25">
      <c r="N539" s="19"/>
    </row>
    <row r="540" spans="14:14" x14ac:dyDescent="0.25">
      <c r="N540" s="19"/>
    </row>
    <row r="541" spans="14:14" x14ac:dyDescent="0.25">
      <c r="N541" s="19"/>
    </row>
    <row r="542" spans="14:14" x14ac:dyDescent="0.25">
      <c r="N542" s="19"/>
    </row>
    <row r="543" spans="14:14" x14ac:dyDescent="0.25">
      <c r="N543" s="19"/>
    </row>
    <row r="544" spans="14:14" x14ac:dyDescent="0.25">
      <c r="N544" s="19"/>
    </row>
    <row r="545" spans="14:14" x14ac:dyDescent="0.25">
      <c r="N545" s="19"/>
    </row>
    <row r="546" spans="14:14" x14ac:dyDescent="0.25">
      <c r="N546" s="19"/>
    </row>
    <row r="547" spans="14:14" x14ac:dyDescent="0.25">
      <c r="N547" s="19"/>
    </row>
    <row r="548" spans="14:14" x14ac:dyDescent="0.25">
      <c r="N548" s="19"/>
    </row>
    <row r="549" spans="14:14" x14ac:dyDescent="0.25">
      <c r="N549" s="19"/>
    </row>
    <row r="550" spans="14:14" x14ac:dyDescent="0.25">
      <c r="N550" s="19"/>
    </row>
    <row r="551" spans="14:14" x14ac:dyDescent="0.25">
      <c r="N551" s="19"/>
    </row>
    <row r="552" spans="14:14" x14ac:dyDescent="0.25">
      <c r="N552" s="19"/>
    </row>
    <row r="553" spans="14:14" x14ac:dyDescent="0.25">
      <c r="N553" s="19"/>
    </row>
    <row r="554" spans="14:14" x14ac:dyDescent="0.25">
      <c r="N554" s="19"/>
    </row>
    <row r="555" spans="14:14" x14ac:dyDescent="0.25">
      <c r="N555" s="19"/>
    </row>
    <row r="556" spans="14:14" x14ac:dyDescent="0.25">
      <c r="N556" s="19"/>
    </row>
    <row r="557" spans="14:14" x14ac:dyDescent="0.25">
      <c r="N557" s="19"/>
    </row>
    <row r="558" spans="14:14" x14ac:dyDescent="0.25">
      <c r="N558" s="19"/>
    </row>
    <row r="559" spans="14:14" x14ac:dyDescent="0.25">
      <c r="N559" s="19"/>
    </row>
    <row r="560" spans="14:14" x14ac:dyDescent="0.25">
      <c r="N560" s="19"/>
    </row>
    <row r="561" spans="14:14" x14ac:dyDescent="0.25">
      <c r="N561" s="19"/>
    </row>
    <row r="562" spans="14:14" x14ac:dyDescent="0.25">
      <c r="N562" s="19"/>
    </row>
    <row r="563" spans="14:14" x14ac:dyDescent="0.25">
      <c r="N563" s="19"/>
    </row>
    <row r="564" spans="14:14" x14ac:dyDescent="0.25">
      <c r="N564" s="19"/>
    </row>
    <row r="565" spans="14:14" x14ac:dyDescent="0.25">
      <c r="N565" s="19"/>
    </row>
    <row r="566" spans="14:14" x14ac:dyDescent="0.25">
      <c r="N566" s="19"/>
    </row>
    <row r="567" spans="14:14" x14ac:dyDescent="0.25">
      <c r="N567" s="19"/>
    </row>
    <row r="568" spans="14:14" x14ac:dyDescent="0.25">
      <c r="N568" s="19"/>
    </row>
    <row r="569" spans="14:14" x14ac:dyDescent="0.25">
      <c r="N569" s="19"/>
    </row>
    <row r="570" spans="14:14" x14ac:dyDescent="0.25">
      <c r="N570" s="19"/>
    </row>
    <row r="571" spans="14:14" x14ac:dyDescent="0.25">
      <c r="N571" s="19"/>
    </row>
    <row r="572" spans="14:14" x14ac:dyDescent="0.25">
      <c r="N572" s="19"/>
    </row>
    <row r="573" spans="14:14" x14ac:dyDescent="0.25">
      <c r="N573" s="19"/>
    </row>
    <row r="574" spans="14:14" x14ac:dyDescent="0.25">
      <c r="N574" s="19"/>
    </row>
    <row r="575" spans="14:14" x14ac:dyDescent="0.25">
      <c r="N575" s="19"/>
    </row>
    <row r="576" spans="14:14" x14ac:dyDescent="0.25">
      <c r="N576" s="19"/>
    </row>
    <row r="577" spans="14:14" x14ac:dyDescent="0.25">
      <c r="N577" s="19"/>
    </row>
    <row r="578" spans="14:14" x14ac:dyDescent="0.25">
      <c r="N578" s="19"/>
    </row>
    <row r="579" spans="14:14" x14ac:dyDescent="0.25">
      <c r="N579" s="19"/>
    </row>
    <row r="580" spans="14:14" x14ac:dyDescent="0.25">
      <c r="N580" s="19"/>
    </row>
    <row r="581" spans="14:14" x14ac:dyDescent="0.25">
      <c r="N581" s="19"/>
    </row>
    <row r="582" spans="14:14" x14ac:dyDescent="0.25">
      <c r="N582" s="19"/>
    </row>
    <row r="583" spans="14:14" x14ac:dyDescent="0.25">
      <c r="N583" s="19"/>
    </row>
    <row r="584" spans="14:14" x14ac:dyDescent="0.25">
      <c r="N584" s="19"/>
    </row>
    <row r="585" spans="14:14" x14ac:dyDescent="0.25">
      <c r="N585" s="19"/>
    </row>
    <row r="586" spans="14:14" x14ac:dyDescent="0.25">
      <c r="N586" s="19"/>
    </row>
    <row r="587" spans="14:14" x14ac:dyDescent="0.25">
      <c r="N587" s="19"/>
    </row>
    <row r="588" spans="14:14" x14ac:dyDescent="0.25">
      <c r="N588" s="19"/>
    </row>
    <row r="589" spans="14:14" x14ac:dyDescent="0.25">
      <c r="N589" s="19"/>
    </row>
    <row r="590" spans="14:14" x14ac:dyDescent="0.25">
      <c r="N590" s="19"/>
    </row>
    <row r="591" spans="14:14" x14ac:dyDescent="0.25">
      <c r="N591" s="19"/>
    </row>
    <row r="592" spans="14:14" x14ac:dyDescent="0.25">
      <c r="N592" s="19"/>
    </row>
    <row r="593" spans="14:14" x14ac:dyDescent="0.25">
      <c r="N593" s="19"/>
    </row>
    <row r="594" spans="14:14" x14ac:dyDescent="0.25">
      <c r="N594" s="19"/>
    </row>
    <row r="595" spans="14:14" x14ac:dyDescent="0.25">
      <c r="N595" s="19"/>
    </row>
    <row r="596" spans="14:14" x14ac:dyDescent="0.25">
      <c r="N596" s="19"/>
    </row>
    <row r="597" spans="14:14" x14ac:dyDescent="0.25">
      <c r="N597" s="19"/>
    </row>
    <row r="598" spans="14:14" x14ac:dyDescent="0.25">
      <c r="N598" s="19"/>
    </row>
    <row r="599" spans="14:14" x14ac:dyDescent="0.25">
      <c r="N599" s="19"/>
    </row>
    <row r="600" spans="14:14" x14ac:dyDescent="0.25">
      <c r="N600" s="19"/>
    </row>
    <row r="601" spans="14:14" x14ac:dyDescent="0.25">
      <c r="N601" s="19"/>
    </row>
    <row r="602" spans="14:14" x14ac:dyDescent="0.25">
      <c r="N602" s="19"/>
    </row>
    <row r="603" spans="14:14" x14ac:dyDescent="0.25">
      <c r="N603" s="19"/>
    </row>
    <row r="604" spans="14:14" x14ac:dyDescent="0.25">
      <c r="N604" s="19"/>
    </row>
    <row r="605" spans="14:14" x14ac:dyDescent="0.25">
      <c r="N605" s="19"/>
    </row>
    <row r="606" spans="14:14" x14ac:dyDescent="0.25">
      <c r="N606" s="19"/>
    </row>
    <row r="607" spans="14:14" x14ac:dyDescent="0.25">
      <c r="N607" s="19"/>
    </row>
    <row r="608" spans="14:14" x14ac:dyDescent="0.25">
      <c r="N608" s="19"/>
    </row>
    <row r="609" spans="14:14" x14ac:dyDescent="0.25">
      <c r="N609" s="19"/>
    </row>
    <row r="610" spans="14:14" x14ac:dyDescent="0.25">
      <c r="N610" s="19"/>
    </row>
    <row r="611" spans="14:14" x14ac:dyDescent="0.25">
      <c r="N611" s="19"/>
    </row>
    <row r="612" spans="14:14" x14ac:dyDescent="0.25">
      <c r="N612" s="19"/>
    </row>
    <row r="613" spans="14:14" x14ac:dyDescent="0.25">
      <c r="N613" s="19"/>
    </row>
    <row r="614" spans="14:14" x14ac:dyDescent="0.25">
      <c r="N614" s="19"/>
    </row>
    <row r="615" spans="14:14" x14ac:dyDescent="0.25">
      <c r="N615" s="19"/>
    </row>
    <row r="616" spans="14:14" x14ac:dyDescent="0.25">
      <c r="N616" s="19"/>
    </row>
    <row r="617" spans="14:14" x14ac:dyDescent="0.25">
      <c r="N617" s="19"/>
    </row>
    <row r="618" spans="14:14" x14ac:dyDescent="0.25">
      <c r="N618" s="19"/>
    </row>
    <row r="619" spans="14:14" x14ac:dyDescent="0.25">
      <c r="N619" s="19"/>
    </row>
    <row r="620" spans="14:14" x14ac:dyDescent="0.25">
      <c r="N620" s="19"/>
    </row>
    <row r="621" spans="14:14" x14ac:dyDescent="0.25">
      <c r="N621" s="19"/>
    </row>
    <row r="622" spans="14:14" x14ac:dyDescent="0.25">
      <c r="N622" s="19"/>
    </row>
    <row r="623" spans="14:14" x14ac:dyDescent="0.25">
      <c r="N623" s="19"/>
    </row>
    <row r="624" spans="14:14" x14ac:dyDescent="0.25">
      <c r="N624" s="19"/>
    </row>
    <row r="625" spans="14:14" x14ac:dyDescent="0.25">
      <c r="N625" s="19"/>
    </row>
    <row r="626" spans="14:14" x14ac:dyDescent="0.25">
      <c r="N626" s="19"/>
    </row>
    <row r="627" spans="14:14" x14ac:dyDescent="0.25">
      <c r="N627" s="19"/>
    </row>
    <row r="628" spans="14:14" x14ac:dyDescent="0.25">
      <c r="N628" s="19"/>
    </row>
    <row r="629" spans="14:14" x14ac:dyDescent="0.25">
      <c r="N629" s="19"/>
    </row>
    <row r="630" spans="14:14" x14ac:dyDescent="0.25">
      <c r="N630" s="19"/>
    </row>
    <row r="631" spans="14:14" x14ac:dyDescent="0.25">
      <c r="N631" s="19"/>
    </row>
    <row r="632" spans="14:14" x14ac:dyDescent="0.25">
      <c r="N632" s="19"/>
    </row>
    <row r="633" spans="14:14" x14ac:dyDescent="0.25">
      <c r="N633" s="19"/>
    </row>
    <row r="634" spans="14:14" x14ac:dyDescent="0.25">
      <c r="N634" s="19"/>
    </row>
    <row r="635" spans="14:14" x14ac:dyDescent="0.25">
      <c r="N635" s="19"/>
    </row>
    <row r="636" spans="14:14" x14ac:dyDescent="0.25">
      <c r="N636" s="19"/>
    </row>
    <row r="637" spans="14:14" x14ac:dyDescent="0.25">
      <c r="N637" s="19"/>
    </row>
    <row r="638" spans="14:14" x14ac:dyDescent="0.25">
      <c r="N638" s="19"/>
    </row>
    <row r="639" spans="14:14" x14ac:dyDescent="0.25">
      <c r="N639" s="19"/>
    </row>
    <row r="640" spans="14:14" x14ac:dyDescent="0.25">
      <c r="N640" s="19"/>
    </row>
    <row r="641" spans="14:14" x14ac:dyDescent="0.25">
      <c r="N641" s="19"/>
    </row>
    <row r="642" spans="14:14" x14ac:dyDescent="0.25">
      <c r="N642" s="19"/>
    </row>
    <row r="643" spans="14:14" x14ac:dyDescent="0.25">
      <c r="N643" s="19"/>
    </row>
    <row r="644" spans="14:14" x14ac:dyDescent="0.25">
      <c r="N644" s="19"/>
    </row>
    <row r="645" spans="14:14" x14ac:dyDescent="0.25">
      <c r="N645" s="19"/>
    </row>
    <row r="646" spans="14:14" x14ac:dyDescent="0.25">
      <c r="N646" s="19"/>
    </row>
    <row r="647" spans="14:14" x14ac:dyDescent="0.25">
      <c r="N647" s="19"/>
    </row>
    <row r="648" spans="14:14" x14ac:dyDescent="0.25">
      <c r="N648" s="19"/>
    </row>
    <row r="649" spans="14:14" x14ac:dyDescent="0.25">
      <c r="N649" s="19"/>
    </row>
    <row r="650" spans="14:14" x14ac:dyDescent="0.25">
      <c r="N650" s="19"/>
    </row>
    <row r="651" spans="14:14" x14ac:dyDescent="0.25">
      <c r="N651" s="19"/>
    </row>
    <row r="652" spans="14:14" x14ac:dyDescent="0.25">
      <c r="N652" s="19"/>
    </row>
    <row r="653" spans="14:14" x14ac:dyDescent="0.25">
      <c r="N653" s="19"/>
    </row>
    <row r="654" spans="14:14" x14ac:dyDescent="0.25">
      <c r="N654" s="19"/>
    </row>
    <row r="655" spans="14:14" x14ac:dyDescent="0.25">
      <c r="N655" s="19"/>
    </row>
    <row r="656" spans="14:14" x14ac:dyDescent="0.25">
      <c r="N656" s="19"/>
    </row>
    <row r="657" spans="14:14" x14ac:dyDescent="0.25">
      <c r="N657" s="19"/>
    </row>
    <row r="658" spans="14:14" x14ac:dyDescent="0.25">
      <c r="N658" s="19"/>
    </row>
    <row r="659" spans="14:14" x14ac:dyDescent="0.25">
      <c r="N659" s="19"/>
    </row>
    <row r="660" spans="14:14" x14ac:dyDescent="0.25">
      <c r="N660" s="19"/>
    </row>
    <row r="661" spans="14:14" x14ac:dyDescent="0.25">
      <c r="N661" s="19"/>
    </row>
    <row r="662" spans="14:14" x14ac:dyDescent="0.25">
      <c r="N662" s="19"/>
    </row>
    <row r="663" spans="14:14" x14ac:dyDescent="0.25">
      <c r="N663" s="19"/>
    </row>
    <row r="664" spans="14:14" x14ac:dyDescent="0.25">
      <c r="N664" s="19"/>
    </row>
    <row r="665" spans="14:14" x14ac:dyDescent="0.25">
      <c r="N665" s="19"/>
    </row>
    <row r="666" spans="14:14" x14ac:dyDescent="0.25">
      <c r="N666" s="19"/>
    </row>
    <row r="667" spans="14:14" x14ac:dyDescent="0.25">
      <c r="N667" s="19"/>
    </row>
    <row r="668" spans="14:14" x14ac:dyDescent="0.25">
      <c r="N668" s="19"/>
    </row>
    <row r="669" spans="14:14" x14ac:dyDescent="0.25">
      <c r="N669" s="19"/>
    </row>
    <row r="670" spans="14:14" x14ac:dyDescent="0.25">
      <c r="N670" s="19"/>
    </row>
    <row r="671" spans="14:14" x14ac:dyDescent="0.25">
      <c r="N671" s="19"/>
    </row>
    <row r="672" spans="14:14" x14ac:dyDescent="0.25">
      <c r="N672" s="19"/>
    </row>
    <row r="673" spans="14:14" x14ac:dyDescent="0.25">
      <c r="N673" s="19"/>
    </row>
    <row r="674" spans="14:14" x14ac:dyDescent="0.25">
      <c r="N674" s="19"/>
    </row>
    <row r="675" spans="14:14" x14ac:dyDescent="0.25">
      <c r="N675" s="19"/>
    </row>
    <row r="676" spans="14:14" x14ac:dyDescent="0.25">
      <c r="N676" s="19"/>
    </row>
    <row r="677" spans="14:14" x14ac:dyDescent="0.25">
      <c r="N677" s="19"/>
    </row>
    <row r="678" spans="14:14" x14ac:dyDescent="0.25">
      <c r="N678" s="19"/>
    </row>
    <row r="679" spans="14:14" x14ac:dyDescent="0.25">
      <c r="N679" s="19"/>
    </row>
    <row r="680" spans="14:14" x14ac:dyDescent="0.25">
      <c r="N680" s="19"/>
    </row>
    <row r="681" spans="14:14" x14ac:dyDescent="0.25">
      <c r="N681" s="19"/>
    </row>
    <row r="682" spans="14:14" x14ac:dyDescent="0.25">
      <c r="N682" s="19"/>
    </row>
    <row r="683" spans="14:14" x14ac:dyDescent="0.25">
      <c r="N683" s="19"/>
    </row>
    <row r="684" spans="14:14" x14ac:dyDescent="0.25">
      <c r="N684" s="19"/>
    </row>
    <row r="685" spans="14:14" x14ac:dyDescent="0.25">
      <c r="N685" s="19"/>
    </row>
    <row r="686" spans="14:14" x14ac:dyDescent="0.25">
      <c r="N686" s="19"/>
    </row>
    <row r="687" spans="14:14" x14ac:dyDescent="0.25">
      <c r="N687" s="19"/>
    </row>
    <row r="688" spans="14:14" x14ac:dyDescent="0.25">
      <c r="N688" s="19"/>
    </row>
    <row r="689" spans="14:14" x14ac:dyDescent="0.25">
      <c r="N689" s="19"/>
    </row>
    <row r="690" spans="14:14" x14ac:dyDescent="0.25">
      <c r="N690" s="19"/>
    </row>
    <row r="691" spans="14:14" x14ac:dyDescent="0.25">
      <c r="N691" s="19"/>
    </row>
    <row r="692" spans="14:14" x14ac:dyDescent="0.25">
      <c r="N692" s="19"/>
    </row>
    <row r="693" spans="14:14" x14ac:dyDescent="0.25">
      <c r="N693" s="19"/>
    </row>
    <row r="694" spans="14:14" x14ac:dyDescent="0.25">
      <c r="N694" s="19"/>
    </row>
    <row r="695" spans="14:14" x14ac:dyDescent="0.25">
      <c r="N695" s="19"/>
    </row>
    <row r="696" spans="14:14" x14ac:dyDescent="0.25">
      <c r="N696" s="19"/>
    </row>
    <row r="697" spans="14:14" x14ac:dyDescent="0.25">
      <c r="N697" s="19"/>
    </row>
    <row r="698" spans="14:14" x14ac:dyDescent="0.25">
      <c r="N698" s="19"/>
    </row>
    <row r="699" spans="14:14" x14ac:dyDescent="0.25">
      <c r="N699" s="19"/>
    </row>
    <row r="700" spans="14:14" x14ac:dyDescent="0.25">
      <c r="N700" s="19"/>
    </row>
    <row r="701" spans="14:14" x14ac:dyDescent="0.25">
      <c r="N701" s="19"/>
    </row>
    <row r="702" spans="14:14" x14ac:dyDescent="0.25">
      <c r="N702" s="19"/>
    </row>
    <row r="703" spans="14:14" x14ac:dyDescent="0.25">
      <c r="N703" s="19"/>
    </row>
    <row r="704" spans="14:14" x14ac:dyDescent="0.25">
      <c r="N704" s="19"/>
    </row>
    <row r="705" spans="14:14" x14ac:dyDescent="0.25">
      <c r="N705" s="19"/>
    </row>
    <row r="706" spans="14:14" x14ac:dyDescent="0.25">
      <c r="N706" s="19"/>
    </row>
    <row r="707" spans="14:14" x14ac:dyDescent="0.25">
      <c r="N707" s="19"/>
    </row>
    <row r="708" spans="14:14" x14ac:dyDescent="0.25">
      <c r="N708" s="19"/>
    </row>
    <row r="709" spans="14:14" x14ac:dyDescent="0.25">
      <c r="N709" s="19"/>
    </row>
    <row r="710" spans="14:14" x14ac:dyDescent="0.25">
      <c r="N710" s="19"/>
    </row>
    <row r="711" spans="14:14" x14ac:dyDescent="0.25">
      <c r="N711" s="19"/>
    </row>
    <row r="712" spans="14:14" x14ac:dyDescent="0.25">
      <c r="N712" s="19"/>
    </row>
    <row r="713" spans="14:14" x14ac:dyDescent="0.25">
      <c r="N713" s="19"/>
    </row>
    <row r="714" spans="14:14" x14ac:dyDescent="0.25">
      <c r="N714" s="19"/>
    </row>
    <row r="715" spans="14:14" x14ac:dyDescent="0.25">
      <c r="N715" s="19"/>
    </row>
    <row r="716" spans="14:14" x14ac:dyDescent="0.25">
      <c r="N716" s="19"/>
    </row>
    <row r="717" spans="14:14" x14ac:dyDescent="0.25">
      <c r="N717" s="19"/>
    </row>
    <row r="718" spans="14:14" x14ac:dyDescent="0.25">
      <c r="N718" s="19"/>
    </row>
    <row r="719" spans="14:14" x14ac:dyDescent="0.25">
      <c r="N719" s="19"/>
    </row>
    <row r="720" spans="14:14" x14ac:dyDescent="0.25">
      <c r="N720" s="19"/>
    </row>
    <row r="721" spans="14:14" x14ac:dyDescent="0.25">
      <c r="N721" s="19"/>
    </row>
    <row r="722" spans="14:14" x14ac:dyDescent="0.25">
      <c r="N722" s="19"/>
    </row>
    <row r="723" spans="14:14" x14ac:dyDescent="0.25">
      <c r="N723" s="19"/>
    </row>
    <row r="724" spans="14:14" x14ac:dyDescent="0.25">
      <c r="N724" s="19"/>
    </row>
    <row r="725" spans="14:14" x14ac:dyDescent="0.25">
      <c r="N725" s="19"/>
    </row>
    <row r="726" spans="14:14" x14ac:dyDescent="0.25">
      <c r="N726" s="19"/>
    </row>
    <row r="727" spans="14:14" x14ac:dyDescent="0.25">
      <c r="N727" s="19"/>
    </row>
    <row r="728" spans="14:14" x14ac:dyDescent="0.25">
      <c r="N728" s="19"/>
    </row>
    <row r="729" spans="14:14" x14ac:dyDescent="0.25">
      <c r="N729" s="19"/>
    </row>
    <row r="730" spans="14:14" x14ac:dyDescent="0.25">
      <c r="N730" s="19"/>
    </row>
    <row r="731" spans="14:14" x14ac:dyDescent="0.25">
      <c r="N731" s="19"/>
    </row>
    <row r="732" spans="14:14" x14ac:dyDescent="0.25">
      <c r="N732" s="19"/>
    </row>
    <row r="733" spans="14:14" x14ac:dyDescent="0.25">
      <c r="N733" s="19"/>
    </row>
    <row r="734" spans="14:14" x14ac:dyDescent="0.25">
      <c r="N734" s="19"/>
    </row>
    <row r="735" spans="14:14" x14ac:dyDescent="0.25">
      <c r="N735" s="19"/>
    </row>
    <row r="736" spans="14:14" x14ac:dyDescent="0.25">
      <c r="N736" s="19"/>
    </row>
    <row r="737" spans="14:14" x14ac:dyDescent="0.25">
      <c r="N737" s="19"/>
    </row>
    <row r="738" spans="14:14" x14ac:dyDescent="0.25">
      <c r="N738" s="19"/>
    </row>
    <row r="739" spans="14:14" x14ac:dyDescent="0.25">
      <c r="N739" s="19"/>
    </row>
    <row r="740" spans="14:14" x14ac:dyDescent="0.25">
      <c r="N740" s="19"/>
    </row>
    <row r="741" spans="14:14" x14ac:dyDescent="0.25">
      <c r="N741" s="19"/>
    </row>
    <row r="742" spans="14:14" x14ac:dyDescent="0.25">
      <c r="N742" s="19"/>
    </row>
    <row r="743" spans="14:14" x14ac:dyDescent="0.25">
      <c r="N743" s="19"/>
    </row>
    <row r="744" spans="14:14" x14ac:dyDescent="0.25">
      <c r="N744" s="19"/>
    </row>
    <row r="745" spans="14:14" x14ac:dyDescent="0.25">
      <c r="N745" s="19"/>
    </row>
    <row r="746" spans="14:14" x14ac:dyDescent="0.25">
      <c r="N746" s="19"/>
    </row>
    <row r="747" spans="14:14" x14ac:dyDescent="0.25">
      <c r="N747" s="19"/>
    </row>
    <row r="748" spans="14:14" x14ac:dyDescent="0.25">
      <c r="N748" s="19"/>
    </row>
    <row r="749" spans="14:14" x14ac:dyDescent="0.25">
      <c r="N749" s="19"/>
    </row>
    <row r="750" spans="14:14" x14ac:dyDescent="0.25">
      <c r="N750" s="19"/>
    </row>
    <row r="751" spans="14:14" x14ac:dyDescent="0.25">
      <c r="N751" s="19"/>
    </row>
    <row r="752" spans="14:14" x14ac:dyDescent="0.25">
      <c r="N752" s="19"/>
    </row>
    <row r="753" spans="14:14" x14ac:dyDescent="0.25">
      <c r="N753" s="19"/>
    </row>
    <row r="754" spans="14:14" x14ac:dyDescent="0.25">
      <c r="N754" s="19"/>
    </row>
    <row r="755" spans="14:14" x14ac:dyDescent="0.25">
      <c r="N755" s="19"/>
    </row>
    <row r="756" spans="14:14" x14ac:dyDescent="0.25">
      <c r="N756" s="19"/>
    </row>
    <row r="757" spans="14:14" x14ac:dyDescent="0.25">
      <c r="N757" s="19"/>
    </row>
    <row r="758" spans="14:14" x14ac:dyDescent="0.25">
      <c r="N758" s="19"/>
    </row>
  </sheetData>
  <mergeCells count="1">
    <mergeCell ref="F1:H1"/>
  </mergeCells>
  <pageMargins left="0.75" right="0.75" top="1" bottom="1" header="0.5" footer="0.5"/>
  <pageSetup orientation="portrait" horizontalDpi="4294967292" verticalDpi="4294967292"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568"/>
  <sheetViews>
    <sheetView workbookViewId="0">
      <pane ySplit="4" topLeftCell="A5" activePane="bottomLeft" state="frozen"/>
      <selection pane="bottomLeft" activeCell="W14" sqref="W14"/>
    </sheetView>
  </sheetViews>
  <sheetFormatPr defaultColWidth="11" defaultRowHeight="15.75" x14ac:dyDescent="0.25"/>
  <cols>
    <col min="1" max="1" width="35.125" customWidth="1"/>
    <col min="2" max="9" width="14.125" bestFit="1" customWidth="1"/>
    <col min="10" max="10" width="14.375" bestFit="1" customWidth="1"/>
    <col min="11" max="11" width="13.875" style="278" customWidth="1"/>
    <col min="12" max="12" width="13.875" customWidth="1"/>
    <col min="13" max="13" width="14.375" hidden="1" customWidth="1"/>
    <col min="14" max="14" width="13.875" style="151" customWidth="1"/>
  </cols>
  <sheetData>
    <row r="1" spans="1:14" ht="18.75" x14ac:dyDescent="0.3">
      <c r="A1" s="36" t="s">
        <v>338</v>
      </c>
      <c r="B1" s="278"/>
      <c r="C1" s="278"/>
      <c r="D1" s="278"/>
      <c r="E1" s="278"/>
      <c r="F1" s="1020" t="s">
        <v>154</v>
      </c>
      <c r="G1" s="1023"/>
      <c r="H1" s="1023"/>
      <c r="I1" s="357"/>
      <c r="J1" s="368"/>
      <c r="K1" s="368"/>
      <c r="L1" s="368"/>
      <c r="M1" s="368"/>
    </row>
    <row r="2" spans="1:14" x14ac:dyDescent="0.25">
      <c r="A2" s="2"/>
      <c r="B2" s="50"/>
      <c r="C2" s="50"/>
      <c r="D2" s="50"/>
      <c r="E2" s="50"/>
      <c r="F2" s="50"/>
      <c r="G2" s="50"/>
      <c r="H2" s="50"/>
      <c r="I2" s="50"/>
      <c r="J2" s="50"/>
      <c r="K2" s="50"/>
      <c r="L2" s="50"/>
      <c r="M2" s="50"/>
    </row>
    <row r="3" spans="1:14" x14ac:dyDescent="0.25">
      <c r="A3" s="2"/>
      <c r="B3" s="435" t="s">
        <v>58</v>
      </c>
      <c r="C3" s="360" t="s">
        <v>58</v>
      </c>
      <c r="D3" s="360" t="s">
        <v>58</v>
      </c>
      <c r="E3" s="360" t="s">
        <v>58</v>
      </c>
      <c r="F3" s="360" t="s">
        <v>58</v>
      </c>
      <c r="G3" s="360" t="s">
        <v>58</v>
      </c>
      <c r="H3" s="360" t="s">
        <v>58</v>
      </c>
      <c r="I3" s="360" t="s">
        <v>58</v>
      </c>
      <c r="J3" s="436" t="s">
        <v>58</v>
      </c>
      <c r="K3" s="360" t="s">
        <v>58</v>
      </c>
      <c r="L3" s="441" t="s">
        <v>58</v>
      </c>
      <c r="M3" s="360" t="s">
        <v>58</v>
      </c>
    </row>
    <row r="4" spans="1:14" x14ac:dyDescent="0.25">
      <c r="A4" s="2"/>
      <c r="B4" s="437" t="s">
        <v>55</v>
      </c>
      <c r="C4" s="205" t="s">
        <v>55</v>
      </c>
      <c r="D4" s="205" t="s">
        <v>55</v>
      </c>
      <c r="E4" s="205" t="s">
        <v>55</v>
      </c>
      <c r="F4" s="205" t="s">
        <v>55</v>
      </c>
      <c r="G4" s="205" t="s">
        <v>55</v>
      </c>
      <c r="H4" s="205" t="s">
        <v>55</v>
      </c>
      <c r="I4" s="205" t="s">
        <v>55</v>
      </c>
      <c r="J4" s="438" t="s">
        <v>55</v>
      </c>
      <c r="K4" s="205" t="s">
        <v>151</v>
      </c>
      <c r="L4" s="442" t="s">
        <v>56</v>
      </c>
      <c r="M4" s="205" t="s">
        <v>253</v>
      </c>
    </row>
    <row r="5" spans="1:14" ht="19.5" thickBot="1" x14ac:dyDescent="0.35">
      <c r="A5" s="355"/>
      <c r="B5" s="439">
        <v>2009</v>
      </c>
      <c r="C5" s="367">
        <v>2010</v>
      </c>
      <c r="D5" s="367">
        <v>2011</v>
      </c>
      <c r="E5" s="367">
        <v>2012</v>
      </c>
      <c r="F5" s="367">
        <v>2013</v>
      </c>
      <c r="G5" s="367">
        <v>2014</v>
      </c>
      <c r="H5" s="367">
        <v>2015</v>
      </c>
      <c r="I5" s="367">
        <v>2016</v>
      </c>
      <c r="J5" s="440">
        <v>2017</v>
      </c>
      <c r="K5" s="367">
        <v>2018</v>
      </c>
      <c r="L5" s="456">
        <v>2019</v>
      </c>
      <c r="M5" s="367">
        <v>2018</v>
      </c>
    </row>
    <row r="6" spans="1:14" s="278" customFormat="1" ht="18.75" x14ac:dyDescent="0.3">
      <c r="A6" s="850" t="s">
        <v>333</v>
      </c>
      <c r="B6" s="378"/>
      <c r="C6" s="371"/>
      <c r="D6" s="371"/>
      <c r="E6" s="371"/>
      <c r="F6" s="371"/>
      <c r="G6" s="371"/>
      <c r="H6" s="371"/>
      <c r="I6" s="371"/>
      <c r="J6" s="379"/>
      <c r="K6" s="463"/>
      <c r="L6" s="464"/>
      <c r="M6" s="379"/>
      <c r="N6" s="126"/>
    </row>
    <row r="7" spans="1:14" x14ac:dyDescent="0.25">
      <c r="A7" s="851" t="s">
        <v>92</v>
      </c>
      <c r="B7" s="380">
        <v>0</v>
      </c>
      <c r="C7" s="315">
        <v>0</v>
      </c>
      <c r="D7" s="315">
        <v>0</v>
      </c>
      <c r="E7" s="315">
        <v>0</v>
      </c>
      <c r="F7" s="315">
        <v>247241</v>
      </c>
      <c r="G7" s="315">
        <v>327890</v>
      </c>
      <c r="H7" s="315">
        <f>368269+339</f>
        <v>368608</v>
      </c>
      <c r="I7" s="315">
        <v>416531</v>
      </c>
      <c r="J7" s="381">
        <v>557768</v>
      </c>
      <c r="K7" s="315">
        <v>699857</v>
      </c>
      <c r="L7" s="372">
        <v>0</v>
      </c>
      <c r="M7" s="381">
        <v>699857</v>
      </c>
      <c r="N7" s="121"/>
    </row>
    <row r="8" spans="1:14" x14ac:dyDescent="0.25">
      <c r="A8" s="852" t="s">
        <v>88</v>
      </c>
      <c r="B8" s="380">
        <v>0</v>
      </c>
      <c r="C8" s="315">
        <v>0</v>
      </c>
      <c r="D8" s="315">
        <v>0</v>
      </c>
      <c r="E8" s="315">
        <v>0</v>
      </c>
      <c r="F8" s="315">
        <v>0</v>
      </c>
      <c r="G8" s="315">
        <v>0</v>
      </c>
      <c r="H8" s="315">
        <v>0</v>
      </c>
      <c r="I8" s="315">
        <v>0</v>
      </c>
      <c r="J8" s="381">
        <v>0</v>
      </c>
      <c r="K8" s="315">
        <v>0</v>
      </c>
      <c r="L8" s="372">
        <v>0</v>
      </c>
      <c r="M8" s="381">
        <v>0</v>
      </c>
      <c r="N8" s="121"/>
    </row>
    <row r="9" spans="1:14" x14ac:dyDescent="0.25">
      <c r="A9" s="853" t="s">
        <v>93</v>
      </c>
      <c r="B9" s="380">
        <v>0</v>
      </c>
      <c r="C9" s="315">
        <v>0</v>
      </c>
      <c r="D9" s="315">
        <v>0</v>
      </c>
      <c r="E9" s="315">
        <v>0</v>
      </c>
      <c r="F9" s="315">
        <v>0</v>
      </c>
      <c r="G9" s="315">
        <v>0</v>
      </c>
      <c r="H9" s="315">
        <v>0</v>
      </c>
      <c r="I9" s="315">
        <v>0</v>
      </c>
      <c r="J9" s="381">
        <v>0</v>
      </c>
      <c r="K9" s="315">
        <v>0</v>
      </c>
      <c r="L9" s="372">
        <v>0</v>
      </c>
      <c r="M9" s="381">
        <v>0</v>
      </c>
      <c r="N9" s="121"/>
    </row>
    <row r="10" spans="1:14" x14ac:dyDescent="0.25">
      <c r="A10" s="854" t="s">
        <v>78</v>
      </c>
      <c r="B10" s="380">
        <v>0</v>
      </c>
      <c r="C10" s="315">
        <v>0</v>
      </c>
      <c r="D10" s="315">
        <v>0</v>
      </c>
      <c r="E10" s="315">
        <v>0</v>
      </c>
      <c r="F10" s="315">
        <v>0</v>
      </c>
      <c r="G10" s="315">
        <v>0</v>
      </c>
      <c r="H10" s="315">
        <v>0</v>
      </c>
      <c r="I10" s="315">
        <v>0</v>
      </c>
      <c r="J10" s="381">
        <v>0</v>
      </c>
      <c r="K10" s="315">
        <v>0</v>
      </c>
      <c r="L10" s="372">
        <v>0</v>
      </c>
      <c r="M10" s="381">
        <v>0</v>
      </c>
      <c r="N10" s="121"/>
    </row>
    <row r="11" spans="1:14" ht="16.5" thickBot="1" x14ac:dyDescent="0.3">
      <c r="A11" s="856"/>
      <c r="B11" s="382"/>
      <c r="C11" s="369"/>
      <c r="D11" s="369"/>
      <c r="E11" s="369"/>
      <c r="F11" s="369"/>
      <c r="G11" s="369"/>
      <c r="H11" s="369"/>
      <c r="I11" s="369"/>
      <c r="J11" s="383"/>
      <c r="K11" s="369"/>
      <c r="L11" s="373"/>
      <c r="M11" s="383">
        <v>0</v>
      </c>
      <c r="N11" s="121"/>
    </row>
    <row r="12" spans="1:14" ht="17.25" thickTop="1" thickBot="1" x14ac:dyDescent="0.3">
      <c r="A12" s="896" t="s">
        <v>100</v>
      </c>
      <c r="B12" s="475">
        <f>SUM(B7:B11)</f>
        <v>0</v>
      </c>
      <c r="C12" s="476">
        <f t="shared" ref="C12:L12" si="0">SUM(C7:C11)</f>
        <v>0</v>
      </c>
      <c r="D12" s="476">
        <f t="shared" si="0"/>
        <v>0</v>
      </c>
      <c r="E12" s="476">
        <f t="shared" si="0"/>
        <v>0</v>
      </c>
      <c r="F12" s="476">
        <f t="shared" si="0"/>
        <v>247241</v>
      </c>
      <c r="G12" s="476">
        <f t="shared" si="0"/>
        <v>327890</v>
      </c>
      <c r="H12" s="476">
        <f t="shared" si="0"/>
        <v>368608</v>
      </c>
      <c r="I12" s="476">
        <f t="shared" si="0"/>
        <v>416531</v>
      </c>
      <c r="J12" s="477">
        <f t="shared" si="0"/>
        <v>557768</v>
      </c>
      <c r="K12" s="476">
        <f>SUM(K7:K11)</f>
        <v>699857</v>
      </c>
      <c r="L12" s="478">
        <f t="shared" si="0"/>
        <v>0</v>
      </c>
      <c r="M12" s="433">
        <f>SUM(M7:M11)</f>
        <v>699857</v>
      </c>
      <c r="N12" s="126"/>
    </row>
    <row r="13" spans="1:14" ht="16.5" thickBot="1" x14ac:dyDescent="0.3">
      <c r="A13" s="875"/>
      <c r="B13" s="504"/>
      <c r="C13" s="317"/>
      <c r="D13" s="317"/>
      <c r="E13" s="317"/>
      <c r="F13" s="317"/>
      <c r="G13" s="317"/>
      <c r="H13" s="317"/>
      <c r="I13" s="317"/>
      <c r="J13" s="496"/>
      <c r="K13" s="317"/>
      <c r="L13" s="490"/>
      <c r="M13" s="317"/>
    </row>
    <row r="14" spans="1:14" ht="18.75" x14ac:dyDescent="0.3">
      <c r="A14" s="860" t="s">
        <v>332</v>
      </c>
      <c r="B14" s="521"/>
      <c r="C14" s="522"/>
      <c r="D14" s="522"/>
      <c r="E14" s="522"/>
      <c r="F14" s="522"/>
      <c r="G14" s="522"/>
      <c r="H14" s="522"/>
      <c r="I14" s="522"/>
      <c r="J14" s="523"/>
      <c r="K14" s="522"/>
      <c r="L14" s="524"/>
      <c r="M14" s="520">
        <v>2018</v>
      </c>
      <c r="N14" s="535"/>
    </row>
    <row r="15" spans="1:14" x14ac:dyDescent="0.25">
      <c r="A15" s="851" t="s">
        <v>92</v>
      </c>
      <c r="B15" s="380">
        <f t="shared" ref="B15:L15" si="1">B40</f>
        <v>645757</v>
      </c>
      <c r="C15" s="315">
        <f t="shared" si="1"/>
        <v>477688</v>
      </c>
      <c r="D15" s="315">
        <f t="shared" si="1"/>
        <v>442282</v>
      </c>
      <c r="E15" s="315">
        <f t="shared" si="1"/>
        <v>417665</v>
      </c>
      <c r="F15" s="315">
        <f t="shared" si="1"/>
        <v>468560</v>
      </c>
      <c r="G15" s="315">
        <f t="shared" si="1"/>
        <v>528795</v>
      </c>
      <c r="H15" s="315">
        <f t="shared" si="1"/>
        <v>579320</v>
      </c>
      <c r="I15" s="315">
        <f t="shared" si="1"/>
        <v>674449</v>
      </c>
      <c r="J15" s="381">
        <f t="shared" si="1"/>
        <v>994807</v>
      </c>
      <c r="K15" s="315">
        <f>K40</f>
        <v>1122189</v>
      </c>
      <c r="L15" s="372">
        <f t="shared" si="1"/>
        <v>924368</v>
      </c>
      <c r="M15" s="381">
        <f>M40</f>
        <v>1122189</v>
      </c>
      <c r="N15" s="126"/>
    </row>
    <row r="16" spans="1:14" x14ac:dyDescent="0.25">
      <c r="A16" s="852" t="s">
        <v>88</v>
      </c>
      <c r="B16" s="380">
        <v>0</v>
      </c>
      <c r="C16" s="315">
        <v>0</v>
      </c>
      <c r="D16" s="315">
        <v>0</v>
      </c>
      <c r="E16" s="315">
        <v>0</v>
      </c>
      <c r="F16" s="315">
        <v>0</v>
      </c>
      <c r="G16" s="315">
        <v>0</v>
      </c>
      <c r="H16" s="315">
        <v>0</v>
      </c>
      <c r="I16" s="315">
        <v>0</v>
      </c>
      <c r="J16" s="381">
        <v>0</v>
      </c>
      <c r="K16" s="315">
        <v>0</v>
      </c>
      <c r="L16" s="372">
        <v>0</v>
      </c>
      <c r="M16" s="381">
        <v>0</v>
      </c>
      <c r="N16" s="127"/>
    </row>
    <row r="17" spans="1:14" x14ac:dyDescent="0.25">
      <c r="A17" s="853" t="s">
        <v>93</v>
      </c>
      <c r="B17" s="380">
        <v>0</v>
      </c>
      <c r="C17" s="315">
        <v>0</v>
      </c>
      <c r="D17" s="315">
        <v>0</v>
      </c>
      <c r="E17" s="315">
        <v>0</v>
      </c>
      <c r="F17" s="315">
        <v>0</v>
      </c>
      <c r="G17" s="315">
        <v>0</v>
      </c>
      <c r="H17" s="315">
        <v>0</v>
      </c>
      <c r="I17" s="315">
        <v>0</v>
      </c>
      <c r="J17" s="381">
        <v>0</v>
      </c>
      <c r="K17" s="315">
        <v>0</v>
      </c>
      <c r="L17" s="372">
        <v>0</v>
      </c>
      <c r="M17" s="381">
        <v>0</v>
      </c>
      <c r="N17" s="124"/>
    </row>
    <row r="18" spans="1:14" x14ac:dyDescent="0.25">
      <c r="A18" s="854" t="s">
        <v>78</v>
      </c>
      <c r="B18" s="380">
        <v>0</v>
      </c>
      <c r="C18" s="315">
        <v>0</v>
      </c>
      <c r="D18" s="315">
        <v>0</v>
      </c>
      <c r="E18" s="315">
        <v>0</v>
      </c>
      <c r="F18" s="315">
        <v>0</v>
      </c>
      <c r="G18" s="315">
        <v>0</v>
      </c>
      <c r="H18" s="315">
        <v>0</v>
      </c>
      <c r="I18" s="315">
        <v>0</v>
      </c>
      <c r="J18" s="381">
        <v>0</v>
      </c>
      <c r="K18" s="315">
        <v>0</v>
      </c>
      <c r="L18" s="372">
        <v>0</v>
      </c>
      <c r="M18" s="381">
        <v>0</v>
      </c>
      <c r="N18" s="124"/>
    </row>
    <row r="19" spans="1:14" ht="16.5" thickBot="1" x14ac:dyDescent="0.3">
      <c r="A19" s="907"/>
      <c r="B19" s="382"/>
      <c r="C19" s="369"/>
      <c r="D19" s="369"/>
      <c r="E19" s="369"/>
      <c r="F19" s="369"/>
      <c r="G19" s="369"/>
      <c r="H19" s="369"/>
      <c r="I19" s="369"/>
      <c r="J19" s="383"/>
      <c r="K19" s="369"/>
      <c r="L19" s="373"/>
      <c r="M19" s="383">
        <v>0</v>
      </c>
      <c r="N19" s="488"/>
    </row>
    <row r="20" spans="1:14" ht="17.25" thickTop="1" thickBot="1" x14ac:dyDescent="0.3">
      <c r="A20" s="896" t="s">
        <v>102</v>
      </c>
      <c r="B20" s="475">
        <f t="shared" ref="B20:L20" si="2">SUM(B15:B19)</f>
        <v>645757</v>
      </c>
      <c r="C20" s="476">
        <f t="shared" si="2"/>
        <v>477688</v>
      </c>
      <c r="D20" s="476">
        <f t="shared" si="2"/>
        <v>442282</v>
      </c>
      <c r="E20" s="476">
        <f t="shared" si="2"/>
        <v>417665</v>
      </c>
      <c r="F20" s="476">
        <f t="shared" si="2"/>
        <v>468560</v>
      </c>
      <c r="G20" s="476">
        <f t="shared" si="2"/>
        <v>528795</v>
      </c>
      <c r="H20" s="476">
        <f t="shared" si="2"/>
        <v>579320</v>
      </c>
      <c r="I20" s="476">
        <f t="shared" si="2"/>
        <v>674449</v>
      </c>
      <c r="J20" s="477">
        <f t="shared" si="2"/>
        <v>994807</v>
      </c>
      <c r="K20" s="476">
        <f>SUM(K15:K19)</f>
        <v>1122189</v>
      </c>
      <c r="L20" s="478">
        <f t="shared" si="2"/>
        <v>924368</v>
      </c>
      <c r="M20" s="433">
        <f>SUM(M15:M19)</f>
        <v>1122189</v>
      </c>
      <c r="N20" s="488"/>
    </row>
    <row r="21" spans="1:14" x14ac:dyDescent="0.25">
      <c r="A21" s="1003"/>
      <c r="B21" s="549"/>
      <c r="C21" s="151"/>
      <c r="D21" s="151"/>
      <c r="E21" s="151"/>
      <c r="F21" s="151"/>
      <c r="G21" s="151"/>
      <c r="H21" s="151"/>
      <c r="I21" s="151"/>
      <c r="J21" s="528"/>
      <c r="K21" s="151"/>
      <c r="L21" s="536"/>
      <c r="M21" s="151"/>
    </row>
    <row r="22" spans="1:14" x14ac:dyDescent="0.25">
      <c r="A22" s="875"/>
      <c r="B22" s="392"/>
      <c r="J22" s="393"/>
      <c r="L22" s="163"/>
    </row>
    <row r="23" spans="1:14" ht="18.75" x14ac:dyDescent="0.3">
      <c r="A23" s="876"/>
      <c r="B23" s="525">
        <v>2009</v>
      </c>
      <c r="C23" s="46">
        <v>2010</v>
      </c>
      <c r="D23" s="46">
        <v>2011</v>
      </c>
      <c r="E23" s="46">
        <v>2012</v>
      </c>
      <c r="F23" s="46">
        <v>2013</v>
      </c>
      <c r="G23" s="46">
        <v>2014</v>
      </c>
      <c r="H23" s="46">
        <v>2015</v>
      </c>
      <c r="I23" s="46">
        <v>2016</v>
      </c>
      <c r="J23" s="526">
        <v>2017</v>
      </c>
      <c r="K23" s="46">
        <v>2018</v>
      </c>
      <c r="L23" s="443">
        <v>2019</v>
      </c>
      <c r="M23" s="146">
        <v>2018</v>
      </c>
    </row>
    <row r="24" spans="1:14" x14ac:dyDescent="0.25">
      <c r="A24" s="851" t="s">
        <v>152</v>
      </c>
      <c r="B24" s="511">
        <f t="shared" ref="B24:L24" si="3">B36/B53</f>
        <v>10.223821284949812</v>
      </c>
      <c r="C24" s="512">
        <f t="shared" si="3"/>
        <v>7.0515780461161466</v>
      </c>
      <c r="D24" s="512">
        <f t="shared" si="3"/>
        <v>6.4321635810997515</v>
      </c>
      <c r="E24" s="512">
        <f t="shared" si="3"/>
        <v>6.0233483797464702</v>
      </c>
      <c r="F24" s="512">
        <f t="shared" si="3"/>
        <v>6.6585192553645021</v>
      </c>
      <c r="G24" s="512">
        <f t="shared" si="3"/>
        <v>7.444985709659707</v>
      </c>
      <c r="H24" s="512">
        <f t="shared" si="3"/>
        <v>7.8904930536638522</v>
      </c>
      <c r="I24" s="512">
        <f t="shared" si="3"/>
        <v>9.0670027559319752</v>
      </c>
      <c r="J24" s="513">
        <f t="shared" si="3"/>
        <v>13.117180907172996</v>
      </c>
      <c r="K24" s="512">
        <f t="shared" ref="K24" si="4">K36/K53</f>
        <v>14.524462219461055</v>
      </c>
      <c r="L24" s="514">
        <f t="shared" si="3"/>
        <v>11.703823752848823</v>
      </c>
      <c r="M24" s="8">
        <f>M36/M53</f>
        <v>14.524462219461055</v>
      </c>
    </row>
    <row r="25" spans="1:14" x14ac:dyDescent="0.25">
      <c r="A25" s="878"/>
      <c r="B25" s="384"/>
      <c r="C25" s="1"/>
      <c r="D25" s="1"/>
      <c r="E25" s="1"/>
      <c r="F25" s="1"/>
      <c r="G25" s="1"/>
      <c r="H25" s="1"/>
      <c r="I25" s="1"/>
      <c r="J25" s="385"/>
      <c r="K25" s="1"/>
      <c r="L25" s="446"/>
      <c r="M25" s="1"/>
    </row>
    <row r="26" spans="1:14" x14ac:dyDescent="0.25">
      <c r="A26" s="878"/>
      <c r="B26" s="525">
        <v>2009</v>
      </c>
      <c r="C26" s="46">
        <v>2010</v>
      </c>
      <c r="D26" s="46">
        <v>2011</v>
      </c>
      <c r="E26" s="46">
        <v>2012</v>
      </c>
      <c r="F26" s="46">
        <v>2013</v>
      </c>
      <c r="G26" s="46">
        <v>2014</v>
      </c>
      <c r="H26" s="46">
        <v>2015</v>
      </c>
      <c r="I26" s="46">
        <v>2016</v>
      </c>
      <c r="J26" s="526">
        <v>2017</v>
      </c>
      <c r="K26" s="46">
        <v>2019</v>
      </c>
      <c r="L26" s="443">
        <v>2019</v>
      </c>
      <c r="M26" s="146">
        <v>2018</v>
      </c>
    </row>
    <row r="27" spans="1:14" x14ac:dyDescent="0.25">
      <c r="A27" s="851" t="s">
        <v>130</v>
      </c>
      <c r="B27" s="550">
        <f t="shared" ref="B27:M27" si="5">+B20/B59</f>
        <v>198694.46153846153</v>
      </c>
      <c r="C27" s="546">
        <f t="shared" si="5"/>
        <v>173704.72727272726</v>
      </c>
      <c r="D27" s="546">
        <f t="shared" si="5"/>
        <v>160829.81818181818</v>
      </c>
      <c r="E27" s="546">
        <f t="shared" si="5"/>
        <v>167066</v>
      </c>
      <c r="F27" s="546">
        <f t="shared" si="5"/>
        <v>187424</v>
      </c>
      <c r="G27" s="546">
        <f t="shared" si="5"/>
        <v>211518</v>
      </c>
      <c r="H27" s="546">
        <f t="shared" si="5"/>
        <v>231728</v>
      </c>
      <c r="I27" s="546">
        <f t="shared" si="5"/>
        <v>168612.25</v>
      </c>
      <c r="J27" s="547">
        <f t="shared" si="5"/>
        <v>248701.75</v>
      </c>
      <c r="K27" s="546">
        <f t="shared" si="5"/>
        <v>224437.8</v>
      </c>
      <c r="L27" s="548">
        <f t="shared" si="5"/>
        <v>184873.60000000001</v>
      </c>
      <c r="M27" s="16">
        <f t="shared" si="5"/>
        <v>224437.8</v>
      </c>
    </row>
    <row r="28" spans="1:14" x14ac:dyDescent="0.25">
      <c r="A28" s="875"/>
      <c r="B28" s="392"/>
      <c r="J28" s="393"/>
      <c r="L28" s="163"/>
    </row>
    <row r="29" spans="1:14" x14ac:dyDescent="0.25">
      <c r="A29" s="877"/>
      <c r="B29" s="408"/>
      <c r="C29" s="124"/>
      <c r="D29" s="124"/>
      <c r="E29" s="124"/>
      <c r="F29" s="124"/>
      <c r="G29" s="124"/>
      <c r="H29" s="124"/>
      <c r="I29" s="124"/>
      <c r="J29" s="410"/>
      <c r="K29" s="124"/>
      <c r="L29" s="449"/>
      <c r="M29" s="124"/>
    </row>
    <row r="30" spans="1:14" x14ac:dyDescent="0.25">
      <c r="A30" s="877"/>
      <c r="B30" s="408"/>
      <c r="C30" s="124"/>
      <c r="D30" s="124"/>
      <c r="E30" s="124"/>
      <c r="F30" s="124"/>
      <c r="G30" s="124"/>
      <c r="H30" s="124"/>
      <c r="I30" s="124"/>
      <c r="J30" s="410"/>
      <c r="K30" s="124"/>
      <c r="L30" s="449"/>
      <c r="M30" s="124"/>
    </row>
    <row r="31" spans="1:14" x14ac:dyDescent="0.25">
      <c r="A31" s="875"/>
      <c r="B31" s="392"/>
      <c r="J31" s="393"/>
      <c r="L31" s="163"/>
    </row>
    <row r="32" spans="1:14" x14ac:dyDescent="0.25">
      <c r="A32" s="851" t="s">
        <v>92</v>
      </c>
      <c r="B32" s="384"/>
      <c r="C32" s="1"/>
      <c r="D32" s="1"/>
      <c r="E32" s="1"/>
      <c r="F32" s="1"/>
      <c r="G32" s="1"/>
      <c r="H32" s="1"/>
      <c r="I32" s="1"/>
      <c r="J32" s="385"/>
      <c r="K32" s="1"/>
      <c r="L32" s="446"/>
      <c r="M32" s="1"/>
    </row>
    <row r="33" spans="1:15" x14ac:dyDescent="0.25">
      <c r="A33" s="879" t="s">
        <v>51</v>
      </c>
      <c r="B33" s="384">
        <v>645757</v>
      </c>
      <c r="C33" s="1">
        <v>477688</v>
      </c>
      <c r="D33" s="1">
        <v>442282</v>
      </c>
      <c r="E33" s="1">
        <v>417665</v>
      </c>
      <c r="F33" s="1">
        <v>468560</v>
      </c>
      <c r="G33" s="1">
        <v>528795</v>
      </c>
      <c r="H33" s="1">
        <v>579320</v>
      </c>
      <c r="I33" s="1">
        <v>674449</v>
      </c>
      <c r="J33" s="950">
        <v>994807</v>
      </c>
      <c r="K33" s="951">
        <v>1122189</v>
      </c>
      <c r="L33" s="952">
        <v>924368</v>
      </c>
      <c r="M33" s="51">
        <v>1122189</v>
      </c>
    </row>
    <row r="34" spans="1:15" x14ac:dyDescent="0.25">
      <c r="A34" s="879" t="s">
        <v>52</v>
      </c>
      <c r="B34" s="384"/>
      <c r="C34" s="1"/>
      <c r="D34" s="1"/>
      <c r="E34" s="1"/>
      <c r="F34" s="1"/>
      <c r="G34" s="1"/>
      <c r="H34" s="1"/>
      <c r="I34" s="51"/>
      <c r="J34" s="385"/>
      <c r="K34" s="1"/>
      <c r="L34" s="446"/>
      <c r="M34" s="1"/>
    </row>
    <row r="35" spans="1:15" x14ac:dyDescent="0.25">
      <c r="A35" s="1004" t="s">
        <v>108</v>
      </c>
      <c r="B35" s="392"/>
      <c r="D35" s="20">
        <v>0</v>
      </c>
      <c r="J35" s="393"/>
      <c r="L35" s="163"/>
    </row>
    <row r="36" spans="1:15" x14ac:dyDescent="0.25">
      <c r="A36" s="978" t="s">
        <v>105</v>
      </c>
      <c r="B36" s="384">
        <f t="shared" ref="B36:L36" si="6">SUM(B33:B35)</f>
        <v>645757</v>
      </c>
      <c r="C36" s="1">
        <f t="shared" si="6"/>
        <v>477688</v>
      </c>
      <c r="D36" s="1">
        <f t="shared" si="6"/>
        <v>442282</v>
      </c>
      <c r="E36" s="1">
        <f t="shared" si="6"/>
        <v>417665</v>
      </c>
      <c r="F36" s="1">
        <f t="shared" si="6"/>
        <v>468560</v>
      </c>
      <c r="G36" s="1">
        <f t="shared" si="6"/>
        <v>528795</v>
      </c>
      <c r="H36" s="1">
        <f t="shared" si="6"/>
        <v>579320</v>
      </c>
      <c r="I36" s="1">
        <f t="shared" si="6"/>
        <v>674449</v>
      </c>
      <c r="J36" s="385">
        <f t="shared" si="6"/>
        <v>994807</v>
      </c>
      <c r="K36" s="1">
        <f>SUM(K33:K35)</f>
        <v>1122189</v>
      </c>
      <c r="L36" s="446">
        <f t="shared" si="6"/>
        <v>924368</v>
      </c>
      <c r="M36" s="1">
        <f>SUM(M33:M35)</f>
        <v>1122189</v>
      </c>
    </row>
    <row r="37" spans="1:15" x14ac:dyDescent="0.25">
      <c r="A37" s="1004" t="s">
        <v>107</v>
      </c>
      <c r="B37" s="384"/>
      <c r="C37" s="1"/>
      <c r="D37" s="20">
        <v>0</v>
      </c>
      <c r="E37" s="20">
        <v>0</v>
      </c>
      <c r="F37" s="1"/>
      <c r="G37" s="26"/>
      <c r="H37" s="1"/>
      <c r="I37" s="1"/>
      <c r="J37" s="385"/>
      <c r="K37" s="1"/>
      <c r="L37" s="446"/>
      <c r="M37" s="1"/>
    </row>
    <row r="38" spans="1:15" x14ac:dyDescent="0.25">
      <c r="A38" s="879" t="s">
        <v>52</v>
      </c>
      <c r="B38" s="384">
        <v>138645</v>
      </c>
      <c r="C38" s="1"/>
      <c r="D38" s="1"/>
      <c r="E38" s="1"/>
      <c r="F38" s="1"/>
      <c r="G38" s="1"/>
      <c r="H38" s="1"/>
      <c r="I38" s="1"/>
      <c r="J38" s="385"/>
      <c r="K38" s="1"/>
      <c r="L38" s="446"/>
      <c r="M38" s="1"/>
    </row>
    <row r="39" spans="1:15" ht="16.5" thickBot="1" x14ac:dyDescent="0.3">
      <c r="A39" s="1005" t="s">
        <v>53</v>
      </c>
      <c r="B39" s="551"/>
      <c r="C39" s="91"/>
      <c r="D39" s="91"/>
      <c r="E39" s="91"/>
      <c r="F39" s="91"/>
      <c r="G39" s="91"/>
      <c r="H39" s="91"/>
      <c r="I39" s="91"/>
      <c r="J39" s="530"/>
      <c r="K39" s="91"/>
      <c r="L39" s="538"/>
      <c r="M39" s="91"/>
    </row>
    <row r="40" spans="1:15" x14ac:dyDescent="0.25">
      <c r="A40" s="978" t="s">
        <v>106</v>
      </c>
      <c r="B40" s="384">
        <f t="shared" ref="B40:L40" si="7">SUM(B36:B37)</f>
        <v>645757</v>
      </c>
      <c r="C40" s="1">
        <f t="shared" si="7"/>
        <v>477688</v>
      </c>
      <c r="D40" s="1">
        <f t="shared" si="7"/>
        <v>442282</v>
      </c>
      <c r="E40" s="1">
        <f t="shared" si="7"/>
        <v>417665</v>
      </c>
      <c r="F40" s="1">
        <f t="shared" si="7"/>
        <v>468560</v>
      </c>
      <c r="G40" s="5">
        <f t="shared" si="7"/>
        <v>528795</v>
      </c>
      <c r="H40" s="1">
        <f t="shared" si="7"/>
        <v>579320</v>
      </c>
      <c r="I40" s="1">
        <f t="shared" si="7"/>
        <v>674449</v>
      </c>
      <c r="J40" s="385">
        <f t="shared" si="7"/>
        <v>994807</v>
      </c>
      <c r="K40" s="5">
        <f>SUM(K36:K37)</f>
        <v>1122189</v>
      </c>
      <c r="L40" s="539">
        <f t="shared" si="7"/>
        <v>924368</v>
      </c>
      <c r="M40" s="1">
        <f>SUM(M36:M37)</f>
        <v>1122189</v>
      </c>
    </row>
    <row r="41" spans="1:15" x14ac:dyDescent="0.25">
      <c r="A41" s="978" t="s">
        <v>67</v>
      </c>
      <c r="B41" s="384"/>
      <c r="C41" s="7">
        <f t="shared" ref="C41:J41" si="8">(C36/B36)-1</f>
        <v>-0.26026663280459983</v>
      </c>
      <c r="D41" s="7">
        <f t="shared" si="8"/>
        <v>-7.4119508968196857E-2</v>
      </c>
      <c r="E41" s="7">
        <f t="shared" si="8"/>
        <v>-5.5659059152305512E-2</v>
      </c>
      <c r="F41" s="7">
        <f t="shared" si="8"/>
        <v>0.12185603294506353</v>
      </c>
      <c r="G41" s="7">
        <f t="shared" si="8"/>
        <v>0.1285534403278128</v>
      </c>
      <c r="H41" s="7">
        <f t="shared" si="8"/>
        <v>9.5547423859907887E-2</v>
      </c>
      <c r="I41" s="7">
        <f t="shared" si="8"/>
        <v>0.16420803700890696</v>
      </c>
      <c r="J41" s="531">
        <f t="shared" si="8"/>
        <v>0.47499217880076916</v>
      </c>
      <c r="K41" s="7">
        <f>(K36/L36)-1</f>
        <v>0.21400675921278101</v>
      </c>
      <c r="L41" s="540">
        <f>(L36/M36)-1</f>
        <v>-0.17628135724017968</v>
      </c>
      <c r="M41" s="7">
        <f>(M36/J36)-1</f>
        <v>0.12804694779992509</v>
      </c>
    </row>
    <row r="42" spans="1:15" x14ac:dyDescent="0.25">
      <c r="A42" s="995" t="s">
        <v>69</v>
      </c>
      <c r="B42" s="384"/>
      <c r="C42" s="1"/>
      <c r="D42" s="1"/>
      <c r="E42" s="1"/>
      <c r="F42" s="1"/>
      <c r="G42" s="1"/>
      <c r="H42" s="1"/>
      <c r="I42" s="1"/>
      <c r="J42" s="385"/>
      <c r="K42" s="23"/>
      <c r="L42" s="541"/>
      <c r="M42" s="1"/>
      <c r="N42" s="152"/>
      <c r="O42" s="1"/>
    </row>
    <row r="43" spans="1:15" x14ac:dyDescent="0.25">
      <c r="A43" s="875"/>
      <c r="B43" s="392"/>
      <c r="J43" s="393"/>
      <c r="L43" s="163"/>
      <c r="N43" s="152"/>
      <c r="O43" s="1"/>
    </row>
    <row r="44" spans="1:15" x14ac:dyDescent="0.25">
      <c r="A44" s="875"/>
      <c r="B44" s="392"/>
      <c r="J44" s="393"/>
      <c r="L44" s="163"/>
      <c r="N44" s="152"/>
      <c r="O44" s="1"/>
    </row>
    <row r="45" spans="1:15" x14ac:dyDescent="0.25">
      <c r="A45" s="992" t="s">
        <v>111</v>
      </c>
      <c r="B45" s="552">
        <f t="shared" ref="B45:M45" si="9">B12-B20</f>
        <v>-645757</v>
      </c>
      <c r="C45" s="95">
        <f t="shared" si="9"/>
        <v>-477688</v>
      </c>
      <c r="D45" s="95">
        <f t="shared" si="9"/>
        <v>-442282</v>
      </c>
      <c r="E45" s="95">
        <f t="shared" si="9"/>
        <v>-417665</v>
      </c>
      <c r="F45" s="95">
        <f t="shared" si="9"/>
        <v>-221319</v>
      </c>
      <c r="G45" s="95">
        <f t="shared" si="9"/>
        <v>-200905</v>
      </c>
      <c r="H45" s="95">
        <f t="shared" si="9"/>
        <v>-210712</v>
      </c>
      <c r="I45" s="95">
        <f t="shared" si="9"/>
        <v>-257918</v>
      </c>
      <c r="J45" s="532">
        <f t="shared" si="9"/>
        <v>-437039</v>
      </c>
      <c r="K45" s="96">
        <f t="shared" si="9"/>
        <v>-422332</v>
      </c>
      <c r="L45" s="542">
        <f t="shared" si="9"/>
        <v>-924368</v>
      </c>
      <c r="M45" s="95">
        <f t="shared" si="9"/>
        <v>-422332</v>
      </c>
      <c r="N45" s="152"/>
      <c r="O45" s="1"/>
    </row>
    <row r="46" spans="1:15" s="19" customFormat="1" x14ac:dyDescent="0.25">
      <c r="A46" s="875"/>
      <c r="B46" s="392"/>
      <c r="C46"/>
      <c r="D46"/>
      <c r="E46"/>
      <c r="F46"/>
      <c r="G46"/>
      <c r="H46"/>
      <c r="I46"/>
      <c r="J46" s="393"/>
      <c r="K46" s="278"/>
      <c r="L46" s="163"/>
      <c r="M46"/>
      <c r="N46" s="151"/>
    </row>
    <row r="47" spans="1:15" x14ac:dyDescent="0.25">
      <c r="A47" s="874" t="s">
        <v>99</v>
      </c>
      <c r="B47" s="516">
        <v>0</v>
      </c>
      <c r="C47" s="79">
        <v>0</v>
      </c>
      <c r="D47" s="79">
        <v>0</v>
      </c>
      <c r="E47" s="79">
        <v>0</v>
      </c>
      <c r="F47" s="79">
        <v>0</v>
      </c>
      <c r="G47" s="79">
        <v>0</v>
      </c>
      <c r="H47" s="79">
        <v>0</v>
      </c>
      <c r="I47" s="79">
        <v>0</v>
      </c>
      <c r="J47" s="517">
        <v>0</v>
      </c>
      <c r="K47" s="79"/>
      <c r="L47" s="518">
        <v>0</v>
      </c>
      <c r="M47" s="79">
        <v>0</v>
      </c>
    </row>
    <row r="48" spans="1:15" x14ac:dyDescent="0.25">
      <c r="A48" s="874"/>
      <c r="B48" s="480">
        <v>2009</v>
      </c>
      <c r="C48" s="146">
        <v>2010</v>
      </c>
      <c r="D48" s="146">
        <v>2011</v>
      </c>
      <c r="E48" s="146">
        <v>2012</v>
      </c>
      <c r="F48" s="146">
        <v>2013</v>
      </c>
      <c r="G48" s="146">
        <v>2014</v>
      </c>
      <c r="H48" s="146">
        <v>2015</v>
      </c>
      <c r="I48" s="146">
        <v>2016</v>
      </c>
      <c r="J48" s="482">
        <v>2017</v>
      </c>
      <c r="K48" s="146">
        <v>2018</v>
      </c>
      <c r="L48" s="485">
        <v>2019</v>
      </c>
      <c r="M48" s="146">
        <v>2018</v>
      </c>
    </row>
    <row r="49" spans="1:15" x14ac:dyDescent="0.25">
      <c r="A49" s="874" t="s">
        <v>131</v>
      </c>
      <c r="B49" s="416"/>
      <c r="C49" s="26"/>
      <c r="D49" s="26">
        <v>0</v>
      </c>
      <c r="E49" s="26">
        <v>0</v>
      </c>
      <c r="F49" s="26">
        <v>0</v>
      </c>
      <c r="G49" s="26">
        <v>0</v>
      </c>
      <c r="H49" s="26">
        <v>0</v>
      </c>
      <c r="I49" s="26">
        <v>0</v>
      </c>
      <c r="J49" s="417">
        <v>0</v>
      </c>
      <c r="K49" s="26">
        <v>0</v>
      </c>
      <c r="L49" s="109">
        <v>0</v>
      </c>
      <c r="M49" s="26">
        <v>0</v>
      </c>
    </row>
    <row r="50" spans="1:15" x14ac:dyDescent="0.25">
      <c r="A50" s="874" t="s">
        <v>132</v>
      </c>
      <c r="B50" s="416">
        <f t="shared" ref="B50:M50" si="10">B20-B49</f>
        <v>645757</v>
      </c>
      <c r="C50" s="26">
        <f t="shared" si="10"/>
        <v>477688</v>
      </c>
      <c r="D50" s="26">
        <f t="shared" si="10"/>
        <v>442282</v>
      </c>
      <c r="E50" s="26">
        <f t="shared" si="10"/>
        <v>417665</v>
      </c>
      <c r="F50" s="26">
        <f t="shared" si="10"/>
        <v>468560</v>
      </c>
      <c r="G50" s="26">
        <f t="shared" si="10"/>
        <v>528795</v>
      </c>
      <c r="H50" s="26">
        <f t="shared" si="10"/>
        <v>579320</v>
      </c>
      <c r="I50" s="26">
        <f t="shared" si="10"/>
        <v>674449</v>
      </c>
      <c r="J50" s="417">
        <f t="shared" si="10"/>
        <v>994807</v>
      </c>
      <c r="K50" s="26">
        <f t="shared" si="10"/>
        <v>1122189</v>
      </c>
      <c r="L50" s="109">
        <f t="shared" si="10"/>
        <v>924368</v>
      </c>
      <c r="M50" s="26">
        <f t="shared" si="10"/>
        <v>1122189</v>
      </c>
    </row>
    <row r="51" spans="1:15" s="9" customFormat="1" x14ac:dyDescent="0.25">
      <c r="A51" s="875"/>
      <c r="B51" s="384"/>
      <c r="C51" s="1"/>
      <c r="D51" s="1"/>
      <c r="E51" s="1"/>
      <c r="F51" s="1"/>
      <c r="G51" s="1"/>
      <c r="H51" s="1"/>
      <c r="I51" s="1"/>
      <c r="J51" s="385"/>
      <c r="K51" s="1"/>
      <c r="L51" s="446"/>
      <c r="M51" s="1"/>
      <c r="N51" s="153"/>
    </row>
    <row r="52" spans="1:15" x14ac:dyDescent="0.25">
      <c r="A52" s="993"/>
      <c r="B52" s="553"/>
      <c r="C52" s="90"/>
      <c r="D52" s="90"/>
      <c r="E52" s="90"/>
      <c r="F52" s="90"/>
      <c r="G52" s="90"/>
      <c r="H52" s="90"/>
      <c r="I52" s="90"/>
      <c r="J52" s="533"/>
      <c r="K52" s="90"/>
      <c r="L52" s="543"/>
      <c r="M52" s="90"/>
    </row>
    <row r="53" spans="1:15" x14ac:dyDescent="0.25">
      <c r="A53" s="878" t="s">
        <v>21</v>
      </c>
      <c r="B53" s="390">
        <f>Stats!D4</f>
        <v>63162</v>
      </c>
      <c r="C53" s="12">
        <f>Stats!E4</f>
        <v>67742</v>
      </c>
      <c r="D53" s="12">
        <f>Stats!F4</f>
        <v>68761</v>
      </c>
      <c r="E53" s="12">
        <f>Stats!G4</f>
        <v>69341</v>
      </c>
      <c r="F53" s="12">
        <f>Stats!H4</f>
        <v>70370</v>
      </c>
      <c r="G53" s="12">
        <f>Stats!I4</f>
        <v>71027</v>
      </c>
      <c r="H53" s="12">
        <f>Stats!J4</f>
        <v>73420</v>
      </c>
      <c r="I53" s="12">
        <f>Stats!K4</f>
        <v>74385</v>
      </c>
      <c r="J53" s="391">
        <f>Stats!L4</f>
        <v>75840</v>
      </c>
      <c r="K53" s="12">
        <f>Stats!M4</f>
        <v>77262</v>
      </c>
      <c r="L53" s="160">
        <f>Stats!N4</f>
        <v>78980</v>
      </c>
      <c r="M53" s="12">
        <f>Stats!M4</f>
        <v>77262</v>
      </c>
    </row>
    <row r="54" spans="1:15" x14ac:dyDescent="0.25">
      <c r="A54" s="878" t="s">
        <v>23</v>
      </c>
      <c r="B54" s="392"/>
      <c r="J54" s="393"/>
      <c r="L54" s="163"/>
      <c r="N54" s="152"/>
      <c r="O54" s="1"/>
    </row>
    <row r="55" spans="1:15" x14ac:dyDescent="0.25">
      <c r="A55" s="878" t="s">
        <v>22</v>
      </c>
      <c r="B55" s="384"/>
      <c r="C55" s="1"/>
      <c r="D55" s="1"/>
      <c r="E55" s="1"/>
      <c r="F55" s="1"/>
      <c r="G55" s="1"/>
      <c r="H55" s="1"/>
      <c r="I55" s="1"/>
      <c r="J55" s="385"/>
      <c r="K55" s="1"/>
      <c r="L55" s="446"/>
      <c r="M55" s="1"/>
      <c r="N55" s="152"/>
      <c r="O55" s="1"/>
    </row>
    <row r="56" spans="1:15" x14ac:dyDescent="0.25">
      <c r="A56" s="878" t="s">
        <v>60</v>
      </c>
      <c r="B56" s="413"/>
      <c r="C56" s="15"/>
      <c r="D56" s="15"/>
      <c r="E56" s="15"/>
      <c r="F56" s="15"/>
      <c r="G56" s="15"/>
      <c r="H56" s="15"/>
      <c r="I56" s="15"/>
      <c r="J56" s="415"/>
      <c r="K56" s="15"/>
      <c r="L56" s="451"/>
      <c r="M56" s="15"/>
      <c r="N56" s="152"/>
      <c r="O56" s="1"/>
    </row>
    <row r="57" spans="1:15" x14ac:dyDescent="0.25">
      <c r="A57" s="879" t="s">
        <v>51</v>
      </c>
      <c r="B57" s="791">
        <v>3.25</v>
      </c>
      <c r="C57" s="745">
        <v>2.75</v>
      </c>
      <c r="D57" s="955">
        <v>2.75</v>
      </c>
      <c r="E57" s="745">
        <v>2.5</v>
      </c>
      <c r="F57" s="745">
        <v>2.5</v>
      </c>
      <c r="G57" s="745">
        <v>2.5</v>
      </c>
      <c r="H57" s="745">
        <v>2.5</v>
      </c>
      <c r="I57" s="745">
        <v>4</v>
      </c>
      <c r="J57" s="746">
        <v>4</v>
      </c>
      <c r="K57" s="745">
        <v>5</v>
      </c>
      <c r="L57" s="794">
        <v>5</v>
      </c>
      <c r="M57" s="22">
        <v>5</v>
      </c>
      <c r="N57" s="152"/>
      <c r="O57" s="1"/>
    </row>
    <row r="58" spans="1:15" ht="16.5" thickBot="1" x14ac:dyDescent="0.3">
      <c r="A58" s="1006"/>
      <c r="B58" s="507"/>
      <c r="C58" s="280"/>
      <c r="D58" s="280"/>
      <c r="E58" s="280"/>
      <c r="F58" s="280"/>
      <c r="G58" s="280"/>
      <c r="H58" s="280"/>
      <c r="I58" s="280"/>
      <c r="J58" s="499"/>
      <c r="K58" s="299"/>
      <c r="L58" s="492"/>
      <c r="M58" s="34"/>
    </row>
    <row r="59" spans="1:15" x14ac:dyDescent="0.25">
      <c r="A59" s="880" t="s">
        <v>61</v>
      </c>
      <c r="B59" s="618">
        <f>SUM(B57:B58)</f>
        <v>3.25</v>
      </c>
      <c r="C59" s="619">
        <f t="shared" ref="C59:L59" si="11">SUM(C57:C58)</f>
        <v>2.75</v>
      </c>
      <c r="D59" s="619">
        <f t="shared" si="11"/>
        <v>2.75</v>
      </c>
      <c r="E59" s="619">
        <f t="shared" si="11"/>
        <v>2.5</v>
      </c>
      <c r="F59" s="619">
        <f t="shared" si="11"/>
        <v>2.5</v>
      </c>
      <c r="G59" s="619">
        <f t="shared" si="11"/>
        <v>2.5</v>
      </c>
      <c r="H59" s="619">
        <f t="shared" si="11"/>
        <v>2.5</v>
      </c>
      <c r="I59" s="619">
        <f t="shared" si="11"/>
        <v>4</v>
      </c>
      <c r="J59" s="620">
        <f t="shared" si="11"/>
        <v>4</v>
      </c>
      <c r="K59" s="619">
        <f>SUM(K57:K58)</f>
        <v>5</v>
      </c>
      <c r="L59" s="621">
        <f t="shared" si="11"/>
        <v>5</v>
      </c>
      <c r="M59" s="619">
        <f>SUM(M57:M58)</f>
        <v>5</v>
      </c>
      <c r="N59" s="953"/>
      <c r="O59" s="1"/>
    </row>
    <row r="60" spans="1:15" x14ac:dyDescent="0.25">
      <c r="A60" s="978" t="s">
        <v>363</v>
      </c>
      <c r="B60" s="622" t="s">
        <v>348</v>
      </c>
      <c r="C60" s="947">
        <f>C59/B59</f>
        <v>0.84615384615384615</v>
      </c>
      <c r="D60" s="947">
        <f t="shared" ref="D60:J60" si="12">D59/C59</f>
        <v>1</v>
      </c>
      <c r="E60" s="947">
        <f t="shared" si="12"/>
        <v>0.90909090909090906</v>
      </c>
      <c r="F60" s="947">
        <f t="shared" si="12"/>
        <v>1</v>
      </c>
      <c r="G60" s="947">
        <f t="shared" si="12"/>
        <v>1</v>
      </c>
      <c r="H60" s="947">
        <f t="shared" si="12"/>
        <v>1</v>
      </c>
      <c r="I60" s="947">
        <f t="shared" si="12"/>
        <v>1.6</v>
      </c>
      <c r="J60" s="948">
        <f t="shared" si="12"/>
        <v>1</v>
      </c>
      <c r="K60" s="947">
        <f>K59/L59</f>
        <v>1</v>
      </c>
      <c r="L60" s="949">
        <f>L59/M59</f>
        <v>1</v>
      </c>
      <c r="M60" s="947">
        <f>M59/J59</f>
        <v>1.25</v>
      </c>
      <c r="N60" s="953"/>
      <c r="O60" s="1"/>
    </row>
    <row r="61" spans="1:15" x14ac:dyDescent="0.25">
      <c r="A61" s="875"/>
      <c r="B61" s="392"/>
      <c r="J61" s="393"/>
      <c r="L61" s="163"/>
      <c r="N61" s="152"/>
      <c r="O61" s="1"/>
    </row>
    <row r="62" spans="1:15" x14ac:dyDescent="0.25">
      <c r="A62" s="875"/>
      <c r="B62" s="384"/>
      <c r="C62" s="1"/>
      <c r="D62" s="1"/>
      <c r="E62" s="1"/>
      <c r="F62" s="1"/>
      <c r="G62" s="1"/>
      <c r="H62" s="1"/>
      <c r="I62" s="1"/>
      <c r="J62" s="385"/>
      <c r="K62" s="1"/>
      <c r="L62" s="446"/>
      <c r="M62" s="1"/>
      <c r="N62" s="152"/>
      <c r="O62" s="1"/>
    </row>
    <row r="63" spans="1:15" x14ac:dyDescent="0.25">
      <c r="A63" s="878" t="s">
        <v>130</v>
      </c>
      <c r="B63" s="384"/>
      <c r="C63" s="1"/>
      <c r="D63" s="1"/>
      <c r="E63" s="1"/>
      <c r="F63" s="1"/>
      <c r="G63" s="1"/>
      <c r="H63" s="1"/>
      <c r="I63" s="1"/>
      <c r="J63" s="385"/>
      <c r="K63" s="1"/>
      <c r="L63" s="446"/>
      <c r="M63" s="1"/>
      <c r="N63" s="152"/>
      <c r="O63" s="1"/>
    </row>
    <row r="64" spans="1:15" x14ac:dyDescent="0.25">
      <c r="A64" s="879" t="s">
        <v>51</v>
      </c>
      <c r="B64" s="384">
        <f t="shared" ref="B64:L64" si="13">B33/B57</f>
        <v>198694.46153846153</v>
      </c>
      <c r="C64" s="1">
        <f t="shared" si="13"/>
        <v>173704.72727272726</v>
      </c>
      <c r="D64" s="1">
        <f t="shared" si="13"/>
        <v>160829.81818181818</v>
      </c>
      <c r="E64" s="1">
        <f t="shared" si="13"/>
        <v>167066</v>
      </c>
      <c r="F64" s="1">
        <f t="shared" si="13"/>
        <v>187424</v>
      </c>
      <c r="G64" s="1">
        <f t="shared" si="13"/>
        <v>211518</v>
      </c>
      <c r="H64" s="1">
        <f t="shared" si="13"/>
        <v>231728</v>
      </c>
      <c r="I64" s="1">
        <f t="shared" si="13"/>
        <v>168612.25</v>
      </c>
      <c r="J64" s="385">
        <f t="shared" si="13"/>
        <v>248701.75</v>
      </c>
      <c r="K64" s="1">
        <f t="shared" ref="K64" si="14">K33/K57</f>
        <v>224437.8</v>
      </c>
      <c r="L64" s="446">
        <f t="shared" si="13"/>
        <v>184873.60000000001</v>
      </c>
      <c r="M64" s="1">
        <f>M33/M57</f>
        <v>224437.8</v>
      </c>
      <c r="N64" s="152"/>
      <c r="O64" s="1"/>
    </row>
    <row r="65" spans="1:15" x14ac:dyDescent="0.25">
      <c r="A65" s="878" t="s">
        <v>63</v>
      </c>
      <c r="B65" s="954">
        <f t="shared" ref="B65:L65" si="15">B40/B59</f>
        <v>198694.46153846153</v>
      </c>
      <c r="C65" s="51">
        <f t="shared" si="15"/>
        <v>173704.72727272726</v>
      </c>
      <c r="D65" s="51">
        <f t="shared" si="15"/>
        <v>160829.81818181818</v>
      </c>
      <c r="E65" s="51">
        <f t="shared" si="15"/>
        <v>167066</v>
      </c>
      <c r="F65" s="51">
        <f t="shared" si="15"/>
        <v>187424</v>
      </c>
      <c r="G65" s="51">
        <f t="shared" si="15"/>
        <v>211518</v>
      </c>
      <c r="H65" s="51">
        <f t="shared" si="15"/>
        <v>231728</v>
      </c>
      <c r="I65" s="51">
        <f t="shared" si="15"/>
        <v>168612.25</v>
      </c>
      <c r="J65" s="529">
        <f t="shared" si="15"/>
        <v>248701.75</v>
      </c>
      <c r="K65" s="51">
        <f>K40/K59</f>
        <v>224437.8</v>
      </c>
      <c r="L65" s="537">
        <f t="shared" si="15"/>
        <v>184873.60000000001</v>
      </c>
      <c r="M65" s="51">
        <f>M40/M59</f>
        <v>224437.8</v>
      </c>
      <c r="N65" s="953"/>
      <c r="O65" s="1"/>
    </row>
    <row r="66" spans="1:15" x14ac:dyDescent="0.25">
      <c r="A66" s="875"/>
      <c r="B66" s="384"/>
      <c r="C66" s="1"/>
      <c r="D66" s="1"/>
      <c r="E66" s="1"/>
      <c r="F66" s="1"/>
      <c r="G66" s="1"/>
      <c r="H66" s="1"/>
      <c r="I66" s="1"/>
      <c r="J66" s="385"/>
      <c r="K66" s="1"/>
      <c r="L66" s="446"/>
      <c r="M66" s="1"/>
      <c r="N66" s="152"/>
      <c r="O66" s="1"/>
    </row>
    <row r="67" spans="1:15" x14ac:dyDescent="0.25">
      <c r="A67" s="875"/>
      <c r="B67" s="480">
        <v>2009</v>
      </c>
      <c r="C67" s="146">
        <v>2010</v>
      </c>
      <c r="D67" s="146">
        <v>2011</v>
      </c>
      <c r="E67" s="146">
        <v>2012</v>
      </c>
      <c r="F67" s="146">
        <v>2013</v>
      </c>
      <c r="G67" s="146">
        <v>2014</v>
      </c>
      <c r="H67" s="146">
        <v>2015</v>
      </c>
      <c r="I67" s="146">
        <v>2016</v>
      </c>
      <c r="J67" s="482">
        <v>2017</v>
      </c>
      <c r="K67" s="146">
        <v>2018</v>
      </c>
      <c r="L67" s="485">
        <v>2019</v>
      </c>
      <c r="M67" s="146">
        <v>2018</v>
      </c>
      <c r="N67" s="152"/>
      <c r="O67" s="1"/>
    </row>
    <row r="68" spans="1:15" x14ac:dyDescent="0.25">
      <c r="A68" s="875" t="s">
        <v>65</v>
      </c>
      <c r="B68" s="554">
        <f>B57/(B53/1000)</f>
        <v>5.1454988759063992E-2</v>
      </c>
      <c r="C68" s="14">
        <f t="shared" ref="C68:L68" si="16">C57/(C53/1000)</f>
        <v>4.0595199433143395E-2</v>
      </c>
      <c r="D68" s="14">
        <f t="shared" si="16"/>
        <v>3.9993601023836187E-2</v>
      </c>
      <c r="E68" s="14">
        <f t="shared" si="16"/>
        <v>3.6053705599861555E-2</v>
      </c>
      <c r="F68" s="14">
        <f t="shared" si="16"/>
        <v>3.5526502771067212E-2</v>
      </c>
      <c r="G68" s="14">
        <f t="shared" si="16"/>
        <v>3.5197882495389077E-2</v>
      </c>
      <c r="H68" s="14">
        <f t="shared" si="16"/>
        <v>3.4050667393080901E-2</v>
      </c>
      <c r="I68" s="14">
        <f t="shared" si="16"/>
        <v>5.3774282449418565E-2</v>
      </c>
      <c r="J68" s="534">
        <f t="shared" si="16"/>
        <v>5.2742616033755269E-2</v>
      </c>
      <c r="K68" s="14">
        <f t="shared" ref="K68" si="17">K57/(K53/1000)</f>
        <v>6.4714866299086224E-2</v>
      </c>
      <c r="L68" s="545">
        <f t="shared" si="16"/>
        <v>6.3307166371233223E-2</v>
      </c>
      <c r="M68" s="14">
        <f>M57/(M53/1000)</f>
        <v>6.4714866299086224E-2</v>
      </c>
      <c r="N68" s="152"/>
      <c r="O68" s="1"/>
    </row>
    <row r="69" spans="1:15" x14ac:dyDescent="0.25">
      <c r="A69" s="875" t="s">
        <v>64</v>
      </c>
      <c r="B69" s="554">
        <f t="shared" ref="B69:L69" si="18">B59/(B53/1000)</f>
        <v>5.1454988759063992E-2</v>
      </c>
      <c r="C69" s="14">
        <f t="shared" si="18"/>
        <v>4.0595199433143395E-2</v>
      </c>
      <c r="D69" s="14">
        <f t="shared" si="18"/>
        <v>3.9993601023836187E-2</v>
      </c>
      <c r="E69" s="14">
        <f t="shared" si="18"/>
        <v>3.6053705599861555E-2</v>
      </c>
      <c r="F69" s="14">
        <f t="shared" si="18"/>
        <v>3.5526502771067212E-2</v>
      </c>
      <c r="G69" s="14">
        <f t="shared" si="18"/>
        <v>3.5197882495389077E-2</v>
      </c>
      <c r="H69" s="14">
        <f t="shared" si="18"/>
        <v>3.4050667393080901E-2</v>
      </c>
      <c r="I69" s="14">
        <f t="shared" si="18"/>
        <v>5.3774282449418565E-2</v>
      </c>
      <c r="J69" s="534">
        <f t="shared" si="18"/>
        <v>5.2742616033755269E-2</v>
      </c>
      <c r="K69" s="14">
        <f>K59/(K53/1000)</f>
        <v>6.4714866299086224E-2</v>
      </c>
      <c r="L69" s="545">
        <f t="shared" si="18"/>
        <v>6.3307166371233223E-2</v>
      </c>
      <c r="M69" s="14">
        <f>M59/(M53/1000)</f>
        <v>6.4714866299086224E-2</v>
      </c>
      <c r="N69" s="152"/>
      <c r="O69" s="1"/>
    </row>
    <row r="70" spans="1:15" x14ac:dyDescent="0.25">
      <c r="A70" s="875"/>
      <c r="B70" s="392"/>
      <c r="J70" s="393"/>
      <c r="L70" s="163"/>
      <c r="N70" s="152"/>
      <c r="O70" s="1"/>
    </row>
    <row r="71" spans="1:15" x14ac:dyDescent="0.25">
      <c r="A71" s="875"/>
      <c r="B71" s="392"/>
      <c r="J71" s="393"/>
      <c r="L71" s="163"/>
      <c r="N71" s="152"/>
      <c r="O71" s="1"/>
    </row>
    <row r="72" spans="1:15" x14ac:dyDescent="0.25">
      <c r="A72" s="875"/>
      <c r="B72" s="392"/>
      <c r="J72" s="393"/>
      <c r="L72" s="163"/>
    </row>
    <row r="73" spans="1:15" x14ac:dyDescent="0.25">
      <c r="A73" s="875"/>
      <c r="B73" s="392"/>
      <c r="J73" s="393"/>
      <c r="L73" s="163"/>
      <c r="N73" s="152"/>
      <c r="O73" s="1"/>
    </row>
    <row r="74" spans="1:15" x14ac:dyDescent="0.25">
      <c r="A74" s="875"/>
      <c r="B74" s="392"/>
      <c r="J74" s="393"/>
      <c r="L74" s="163"/>
    </row>
    <row r="75" spans="1:15" x14ac:dyDescent="0.25">
      <c r="A75" s="875"/>
      <c r="B75" s="392"/>
      <c r="J75" s="393"/>
      <c r="L75" s="163"/>
      <c r="N75" s="152"/>
      <c r="O75" s="1"/>
    </row>
    <row r="76" spans="1:15" x14ac:dyDescent="0.25">
      <c r="A76" s="875"/>
      <c r="B76" s="392"/>
      <c r="J76" s="393"/>
      <c r="L76" s="163"/>
      <c r="N76" s="152"/>
      <c r="O76" s="1"/>
    </row>
    <row r="77" spans="1:15" x14ac:dyDescent="0.25">
      <c r="A77" s="875"/>
      <c r="B77" s="392"/>
      <c r="J77" s="393"/>
      <c r="L77" s="163"/>
      <c r="N77" s="152"/>
      <c r="O77" s="1"/>
    </row>
    <row r="78" spans="1:15" x14ac:dyDescent="0.25">
      <c r="N78" s="189"/>
      <c r="O78" s="1"/>
    </row>
    <row r="79" spans="1:15" x14ac:dyDescent="0.25">
      <c r="N79" s="189"/>
      <c r="O79" s="1"/>
    </row>
    <row r="80" spans="1:15" x14ac:dyDescent="0.25">
      <c r="A80" s="17"/>
      <c r="B80" s="17"/>
      <c r="C80" s="17"/>
      <c r="D80" s="17"/>
      <c r="E80" s="17"/>
      <c r="F80" s="17"/>
      <c r="G80" s="17"/>
      <c r="H80" s="17"/>
      <c r="I80" s="17"/>
      <c r="J80" s="17"/>
      <c r="K80" s="17"/>
      <c r="L80" s="17"/>
      <c r="M80" s="17"/>
      <c r="N80" s="189"/>
      <c r="O80" s="1"/>
    </row>
    <row r="81" spans="1:15" x14ac:dyDescent="0.25">
      <c r="N81" s="189"/>
      <c r="O81" s="1"/>
    </row>
    <row r="82" spans="1:15" x14ac:dyDescent="0.25">
      <c r="N82" s="150"/>
    </row>
    <row r="83" spans="1:15" x14ac:dyDescent="0.25">
      <c r="N83" s="189"/>
      <c r="O83" s="1"/>
    </row>
    <row r="84" spans="1:15" x14ac:dyDescent="0.25">
      <c r="N84" s="189"/>
      <c r="O84" s="1"/>
    </row>
    <row r="85" spans="1:15" x14ac:dyDescent="0.25">
      <c r="N85" s="189"/>
      <c r="O85" s="1"/>
    </row>
    <row r="86" spans="1:15" s="17" customFormat="1" x14ac:dyDescent="0.25">
      <c r="A86"/>
      <c r="B86"/>
      <c r="C86"/>
      <c r="D86"/>
      <c r="E86"/>
      <c r="F86"/>
      <c r="G86"/>
      <c r="H86"/>
      <c r="I86"/>
      <c r="J86"/>
      <c r="K86" s="278"/>
      <c r="L86"/>
      <c r="M86"/>
      <c r="N86" s="190"/>
      <c r="O86" s="32"/>
    </row>
    <row r="87" spans="1:15" x14ac:dyDescent="0.25">
      <c r="N87" s="189"/>
      <c r="O87" s="1"/>
    </row>
    <row r="88" spans="1:15" x14ac:dyDescent="0.25">
      <c r="N88" s="189"/>
      <c r="O88" s="1"/>
    </row>
    <row r="89" spans="1:15" x14ac:dyDescent="0.25">
      <c r="N89" s="189"/>
      <c r="O89" s="1"/>
    </row>
    <row r="90" spans="1:15" x14ac:dyDescent="0.25">
      <c r="N90" s="189"/>
      <c r="O90" s="1"/>
    </row>
    <row r="91" spans="1:15" x14ac:dyDescent="0.25">
      <c r="N91" s="189"/>
      <c r="O91" s="1"/>
    </row>
    <row r="92" spans="1:15" x14ac:dyDescent="0.25">
      <c r="N92" s="189"/>
      <c r="O92" s="1"/>
    </row>
    <row r="93" spans="1:15" x14ac:dyDescent="0.25">
      <c r="N93" s="189"/>
      <c r="O93" s="1"/>
    </row>
    <row r="94" spans="1:15" x14ac:dyDescent="0.25">
      <c r="N94" s="189"/>
      <c r="O94" s="1"/>
    </row>
    <row r="95" spans="1:15" x14ac:dyDescent="0.25">
      <c r="N95" s="189"/>
      <c r="O95" s="1"/>
    </row>
    <row r="96" spans="1:15" x14ac:dyDescent="0.25">
      <c r="N96" s="189"/>
      <c r="O96" s="1"/>
    </row>
    <row r="97" spans="14:15" x14ac:dyDescent="0.25">
      <c r="N97" s="189"/>
      <c r="O97" s="1"/>
    </row>
    <row r="98" spans="14:15" x14ac:dyDescent="0.25">
      <c r="N98" s="189"/>
      <c r="O98" s="1"/>
    </row>
    <row r="99" spans="14:15" x14ac:dyDescent="0.25">
      <c r="N99" s="189"/>
      <c r="O99" s="1"/>
    </row>
    <row r="100" spans="14:15" x14ac:dyDescent="0.25">
      <c r="N100" s="150"/>
    </row>
    <row r="101" spans="14:15" x14ac:dyDescent="0.25">
      <c r="N101" s="150"/>
    </row>
    <row r="102" spans="14:15" x14ac:dyDescent="0.25">
      <c r="N102" s="150"/>
    </row>
    <row r="103" spans="14:15" x14ac:dyDescent="0.25">
      <c r="N103" s="150"/>
    </row>
    <row r="104" spans="14:15" x14ac:dyDescent="0.25">
      <c r="N104" s="150"/>
    </row>
    <row r="105" spans="14:15" x14ac:dyDescent="0.25">
      <c r="N105" s="150"/>
    </row>
    <row r="106" spans="14:15" x14ac:dyDescent="0.25">
      <c r="N106" s="150"/>
    </row>
    <row r="107" spans="14:15" x14ac:dyDescent="0.25">
      <c r="N107" s="150"/>
    </row>
    <row r="108" spans="14:15" x14ac:dyDescent="0.25">
      <c r="N108" s="150"/>
    </row>
    <row r="109" spans="14:15" x14ac:dyDescent="0.25">
      <c r="N109" s="150"/>
    </row>
    <row r="110" spans="14:15" x14ac:dyDescent="0.25">
      <c r="N110" s="150"/>
    </row>
    <row r="111" spans="14:15" x14ac:dyDescent="0.25">
      <c r="N111" s="150"/>
    </row>
    <row r="112" spans="14:15" x14ac:dyDescent="0.25">
      <c r="N112" s="150"/>
    </row>
    <row r="113" spans="14:14" x14ac:dyDescent="0.25">
      <c r="N113" s="150"/>
    </row>
    <row r="114" spans="14:14" x14ac:dyDescent="0.25">
      <c r="N114" s="150"/>
    </row>
    <row r="115" spans="14:14" x14ac:dyDescent="0.25">
      <c r="N115" s="150"/>
    </row>
    <row r="116" spans="14:14" x14ac:dyDescent="0.25">
      <c r="N116" s="150"/>
    </row>
    <row r="117" spans="14:14" x14ac:dyDescent="0.25">
      <c r="N117" s="150"/>
    </row>
    <row r="118" spans="14:14" x14ac:dyDescent="0.25">
      <c r="N118" s="150"/>
    </row>
    <row r="119" spans="14:14" x14ac:dyDescent="0.25">
      <c r="N119" s="150"/>
    </row>
    <row r="120" spans="14:14" x14ac:dyDescent="0.25">
      <c r="N120" s="150"/>
    </row>
    <row r="121" spans="14:14" x14ac:dyDescent="0.25">
      <c r="N121" s="150"/>
    </row>
    <row r="122" spans="14:14" x14ac:dyDescent="0.25">
      <c r="N122" s="150"/>
    </row>
    <row r="123" spans="14:14" x14ac:dyDescent="0.25">
      <c r="N123" s="150"/>
    </row>
    <row r="124" spans="14:14" x14ac:dyDescent="0.25">
      <c r="N124" s="150"/>
    </row>
    <row r="125" spans="14:14" x14ac:dyDescent="0.25">
      <c r="N125" s="150"/>
    </row>
    <row r="126" spans="14:14" x14ac:dyDescent="0.25">
      <c r="N126" s="150"/>
    </row>
    <row r="127" spans="14:14" x14ac:dyDescent="0.25">
      <c r="N127" s="150"/>
    </row>
    <row r="128" spans="14:14" x14ac:dyDescent="0.25">
      <c r="N128" s="150"/>
    </row>
    <row r="129" spans="14:14" x14ac:dyDescent="0.25">
      <c r="N129" s="150"/>
    </row>
    <row r="130" spans="14:14" x14ac:dyDescent="0.25">
      <c r="N130" s="150"/>
    </row>
    <row r="131" spans="14:14" x14ac:dyDescent="0.25">
      <c r="N131" s="150"/>
    </row>
    <row r="132" spans="14:14" x14ac:dyDescent="0.25">
      <c r="N132" s="150"/>
    </row>
    <row r="133" spans="14:14" x14ac:dyDescent="0.25">
      <c r="N133" s="150"/>
    </row>
    <row r="134" spans="14:14" x14ac:dyDescent="0.25">
      <c r="N134" s="150"/>
    </row>
    <row r="135" spans="14:14" x14ac:dyDescent="0.25">
      <c r="N135" s="150"/>
    </row>
    <row r="136" spans="14:14" x14ac:dyDescent="0.25">
      <c r="N136" s="150"/>
    </row>
    <row r="137" spans="14:14" x14ac:dyDescent="0.25">
      <c r="N137" s="150"/>
    </row>
    <row r="138" spans="14:14" x14ac:dyDescent="0.25">
      <c r="N138" s="150"/>
    </row>
    <row r="139" spans="14:14" x14ac:dyDescent="0.25">
      <c r="N139" s="150"/>
    </row>
    <row r="140" spans="14:14" x14ac:dyDescent="0.25">
      <c r="N140" s="150"/>
    </row>
    <row r="141" spans="14:14" x14ac:dyDescent="0.25">
      <c r="N141" s="150"/>
    </row>
    <row r="142" spans="14:14" x14ac:dyDescent="0.25">
      <c r="N142" s="150"/>
    </row>
    <row r="143" spans="14:14" x14ac:dyDescent="0.25">
      <c r="N143" s="150"/>
    </row>
    <row r="144" spans="14:14" x14ac:dyDescent="0.25">
      <c r="N144" s="150"/>
    </row>
    <row r="145" spans="14:14" x14ac:dyDescent="0.25">
      <c r="N145" s="150"/>
    </row>
    <row r="146" spans="14:14" x14ac:dyDescent="0.25">
      <c r="N146" s="150"/>
    </row>
    <row r="147" spans="14:14" x14ac:dyDescent="0.25">
      <c r="N147" s="150"/>
    </row>
    <row r="148" spans="14:14" x14ac:dyDescent="0.25">
      <c r="N148" s="150"/>
    </row>
    <row r="149" spans="14:14" x14ac:dyDescent="0.25">
      <c r="N149" s="150"/>
    </row>
    <row r="150" spans="14:14" x14ac:dyDescent="0.25">
      <c r="N150" s="150"/>
    </row>
    <row r="151" spans="14:14" x14ac:dyDescent="0.25">
      <c r="N151" s="150"/>
    </row>
    <row r="152" spans="14:14" x14ac:dyDescent="0.25">
      <c r="N152" s="150"/>
    </row>
    <row r="153" spans="14:14" x14ac:dyDescent="0.25">
      <c r="N153" s="150"/>
    </row>
    <row r="154" spans="14:14" x14ac:dyDescent="0.25">
      <c r="N154" s="150"/>
    </row>
    <row r="155" spans="14:14" x14ac:dyDescent="0.25">
      <c r="N155" s="150"/>
    </row>
    <row r="156" spans="14:14" x14ac:dyDescent="0.25">
      <c r="N156" s="150"/>
    </row>
    <row r="157" spans="14:14" x14ac:dyDescent="0.25">
      <c r="N157" s="150"/>
    </row>
    <row r="158" spans="14:14" x14ac:dyDescent="0.25">
      <c r="N158" s="150"/>
    </row>
    <row r="159" spans="14:14" x14ac:dyDescent="0.25">
      <c r="N159" s="150"/>
    </row>
    <row r="160" spans="14:14" x14ac:dyDescent="0.25">
      <c r="N160" s="150"/>
    </row>
    <row r="161" spans="14:14" x14ac:dyDescent="0.25">
      <c r="N161" s="150"/>
    </row>
    <row r="162" spans="14:14" x14ac:dyDescent="0.25">
      <c r="N162" s="150"/>
    </row>
    <row r="163" spans="14:14" x14ac:dyDescent="0.25">
      <c r="N163" s="150"/>
    </row>
    <row r="164" spans="14:14" x14ac:dyDescent="0.25">
      <c r="N164" s="150"/>
    </row>
    <row r="165" spans="14:14" x14ac:dyDescent="0.25">
      <c r="N165" s="150"/>
    </row>
    <row r="166" spans="14:14" x14ac:dyDescent="0.25">
      <c r="N166" s="150"/>
    </row>
    <row r="167" spans="14:14" x14ac:dyDescent="0.25">
      <c r="N167" s="150"/>
    </row>
    <row r="168" spans="14:14" x14ac:dyDescent="0.25">
      <c r="N168" s="150"/>
    </row>
    <row r="169" spans="14:14" x14ac:dyDescent="0.25">
      <c r="N169" s="150"/>
    </row>
    <row r="170" spans="14:14" x14ac:dyDescent="0.25">
      <c r="N170" s="150"/>
    </row>
    <row r="171" spans="14:14" x14ac:dyDescent="0.25">
      <c r="N171" s="150"/>
    </row>
    <row r="172" spans="14:14" x14ac:dyDescent="0.25">
      <c r="N172" s="150"/>
    </row>
    <row r="173" spans="14:14" x14ac:dyDescent="0.25">
      <c r="N173" s="150"/>
    </row>
    <row r="174" spans="14:14" x14ac:dyDescent="0.25">
      <c r="N174" s="150"/>
    </row>
    <row r="175" spans="14:14" x14ac:dyDescent="0.25">
      <c r="N175" s="150"/>
    </row>
    <row r="176" spans="14:14" x14ac:dyDescent="0.25">
      <c r="N176" s="150"/>
    </row>
    <row r="177" spans="14:14" x14ac:dyDescent="0.25">
      <c r="N177" s="150"/>
    </row>
    <row r="178" spans="14:14" x14ac:dyDescent="0.25">
      <c r="N178" s="150"/>
    </row>
    <row r="179" spans="14:14" x14ac:dyDescent="0.25">
      <c r="N179" s="150"/>
    </row>
    <row r="180" spans="14:14" x14ac:dyDescent="0.25">
      <c r="N180" s="150"/>
    </row>
    <row r="181" spans="14:14" x14ac:dyDescent="0.25">
      <c r="N181" s="150"/>
    </row>
    <row r="182" spans="14:14" x14ac:dyDescent="0.25">
      <c r="N182" s="150"/>
    </row>
    <row r="183" spans="14:14" x14ac:dyDescent="0.25">
      <c r="N183" s="150"/>
    </row>
    <row r="184" spans="14:14" x14ac:dyDescent="0.25">
      <c r="N184" s="150"/>
    </row>
    <row r="185" spans="14:14" x14ac:dyDescent="0.25">
      <c r="N185" s="150"/>
    </row>
    <row r="186" spans="14:14" x14ac:dyDescent="0.25">
      <c r="N186" s="150"/>
    </row>
    <row r="187" spans="14:14" x14ac:dyDescent="0.25">
      <c r="N187" s="150"/>
    </row>
    <row r="188" spans="14:14" x14ac:dyDescent="0.25">
      <c r="N188" s="150"/>
    </row>
    <row r="189" spans="14:14" x14ac:dyDescent="0.25">
      <c r="N189" s="150"/>
    </row>
    <row r="190" spans="14:14" x14ac:dyDescent="0.25">
      <c r="N190" s="150"/>
    </row>
    <row r="191" spans="14:14" x14ac:dyDescent="0.25">
      <c r="N191" s="150"/>
    </row>
    <row r="192" spans="14:14" x14ac:dyDescent="0.25">
      <c r="N192" s="150"/>
    </row>
    <row r="193" spans="14:14" x14ac:dyDescent="0.25">
      <c r="N193" s="150"/>
    </row>
    <row r="194" spans="14:14" x14ac:dyDescent="0.25">
      <c r="N194" s="150"/>
    </row>
    <row r="195" spans="14:14" x14ac:dyDescent="0.25">
      <c r="N195" s="150"/>
    </row>
    <row r="196" spans="14:14" x14ac:dyDescent="0.25">
      <c r="N196" s="150"/>
    </row>
    <row r="197" spans="14:14" x14ac:dyDescent="0.25">
      <c r="N197" s="150"/>
    </row>
    <row r="198" spans="14:14" x14ac:dyDescent="0.25">
      <c r="N198" s="150"/>
    </row>
    <row r="199" spans="14:14" x14ac:dyDescent="0.25">
      <c r="N199" s="150"/>
    </row>
    <row r="200" spans="14:14" x14ac:dyDescent="0.25">
      <c r="N200" s="150"/>
    </row>
    <row r="201" spans="14:14" x14ac:dyDescent="0.25">
      <c r="N201" s="150"/>
    </row>
    <row r="202" spans="14:14" x14ac:dyDescent="0.25">
      <c r="N202" s="150"/>
    </row>
    <row r="203" spans="14:14" x14ac:dyDescent="0.25">
      <c r="N203" s="150"/>
    </row>
    <row r="204" spans="14:14" x14ac:dyDescent="0.25">
      <c r="N204" s="150"/>
    </row>
    <row r="205" spans="14:14" x14ac:dyDescent="0.25">
      <c r="N205" s="150"/>
    </row>
    <row r="206" spans="14:14" x14ac:dyDescent="0.25">
      <c r="N206" s="150"/>
    </row>
    <row r="207" spans="14:14" x14ac:dyDescent="0.25">
      <c r="N207" s="150"/>
    </row>
    <row r="208" spans="14:14" x14ac:dyDescent="0.25">
      <c r="N208" s="150"/>
    </row>
    <row r="209" spans="14:14" x14ac:dyDescent="0.25">
      <c r="N209" s="150"/>
    </row>
    <row r="210" spans="14:14" x14ac:dyDescent="0.25">
      <c r="N210" s="150"/>
    </row>
    <row r="211" spans="14:14" x14ac:dyDescent="0.25">
      <c r="N211" s="150"/>
    </row>
    <row r="212" spans="14:14" x14ac:dyDescent="0.25">
      <c r="N212" s="150"/>
    </row>
    <row r="213" spans="14:14" x14ac:dyDescent="0.25">
      <c r="N213" s="150"/>
    </row>
    <row r="214" spans="14:14" x14ac:dyDescent="0.25">
      <c r="N214" s="150"/>
    </row>
    <row r="215" spans="14:14" x14ac:dyDescent="0.25">
      <c r="N215" s="150"/>
    </row>
    <row r="216" spans="14:14" x14ac:dyDescent="0.25">
      <c r="N216" s="150"/>
    </row>
    <row r="217" spans="14:14" x14ac:dyDescent="0.25">
      <c r="N217" s="150"/>
    </row>
    <row r="218" spans="14:14" x14ac:dyDescent="0.25">
      <c r="N218" s="150"/>
    </row>
    <row r="219" spans="14:14" x14ac:dyDescent="0.25">
      <c r="N219" s="150"/>
    </row>
    <row r="220" spans="14:14" x14ac:dyDescent="0.25">
      <c r="N220" s="150"/>
    </row>
    <row r="221" spans="14:14" x14ac:dyDescent="0.25">
      <c r="N221" s="150"/>
    </row>
    <row r="222" spans="14:14" x14ac:dyDescent="0.25">
      <c r="N222" s="150"/>
    </row>
    <row r="223" spans="14:14" x14ac:dyDescent="0.25">
      <c r="N223" s="150"/>
    </row>
    <row r="224" spans="14:14" x14ac:dyDescent="0.25">
      <c r="N224" s="150"/>
    </row>
    <row r="225" spans="14:14" x14ac:dyDescent="0.25">
      <c r="N225" s="150"/>
    </row>
    <row r="226" spans="14:14" x14ac:dyDescent="0.25">
      <c r="N226" s="150"/>
    </row>
    <row r="227" spans="14:14" x14ac:dyDescent="0.25">
      <c r="N227" s="150"/>
    </row>
    <row r="228" spans="14:14" x14ac:dyDescent="0.25">
      <c r="N228" s="150"/>
    </row>
    <row r="229" spans="14:14" x14ac:dyDescent="0.25">
      <c r="N229" s="150"/>
    </row>
    <row r="230" spans="14:14" x14ac:dyDescent="0.25">
      <c r="N230" s="150"/>
    </row>
    <row r="231" spans="14:14" x14ac:dyDescent="0.25">
      <c r="N231" s="150"/>
    </row>
    <row r="232" spans="14:14" x14ac:dyDescent="0.25">
      <c r="N232" s="150"/>
    </row>
    <row r="233" spans="14:14" x14ac:dyDescent="0.25">
      <c r="N233" s="150"/>
    </row>
    <row r="234" spans="14:14" x14ac:dyDescent="0.25">
      <c r="N234" s="150"/>
    </row>
    <row r="235" spans="14:14" x14ac:dyDescent="0.25">
      <c r="N235" s="150"/>
    </row>
    <row r="236" spans="14:14" x14ac:dyDescent="0.25">
      <c r="N236" s="150"/>
    </row>
    <row r="237" spans="14:14" x14ac:dyDescent="0.25">
      <c r="N237" s="150"/>
    </row>
    <row r="238" spans="14:14" x14ac:dyDescent="0.25">
      <c r="N238" s="150"/>
    </row>
    <row r="239" spans="14:14" x14ac:dyDescent="0.25">
      <c r="N239" s="150"/>
    </row>
    <row r="240" spans="14:14" x14ac:dyDescent="0.25">
      <c r="N240" s="150"/>
    </row>
    <row r="241" spans="14:14" x14ac:dyDescent="0.25">
      <c r="N241" s="150"/>
    </row>
    <row r="242" spans="14:14" x14ac:dyDescent="0.25">
      <c r="N242" s="150"/>
    </row>
    <row r="243" spans="14:14" x14ac:dyDescent="0.25">
      <c r="N243" s="150"/>
    </row>
    <row r="244" spans="14:14" x14ac:dyDescent="0.25">
      <c r="N244" s="150"/>
    </row>
    <row r="245" spans="14:14" x14ac:dyDescent="0.25">
      <c r="N245" s="150"/>
    </row>
    <row r="246" spans="14:14" x14ac:dyDescent="0.25">
      <c r="N246" s="150"/>
    </row>
    <row r="247" spans="14:14" x14ac:dyDescent="0.25">
      <c r="N247" s="150"/>
    </row>
    <row r="248" spans="14:14" x14ac:dyDescent="0.25">
      <c r="N248" s="150"/>
    </row>
    <row r="249" spans="14:14" x14ac:dyDescent="0.25">
      <c r="N249" s="150"/>
    </row>
    <row r="250" spans="14:14" x14ac:dyDescent="0.25">
      <c r="N250" s="150"/>
    </row>
    <row r="251" spans="14:14" x14ac:dyDescent="0.25">
      <c r="N251" s="150"/>
    </row>
    <row r="252" spans="14:14" x14ac:dyDescent="0.25">
      <c r="N252" s="150"/>
    </row>
    <row r="253" spans="14:14" x14ac:dyDescent="0.25">
      <c r="N253" s="150"/>
    </row>
    <row r="254" spans="14:14" x14ac:dyDescent="0.25">
      <c r="N254" s="150"/>
    </row>
    <row r="255" spans="14:14" x14ac:dyDescent="0.25">
      <c r="N255" s="150"/>
    </row>
    <row r="256" spans="14:14" x14ac:dyDescent="0.25">
      <c r="N256" s="150"/>
    </row>
    <row r="257" spans="14:14" x14ac:dyDescent="0.25">
      <c r="N257" s="150"/>
    </row>
    <row r="258" spans="14:14" x14ac:dyDescent="0.25">
      <c r="N258" s="150"/>
    </row>
    <row r="259" spans="14:14" x14ac:dyDescent="0.25">
      <c r="N259" s="150"/>
    </row>
    <row r="260" spans="14:14" x14ac:dyDescent="0.25">
      <c r="N260" s="150"/>
    </row>
    <row r="261" spans="14:14" x14ac:dyDescent="0.25">
      <c r="N261" s="150"/>
    </row>
    <row r="262" spans="14:14" x14ac:dyDescent="0.25">
      <c r="N262" s="150"/>
    </row>
    <row r="263" spans="14:14" x14ac:dyDescent="0.25">
      <c r="N263" s="150"/>
    </row>
    <row r="264" spans="14:14" x14ac:dyDescent="0.25">
      <c r="N264" s="150"/>
    </row>
    <row r="265" spans="14:14" x14ac:dyDescent="0.25">
      <c r="N265" s="150"/>
    </row>
    <row r="266" spans="14:14" x14ac:dyDescent="0.25">
      <c r="N266" s="150"/>
    </row>
    <row r="267" spans="14:14" x14ac:dyDescent="0.25">
      <c r="N267" s="150"/>
    </row>
    <row r="268" spans="14:14" x14ac:dyDescent="0.25">
      <c r="N268" s="150"/>
    </row>
    <row r="269" spans="14:14" x14ac:dyDescent="0.25">
      <c r="N269" s="150"/>
    </row>
    <row r="270" spans="14:14" x14ac:dyDescent="0.25">
      <c r="N270" s="150"/>
    </row>
    <row r="271" spans="14:14" x14ac:dyDescent="0.25">
      <c r="N271" s="150"/>
    </row>
    <row r="272" spans="14:14" x14ac:dyDescent="0.25">
      <c r="N272" s="150"/>
    </row>
    <row r="273" spans="14:14" x14ac:dyDescent="0.25">
      <c r="N273" s="150"/>
    </row>
    <row r="274" spans="14:14" x14ac:dyDescent="0.25">
      <c r="N274" s="150"/>
    </row>
    <row r="275" spans="14:14" x14ac:dyDescent="0.25">
      <c r="N275" s="150"/>
    </row>
    <row r="276" spans="14:14" x14ac:dyDescent="0.25">
      <c r="N276" s="150"/>
    </row>
    <row r="277" spans="14:14" x14ac:dyDescent="0.25">
      <c r="N277" s="150"/>
    </row>
    <row r="278" spans="14:14" x14ac:dyDescent="0.25">
      <c r="N278" s="150"/>
    </row>
    <row r="279" spans="14:14" x14ac:dyDescent="0.25">
      <c r="N279" s="150"/>
    </row>
    <row r="280" spans="14:14" x14ac:dyDescent="0.25">
      <c r="N280" s="150"/>
    </row>
    <row r="281" spans="14:14" x14ac:dyDescent="0.25">
      <c r="N281" s="150"/>
    </row>
    <row r="282" spans="14:14" x14ac:dyDescent="0.25">
      <c r="N282" s="150"/>
    </row>
    <row r="283" spans="14:14" x14ac:dyDescent="0.25">
      <c r="N283" s="150"/>
    </row>
    <row r="284" spans="14:14" x14ac:dyDescent="0.25">
      <c r="N284" s="150"/>
    </row>
    <row r="285" spans="14:14" x14ac:dyDescent="0.25">
      <c r="N285" s="150"/>
    </row>
    <row r="286" spans="14:14" x14ac:dyDescent="0.25">
      <c r="N286" s="150"/>
    </row>
    <row r="287" spans="14:14" x14ac:dyDescent="0.25">
      <c r="N287" s="150"/>
    </row>
    <row r="288" spans="14:14" x14ac:dyDescent="0.25">
      <c r="N288" s="150"/>
    </row>
    <row r="289" spans="14:14" x14ac:dyDescent="0.25">
      <c r="N289" s="150"/>
    </row>
    <row r="290" spans="14:14" x14ac:dyDescent="0.25">
      <c r="N290" s="150"/>
    </row>
    <row r="291" spans="14:14" x14ac:dyDescent="0.25">
      <c r="N291" s="150"/>
    </row>
    <row r="292" spans="14:14" x14ac:dyDescent="0.25">
      <c r="N292" s="150"/>
    </row>
    <row r="293" spans="14:14" x14ac:dyDescent="0.25">
      <c r="N293" s="150"/>
    </row>
    <row r="294" spans="14:14" x14ac:dyDescent="0.25">
      <c r="N294" s="150"/>
    </row>
    <row r="295" spans="14:14" x14ac:dyDescent="0.25">
      <c r="N295" s="150"/>
    </row>
    <row r="296" spans="14:14" x14ac:dyDescent="0.25">
      <c r="N296" s="150"/>
    </row>
    <row r="297" spans="14:14" x14ac:dyDescent="0.25">
      <c r="N297" s="150"/>
    </row>
    <row r="298" spans="14:14" x14ac:dyDescent="0.25">
      <c r="N298" s="150"/>
    </row>
    <row r="299" spans="14:14" x14ac:dyDescent="0.25">
      <c r="N299" s="150"/>
    </row>
    <row r="300" spans="14:14" x14ac:dyDescent="0.25">
      <c r="N300" s="150"/>
    </row>
    <row r="301" spans="14:14" x14ac:dyDescent="0.25">
      <c r="N301" s="150"/>
    </row>
    <row r="302" spans="14:14" x14ac:dyDescent="0.25">
      <c r="N302" s="150"/>
    </row>
    <row r="303" spans="14:14" x14ac:dyDescent="0.25">
      <c r="N303" s="150"/>
    </row>
    <row r="304" spans="14:14" x14ac:dyDescent="0.25">
      <c r="N304" s="150"/>
    </row>
    <row r="305" spans="14:14" x14ac:dyDescent="0.25">
      <c r="N305" s="150"/>
    </row>
    <row r="306" spans="14:14" x14ac:dyDescent="0.25">
      <c r="N306" s="150"/>
    </row>
    <row r="307" spans="14:14" x14ac:dyDescent="0.25">
      <c r="N307" s="150"/>
    </row>
    <row r="308" spans="14:14" x14ac:dyDescent="0.25">
      <c r="N308" s="150"/>
    </row>
    <row r="309" spans="14:14" x14ac:dyDescent="0.25">
      <c r="N309" s="150"/>
    </row>
    <row r="310" spans="14:14" x14ac:dyDescent="0.25">
      <c r="N310" s="150"/>
    </row>
    <row r="311" spans="14:14" x14ac:dyDescent="0.25">
      <c r="N311" s="150"/>
    </row>
    <row r="312" spans="14:14" x14ac:dyDescent="0.25">
      <c r="N312" s="150"/>
    </row>
    <row r="313" spans="14:14" x14ac:dyDescent="0.25">
      <c r="N313" s="150"/>
    </row>
    <row r="314" spans="14:14" x14ac:dyDescent="0.25">
      <c r="N314" s="150"/>
    </row>
    <row r="315" spans="14:14" x14ac:dyDescent="0.25">
      <c r="N315" s="150"/>
    </row>
    <row r="316" spans="14:14" x14ac:dyDescent="0.25">
      <c r="N316" s="150"/>
    </row>
    <row r="317" spans="14:14" x14ac:dyDescent="0.25">
      <c r="N317" s="150"/>
    </row>
    <row r="318" spans="14:14" x14ac:dyDescent="0.25">
      <c r="N318" s="150"/>
    </row>
    <row r="319" spans="14:14" x14ac:dyDescent="0.25">
      <c r="N319" s="150"/>
    </row>
    <row r="320" spans="14:14" x14ac:dyDescent="0.25">
      <c r="N320" s="150"/>
    </row>
    <row r="321" spans="14:14" x14ac:dyDescent="0.25">
      <c r="N321" s="150"/>
    </row>
    <row r="322" spans="14:14" x14ac:dyDescent="0.25">
      <c r="N322" s="150"/>
    </row>
    <row r="323" spans="14:14" x14ac:dyDescent="0.25">
      <c r="N323" s="150"/>
    </row>
    <row r="324" spans="14:14" x14ac:dyDescent="0.25">
      <c r="N324" s="150"/>
    </row>
    <row r="325" spans="14:14" x14ac:dyDescent="0.25">
      <c r="N325" s="150"/>
    </row>
    <row r="326" spans="14:14" x14ac:dyDescent="0.25">
      <c r="N326" s="150"/>
    </row>
    <row r="327" spans="14:14" x14ac:dyDescent="0.25">
      <c r="N327" s="150"/>
    </row>
    <row r="328" spans="14:14" x14ac:dyDescent="0.25">
      <c r="N328" s="150"/>
    </row>
    <row r="329" spans="14:14" x14ac:dyDescent="0.25">
      <c r="N329" s="150"/>
    </row>
    <row r="330" spans="14:14" x14ac:dyDescent="0.25">
      <c r="N330" s="150"/>
    </row>
    <row r="331" spans="14:14" x14ac:dyDescent="0.25">
      <c r="N331" s="150"/>
    </row>
    <row r="332" spans="14:14" x14ac:dyDescent="0.25">
      <c r="N332" s="150"/>
    </row>
    <row r="333" spans="14:14" x14ac:dyDescent="0.25">
      <c r="N333" s="150"/>
    </row>
    <row r="334" spans="14:14" x14ac:dyDescent="0.25">
      <c r="N334" s="150"/>
    </row>
    <row r="335" spans="14:14" x14ac:dyDescent="0.25">
      <c r="N335" s="150"/>
    </row>
    <row r="336" spans="14:14" x14ac:dyDescent="0.25">
      <c r="N336" s="150"/>
    </row>
    <row r="337" spans="14:14" x14ac:dyDescent="0.25">
      <c r="N337" s="150"/>
    </row>
    <row r="338" spans="14:14" x14ac:dyDescent="0.25">
      <c r="N338" s="150"/>
    </row>
    <row r="339" spans="14:14" x14ac:dyDescent="0.25">
      <c r="N339" s="150"/>
    </row>
    <row r="340" spans="14:14" x14ac:dyDescent="0.25">
      <c r="N340" s="150"/>
    </row>
    <row r="341" spans="14:14" x14ac:dyDescent="0.25">
      <c r="N341" s="150"/>
    </row>
    <row r="342" spans="14:14" x14ac:dyDescent="0.25">
      <c r="N342" s="150"/>
    </row>
    <row r="343" spans="14:14" x14ac:dyDescent="0.25">
      <c r="N343" s="150"/>
    </row>
    <row r="344" spans="14:14" x14ac:dyDescent="0.25">
      <c r="N344" s="150"/>
    </row>
    <row r="345" spans="14:14" x14ac:dyDescent="0.25">
      <c r="N345" s="150"/>
    </row>
    <row r="346" spans="14:14" x14ac:dyDescent="0.25">
      <c r="N346" s="150"/>
    </row>
    <row r="347" spans="14:14" x14ac:dyDescent="0.25">
      <c r="N347" s="150"/>
    </row>
    <row r="348" spans="14:14" x14ac:dyDescent="0.25">
      <c r="N348" s="150"/>
    </row>
    <row r="349" spans="14:14" x14ac:dyDescent="0.25">
      <c r="N349" s="150"/>
    </row>
    <row r="350" spans="14:14" x14ac:dyDescent="0.25">
      <c r="N350" s="150"/>
    </row>
    <row r="351" spans="14:14" x14ac:dyDescent="0.25">
      <c r="N351" s="150"/>
    </row>
    <row r="352" spans="14:14" x14ac:dyDescent="0.25">
      <c r="N352" s="150"/>
    </row>
    <row r="353" spans="14:14" x14ac:dyDescent="0.25">
      <c r="N353" s="150"/>
    </row>
    <row r="354" spans="14:14" x14ac:dyDescent="0.25">
      <c r="N354" s="150"/>
    </row>
    <row r="355" spans="14:14" x14ac:dyDescent="0.25">
      <c r="N355" s="150"/>
    </row>
    <row r="356" spans="14:14" x14ac:dyDescent="0.25">
      <c r="N356" s="150"/>
    </row>
    <row r="357" spans="14:14" x14ac:dyDescent="0.25">
      <c r="N357" s="150"/>
    </row>
    <row r="358" spans="14:14" x14ac:dyDescent="0.25">
      <c r="N358" s="150"/>
    </row>
    <row r="359" spans="14:14" x14ac:dyDescent="0.25">
      <c r="N359" s="150"/>
    </row>
    <row r="360" spans="14:14" x14ac:dyDescent="0.25">
      <c r="N360" s="150"/>
    </row>
    <row r="361" spans="14:14" x14ac:dyDescent="0.25">
      <c r="N361" s="150"/>
    </row>
    <row r="362" spans="14:14" x14ac:dyDescent="0.25">
      <c r="N362" s="150"/>
    </row>
    <row r="363" spans="14:14" x14ac:dyDescent="0.25">
      <c r="N363" s="150"/>
    </row>
    <row r="364" spans="14:14" x14ac:dyDescent="0.25">
      <c r="N364" s="150"/>
    </row>
    <row r="365" spans="14:14" x14ac:dyDescent="0.25">
      <c r="N365" s="150"/>
    </row>
    <row r="366" spans="14:14" x14ac:dyDescent="0.25">
      <c r="N366" s="150"/>
    </row>
    <row r="367" spans="14:14" x14ac:dyDescent="0.25">
      <c r="N367" s="150"/>
    </row>
    <row r="368" spans="14:14" x14ac:dyDescent="0.25">
      <c r="N368" s="150"/>
    </row>
    <row r="369" spans="14:14" x14ac:dyDescent="0.25">
      <c r="N369" s="150"/>
    </row>
    <row r="370" spans="14:14" x14ac:dyDescent="0.25">
      <c r="N370" s="150"/>
    </row>
    <row r="371" spans="14:14" x14ac:dyDescent="0.25">
      <c r="N371" s="150"/>
    </row>
    <row r="372" spans="14:14" x14ac:dyDescent="0.25">
      <c r="N372" s="150"/>
    </row>
    <row r="373" spans="14:14" x14ac:dyDescent="0.25">
      <c r="N373" s="150"/>
    </row>
    <row r="374" spans="14:14" x14ac:dyDescent="0.25">
      <c r="N374" s="150"/>
    </row>
    <row r="375" spans="14:14" x14ac:dyDescent="0.25">
      <c r="N375" s="150"/>
    </row>
    <row r="376" spans="14:14" x14ac:dyDescent="0.25">
      <c r="N376" s="150"/>
    </row>
    <row r="377" spans="14:14" x14ac:dyDescent="0.25">
      <c r="N377" s="150"/>
    </row>
    <row r="378" spans="14:14" x14ac:dyDescent="0.25">
      <c r="N378" s="150"/>
    </row>
    <row r="379" spans="14:14" x14ac:dyDescent="0.25">
      <c r="N379" s="150"/>
    </row>
    <row r="380" spans="14:14" x14ac:dyDescent="0.25">
      <c r="N380" s="150"/>
    </row>
    <row r="381" spans="14:14" x14ac:dyDescent="0.25">
      <c r="N381" s="150"/>
    </row>
    <row r="382" spans="14:14" x14ac:dyDescent="0.25">
      <c r="N382" s="150"/>
    </row>
    <row r="383" spans="14:14" x14ac:dyDescent="0.25">
      <c r="N383" s="150"/>
    </row>
    <row r="384" spans="14:14" x14ac:dyDescent="0.25">
      <c r="N384" s="150"/>
    </row>
    <row r="385" spans="14:14" x14ac:dyDescent="0.25">
      <c r="N385" s="150"/>
    </row>
    <row r="386" spans="14:14" x14ac:dyDescent="0.25">
      <c r="N386" s="150"/>
    </row>
    <row r="387" spans="14:14" x14ac:dyDescent="0.25">
      <c r="N387" s="150"/>
    </row>
    <row r="388" spans="14:14" x14ac:dyDescent="0.25">
      <c r="N388" s="150"/>
    </row>
    <row r="389" spans="14:14" x14ac:dyDescent="0.25">
      <c r="N389" s="150"/>
    </row>
    <row r="390" spans="14:14" x14ac:dyDescent="0.25">
      <c r="N390" s="150"/>
    </row>
    <row r="391" spans="14:14" x14ac:dyDescent="0.25">
      <c r="N391" s="150"/>
    </row>
    <row r="392" spans="14:14" x14ac:dyDescent="0.25">
      <c r="N392" s="150"/>
    </row>
    <row r="393" spans="14:14" x14ac:dyDescent="0.25">
      <c r="N393" s="150"/>
    </row>
    <row r="394" spans="14:14" x14ac:dyDescent="0.25">
      <c r="N394" s="150"/>
    </row>
    <row r="395" spans="14:14" x14ac:dyDescent="0.25">
      <c r="N395" s="150"/>
    </row>
    <row r="396" spans="14:14" x14ac:dyDescent="0.25">
      <c r="N396" s="150"/>
    </row>
    <row r="397" spans="14:14" x14ac:dyDescent="0.25">
      <c r="N397" s="150"/>
    </row>
    <row r="398" spans="14:14" x14ac:dyDescent="0.25">
      <c r="N398" s="150"/>
    </row>
    <row r="399" spans="14:14" x14ac:dyDescent="0.25">
      <c r="N399" s="150"/>
    </row>
    <row r="400" spans="14:14" x14ac:dyDescent="0.25">
      <c r="N400" s="150"/>
    </row>
    <row r="401" spans="14:14" x14ac:dyDescent="0.25">
      <c r="N401" s="150"/>
    </row>
    <row r="402" spans="14:14" x14ac:dyDescent="0.25">
      <c r="N402" s="150"/>
    </row>
    <row r="403" spans="14:14" x14ac:dyDescent="0.25">
      <c r="N403" s="150"/>
    </row>
    <row r="404" spans="14:14" x14ac:dyDescent="0.25">
      <c r="N404" s="150"/>
    </row>
    <row r="405" spans="14:14" x14ac:dyDescent="0.25">
      <c r="N405" s="150"/>
    </row>
    <row r="406" spans="14:14" x14ac:dyDescent="0.25">
      <c r="N406" s="150"/>
    </row>
    <row r="407" spans="14:14" x14ac:dyDescent="0.25">
      <c r="N407" s="150"/>
    </row>
    <row r="408" spans="14:14" x14ac:dyDescent="0.25">
      <c r="N408" s="150"/>
    </row>
    <row r="409" spans="14:14" x14ac:dyDescent="0.25">
      <c r="N409" s="150"/>
    </row>
    <row r="410" spans="14:14" x14ac:dyDescent="0.25">
      <c r="N410" s="150"/>
    </row>
    <row r="411" spans="14:14" x14ac:dyDescent="0.25">
      <c r="N411" s="150"/>
    </row>
    <row r="412" spans="14:14" x14ac:dyDescent="0.25">
      <c r="N412" s="150"/>
    </row>
    <row r="413" spans="14:14" x14ac:dyDescent="0.25">
      <c r="N413" s="150"/>
    </row>
    <row r="414" spans="14:14" x14ac:dyDescent="0.25">
      <c r="N414" s="150"/>
    </row>
    <row r="415" spans="14:14" x14ac:dyDescent="0.25">
      <c r="N415" s="150"/>
    </row>
    <row r="416" spans="14:14" x14ac:dyDescent="0.25">
      <c r="N416" s="150"/>
    </row>
    <row r="417" spans="14:14" x14ac:dyDescent="0.25">
      <c r="N417" s="150"/>
    </row>
    <row r="418" spans="14:14" x14ac:dyDescent="0.25">
      <c r="N418" s="150"/>
    </row>
    <row r="419" spans="14:14" x14ac:dyDescent="0.25">
      <c r="N419" s="150"/>
    </row>
    <row r="420" spans="14:14" x14ac:dyDescent="0.25">
      <c r="N420" s="150"/>
    </row>
    <row r="421" spans="14:14" x14ac:dyDescent="0.25">
      <c r="N421" s="150"/>
    </row>
    <row r="422" spans="14:14" x14ac:dyDescent="0.25">
      <c r="N422" s="150"/>
    </row>
    <row r="423" spans="14:14" x14ac:dyDescent="0.25">
      <c r="N423" s="150"/>
    </row>
    <row r="424" spans="14:14" x14ac:dyDescent="0.25">
      <c r="N424" s="150"/>
    </row>
    <row r="425" spans="14:14" x14ac:dyDescent="0.25">
      <c r="N425" s="150"/>
    </row>
    <row r="426" spans="14:14" x14ac:dyDescent="0.25">
      <c r="N426" s="150"/>
    </row>
    <row r="427" spans="14:14" x14ac:dyDescent="0.25">
      <c r="N427" s="150"/>
    </row>
    <row r="428" spans="14:14" x14ac:dyDescent="0.25">
      <c r="N428" s="150"/>
    </row>
    <row r="429" spans="14:14" x14ac:dyDescent="0.25">
      <c r="N429" s="150"/>
    </row>
    <row r="430" spans="14:14" x14ac:dyDescent="0.25">
      <c r="N430" s="150"/>
    </row>
    <row r="431" spans="14:14" x14ac:dyDescent="0.25">
      <c r="N431" s="150"/>
    </row>
    <row r="432" spans="14:14" x14ac:dyDescent="0.25">
      <c r="N432" s="150"/>
    </row>
    <row r="433" spans="14:14" x14ac:dyDescent="0.25">
      <c r="N433" s="150"/>
    </row>
    <row r="434" spans="14:14" x14ac:dyDescent="0.25">
      <c r="N434" s="150"/>
    </row>
    <row r="435" spans="14:14" x14ac:dyDescent="0.25">
      <c r="N435" s="150"/>
    </row>
    <row r="436" spans="14:14" x14ac:dyDescent="0.25">
      <c r="N436" s="150"/>
    </row>
    <row r="437" spans="14:14" x14ac:dyDescent="0.25">
      <c r="N437" s="150"/>
    </row>
    <row r="438" spans="14:14" x14ac:dyDescent="0.25">
      <c r="N438" s="150"/>
    </row>
    <row r="439" spans="14:14" x14ac:dyDescent="0.25">
      <c r="N439" s="150"/>
    </row>
    <row r="440" spans="14:14" x14ac:dyDescent="0.25">
      <c r="N440" s="150"/>
    </row>
    <row r="441" spans="14:14" x14ac:dyDescent="0.25">
      <c r="N441" s="150"/>
    </row>
    <row r="442" spans="14:14" x14ac:dyDescent="0.25">
      <c r="N442" s="150"/>
    </row>
    <row r="443" spans="14:14" x14ac:dyDescent="0.25">
      <c r="N443" s="150"/>
    </row>
    <row r="444" spans="14:14" x14ac:dyDescent="0.25">
      <c r="N444" s="150"/>
    </row>
    <row r="445" spans="14:14" x14ac:dyDescent="0.25">
      <c r="N445" s="150"/>
    </row>
    <row r="446" spans="14:14" x14ac:dyDescent="0.25">
      <c r="N446" s="150"/>
    </row>
    <row r="447" spans="14:14" x14ac:dyDescent="0.25">
      <c r="N447" s="150"/>
    </row>
    <row r="448" spans="14:14" x14ac:dyDescent="0.25">
      <c r="N448" s="150"/>
    </row>
    <row r="449" spans="14:14" x14ac:dyDescent="0.25">
      <c r="N449" s="150"/>
    </row>
    <row r="450" spans="14:14" x14ac:dyDescent="0.25">
      <c r="N450" s="150"/>
    </row>
    <row r="451" spans="14:14" x14ac:dyDescent="0.25">
      <c r="N451" s="150"/>
    </row>
    <row r="452" spans="14:14" x14ac:dyDescent="0.25">
      <c r="N452" s="150"/>
    </row>
    <row r="453" spans="14:14" x14ac:dyDescent="0.25">
      <c r="N453" s="150"/>
    </row>
    <row r="454" spans="14:14" x14ac:dyDescent="0.25">
      <c r="N454" s="150"/>
    </row>
    <row r="455" spans="14:14" x14ac:dyDescent="0.25">
      <c r="N455" s="150"/>
    </row>
    <row r="456" spans="14:14" x14ac:dyDescent="0.25">
      <c r="N456" s="150"/>
    </row>
    <row r="457" spans="14:14" x14ac:dyDescent="0.25">
      <c r="N457" s="150"/>
    </row>
    <row r="458" spans="14:14" x14ac:dyDescent="0.25">
      <c r="N458" s="150"/>
    </row>
    <row r="459" spans="14:14" x14ac:dyDescent="0.25">
      <c r="N459" s="150"/>
    </row>
    <row r="460" spans="14:14" x14ac:dyDescent="0.25">
      <c r="N460" s="150"/>
    </row>
    <row r="461" spans="14:14" x14ac:dyDescent="0.25">
      <c r="N461" s="150"/>
    </row>
    <row r="462" spans="14:14" x14ac:dyDescent="0.25">
      <c r="N462" s="150"/>
    </row>
    <row r="463" spans="14:14" x14ac:dyDescent="0.25">
      <c r="N463" s="150"/>
    </row>
    <row r="464" spans="14:14" x14ac:dyDescent="0.25">
      <c r="N464" s="150"/>
    </row>
    <row r="465" spans="14:14" x14ac:dyDescent="0.25">
      <c r="N465" s="150"/>
    </row>
    <row r="466" spans="14:14" x14ac:dyDescent="0.25">
      <c r="N466" s="150"/>
    </row>
    <row r="467" spans="14:14" x14ac:dyDescent="0.25">
      <c r="N467" s="150"/>
    </row>
    <row r="468" spans="14:14" x14ac:dyDescent="0.25">
      <c r="N468" s="150"/>
    </row>
    <row r="469" spans="14:14" x14ac:dyDescent="0.25">
      <c r="N469" s="150"/>
    </row>
    <row r="470" spans="14:14" x14ac:dyDescent="0.25">
      <c r="N470" s="150"/>
    </row>
    <row r="471" spans="14:14" x14ac:dyDescent="0.25">
      <c r="N471" s="150"/>
    </row>
    <row r="472" spans="14:14" x14ac:dyDescent="0.25">
      <c r="N472" s="150"/>
    </row>
    <row r="473" spans="14:14" x14ac:dyDescent="0.25">
      <c r="N473" s="150"/>
    </row>
    <row r="474" spans="14:14" x14ac:dyDescent="0.25">
      <c r="N474" s="150"/>
    </row>
    <row r="475" spans="14:14" x14ac:dyDescent="0.25">
      <c r="N475" s="150"/>
    </row>
    <row r="476" spans="14:14" x14ac:dyDescent="0.25">
      <c r="N476" s="150"/>
    </row>
    <row r="477" spans="14:14" x14ac:dyDescent="0.25">
      <c r="N477" s="150"/>
    </row>
    <row r="478" spans="14:14" x14ac:dyDescent="0.25">
      <c r="N478" s="150"/>
    </row>
    <row r="479" spans="14:14" x14ac:dyDescent="0.25">
      <c r="N479" s="150"/>
    </row>
    <row r="480" spans="14:14" x14ac:dyDescent="0.25">
      <c r="N480" s="150"/>
    </row>
    <row r="481" spans="14:14" x14ac:dyDescent="0.25">
      <c r="N481" s="150"/>
    </row>
    <row r="482" spans="14:14" x14ac:dyDescent="0.25">
      <c r="N482" s="150"/>
    </row>
    <row r="483" spans="14:14" x14ac:dyDescent="0.25">
      <c r="N483" s="150"/>
    </row>
    <row r="484" spans="14:14" x14ac:dyDescent="0.25">
      <c r="N484" s="150"/>
    </row>
    <row r="485" spans="14:14" x14ac:dyDescent="0.25">
      <c r="N485" s="150"/>
    </row>
    <row r="486" spans="14:14" x14ac:dyDescent="0.25">
      <c r="N486" s="150"/>
    </row>
    <row r="487" spans="14:14" x14ac:dyDescent="0.25">
      <c r="N487" s="150"/>
    </row>
    <row r="488" spans="14:14" x14ac:dyDescent="0.25">
      <c r="N488" s="150"/>
    </row>
    <row r="489" spans="14:14" x14ac:dyDescent="0.25">
      <c r="N489" s="150"/>
    </row>
    <row r="490" spans="14:14" x14ac:dyDescent="0.25">
      <c r="N490" s="150"/>
    </row>
    <row r="491" spans="14:14" x14ac:dyDescent="0.25">
      <c r="N491" s="150"/>
    </row>
    <row r="492" spans="14:14" x14ac:dyDescent="0.25">
      <c r="N492" s="150"/>
    </row>
    <row r="493" spans="14:14" x14ac:dyDescent="0.25">
      <c r="N493" s="150"/>
    </row>
    <row r="494" spans="14:14" x14ac:dyDescent="0.25">
      <c r="N494" s="150"/>
    </row>
    <row r="495" spans="14:14" x14ac:dyDescent="0.25">
      <c r="N495" s="150"/>
    </row>
    <row r="496" spans="14:14" x14ac:dyDescent="0.25">
      <c r="N496" s="150"/>
    </row>
    <row r="497" spans="14:14" x14ac:dyDescent="0.25">
      <c r="N497" s="150"/>
    </row>
    <row r="498" spans="14:14" x14ac:dyDescent="0.25">
      <c r="N498" s="150"/>
    </row>
    <row r="499" spans="14:14" x14ac:dyDescent="0.25">
      <c r="N499" s="150"/>
    </row>
    <row r="500" spans="14:14" x14ac:dyDescent="0.25">
      <c r="N500" s="150"/>
    </row>
    <row r="501" spans="14:14" x14ac:dyDescent="0.25">
      <c r="N501" s="150"/>
    </row>
    <row r="502" spans="14:14" x14ac:dyDescent="0.25">
      <c r="N502" s="150"/>
    </row>
    <row r="503" spans="14:14" x14ac:dyDescent="0.25">
      <c r="N503" s="150"/>
    </row>
    <row r="504" spans="14:14" x14ac:dyDescent="0.25">
      <c r="N504" s="150"/>
    </row>
    <row r="505" spans="14:14" x14ac:dyDescent="0.25">
      <c r="N505" s="150"/>
    </row>
    <row r="506" spans="14:14" x14ac:dyDescent="0.25">
      <c r="N506" s="150"/>
    </row>
    <row r="507" spans="14:14" x14ac:dyDescent="0.25">
      <c r="N507" s="150"/>
    </row>
    <row r="508" spans="14:14" x14ac:dyDescent="0.25">
      <c r="N508" s="150"/>
    </row>
    <row r="509" spans="14:14" x14ac:dyDescent="0.25">
      <c r="N509" s="150"/>
    </row>
    <row r="510" spans="14:14" x14ac:dyDescent="0.25">
      <c r="N510" s="150"/>
    </row>
    <row r="511" spans="14:14" x14ac:dyDescent="0.25">
      <c r="N511" s="150"/>
    </row>
    <row r="512" spans="14:14" x14ac:dyDescent="0.25">
      <c r="N512" s="150"/>
    </row>
    <row r="513" spans="14:14" x14ac:dyDescent="0.25">
      <c r="N513" s="150"/>
    </row>
    <row r="514" spans="14:14" x14ac:dyDescent="0.25">
      <c r="N514" s="150"/>
    </row>
    <row r="515" spans="14:14" x14ac:dyDescent="0.25">
      <c r="N515" s="150"/>
    </row>
    <row r="516" spans="14:14" x14ac:dyDescent="0.25">
      <c r="N516" s="150"/>
    </row>
    <row r="517" spans="14:14" x14ac:dyDescent="0.25">
      <c r="N517" s="150"/>
    </row>
    <row r="518" spans="14:14" x14ac:dyDescent="0.25">
      <c r="N518" s="150"/>
    </row>
    <row r="519" spans="14:14" x14ac:dyDescent="0.25">
      <c r="N519" s="150"/>
    </row>
    <row r="520" spans="14:14" x14ac:dyDescent="0.25">
      <c r="N520" s="150"/>
    </row>
    <row r="521" spans="14:14" x14ac:dyDescent="0.25">
      <c r="N521" s="150"/>
    </row>
    <row r="522" spans="14:14" x14ac:dyDescent="0.25">
      <c r="N522" s="150"/>
    </row>
    <row r="523" spans="14:14" x14ac:dyDescent="0.25">
      <c r="N523" s="150"/>
    </row>
    <row r="524" spans="14:14" x14ac:dyDescent="0.25">
      <c r="N524" s="150"/>
    </row>
    <row r="525" spans="14:14" x14ac:dyDescent="0.25">
      <c r="N525" s="150"/>
    </row>
    <row r="526" spans="14:14" x14ac:dyDescent="0.25">
      <c r="N526" s="150"/>
    </row>
    <row r="527" spans="14:14" x14ac:dyDescent="0.25">
      <c r="N527" s="150"/>
    </row>
    <row r="528" spans="14:14" x14ac:dyDescent="0.25">
      <c r="N528" s="150"/>
    </row>
    <row r="529" spans="14:14" x14ac:dyDescent="0.25">
      <c r="N529" s="150"/>
    </row>
    <row r="530" spans="14:14" x14ac:dyDescent="0.25">
      <c r="N530" s="150"/>
    </row>
    <row r="531" spans="14:14" x14ac:dyDescent="0.25">
      <c r="N531" s="150"/>
    </row>
    <row r="532" spans="14:14" x14ac:dyDescent="0.25">
      <c r="N532" s="150"/>
    </row>
    <row r="533" spans="14:14" x14ac:dyDescent="0.25">
      <c r="N533" s="150"/>
    </row>
    <row r="534" spans="14:14" x14ac:dyDescent="0.25">
      <c r="N534" s="150"/>
    </row>
    <row r="535" spans="14:14" x14ac:dyDescent="0.25">
      <c r="N535" s="150"/>
    </row>
    <row r="536" spans="14:14" x14ac:dyDescent="0.25">
      <c r="N536" s="150"/>
    </row>
    <row r="537" spans="14:14" x14ac:dyDescent="0.25">
      <c r="N537" s="150"/>
    </row>
    <row r="538" spans="14:14" x14ac:dyDescent="0.25">
      <c r="N538" s="150"/>
    </row>
    <row r="539" spans="14:14" x14ac:dyDescent="0.25">
      <c r="N539" s="150"/>
    </row>
    <row r="540" spans="14:14" x14ac:dyDescent="0.25">
      <c r="N540" s="150"/>
    </row>
    <row r="541" spans="14:14" x14ac:dyDescent="0.25">
      <c r="N541" s="150"/>
    </row>
    <row r="542" spans="14:14" x14ac:dyDescent="0.25">
      <c r="N542" s="150"/>
    </row>
    <row r="543" spans="14:14" x14ac:dyDescent="0.25">
      <c r="N543" s="150"/>
    </row>
    <row r="544" spans="14:14" x14ac:dyDescent="0.25">
      <c r="N544" s="150"/>
    </row>
    <row r="545" spans="14:14" x14ac:dyDescent="0.25">
      <c r="N545" s="150"/>
    </row>
    <row r="546" spans="14:14" x14ac:dyDescent="0.25">
      <c r="N546" s="150"/>
    </row>
    <row r="547" spans="14:14" x14ac:dyDescent="0.25">
      <c r="N547" s="150"/>
    </row>
    <row r="548" spans="14:14" x14ac:dyDescent="0.25">
      <c r="N548" s="150"/>
    </row>
    <row r="549" spans="14:14" x14ac:dyDescent="0.25">
      <c r="N549" s="150"/>
    </row>
    <row r="550" spans="14:14" x14ac:dyDescent="0.25">
      <c r="N550" s="150"/>
    </row>
    <row r="551" spans="14:14" x14ac:dyDescent="0.25">
      <c r="N551" s="150"/>
    </row>
    <row r="552" spans="14:14" x14ac:dyDescent="0.25">
      <c r="N552" s="150"/>
    </row>
    <row r="553" spans="14:14" x14ac:dyDescent="0.25">
      <c r="N553" s="150"/>
    </row>
    <row r="554" spans="14:14" x14ac:dyDescent="0.25">
      <c r="N554" s="150"/>
    </row>
    <row r="555" spans="14:14" x14ac:dyDescent="0.25">
      <c r="N555" s="150"/>
    </row>
    <row r="556" spans="14:14" x14ac:dyDescent="0.25">
      <c r="N556" s="150"/>
    </row>
    <row r="557" spans="14:14" x14ac:dyDescent="0.25">
      <c r="N557" s="150"/>
    </row>
    <row r="558" spans="14:14" x14ac:dyDescent="0.25">
      <c r="N558" s="150"/>
    </row>
    <row r="559" spans="14:14" x14ac:dyDescent="0.25">
      <c r="N559" s="150"/>
    </row>
    <row r="560" spans="14:14" x14ac:dyDescent="0.25">
      <c r="N560" s="150"/>
    </row>
    <row r="561" spans="14:14" x14ac:dyDescent="0.25">
      <c r="N561" s="150"/>
    </row>
    <row r="562" spans="14:14" x14ac:dyDescent="0.25">
      <c r="N562" s="150"/>
    </row>
    <row r="563" spans="14:14" x14ac:dyDescent="0.25">
      <c r="N563" s="150"/>
    </row>
    <row r="564" spans="14:14" x14ac:dyDescent="0.25">
      <c r="N564" s="150"/>
    </row>
    <row r="565" spans="14:14" x14ac:dyDescent="0.25">
      <c r="N565" s="150"/>
    </row>
    <row r="566" spans="14:14" x14ac:dyDescent="0.25">
      <c r="N566" s="150"/>
    </row>
    <row r="567" spans="14:14" x14ac:dyDescent="0.25">
      <c r="N567" s="150"/>
    </row>
    <row r="568" spans="14:14" x14ac:dyDescent="0.25">
      <c r="N568" s="150"/>
    </row>
  </sheetData>
  <mergeCells count="1">
    <mergeCell ref="F1:H1"/>
  </mergeCells>
  <pageMargins left="0.75" right="0.75" top="1" bottom="1" header="0.5" footer="0.5"/>
  <pageSetup orientation="portrait" horizontalDpi="4294967292" verticalDpi="4294967292"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905"/>
  <sheetViews>
    <sheetView workbookViewId="0">
      <pane ySplit="4" topLeftCell="A5" activePane="bottomLeft" state="frozen"/>
      <selection pane="bottomLeft" activeCell="X13" sqref="X13"/>
    </sheetView>
  </sheetViews>
  <sheetFormatPr defaultColWidth="11" defaultRowHeight="15.75" x14ac:dyDescent="0.25"/>
  <cols>
    <col min="1" max="1" width="33.375" customWidth="1"/>
    <col min="2" max="9" width="14.125" bestFit="1" customWidth="1"/>
    <col min="10" max="10" width="14.375" bestFit="1" customWidth="1"/>
    <col min="11" max="11" width="13.875" style="278" customWidth="1"/>
    <col min="12" max="12" width="13.875" customWidth="1"/>
    <col min="13" max="13" width="14.375" hidden="1" customWidth="1"/>
    <col min="14" max="14" width="13.875" style="124" customWidth="1"/>
  </cols>
  <sheetData>
    <row r="1" spans="1:14" ht="18.75" x14ac:dyDescent="0.3">
      <c r="A1" s="36" t="s">
        <v>135</v>
      </c>
      <c r="B1" s="63"/>
      <c r="F1" s="1020" t="s">
        <v>154</v>
      </c>
      <c r="G1" s="1020"/>
      <c r="H1" s="1020"/>
      <c r="J1" s="148"/>
      <c r="K1" s="295"/>
      <c r="L1" s="148"/>
      <c r="M1" s="148"/>
    </row>
    <row r="2" spans="1:14" x14ac:dyDescent="0.25">
      <c r="A2" s="2"/>
      <c r="B2" s="2"/>
      <c r="C2" s="2"/>
      <c r="D2" s="2"/>
      <c r="E2" s="2"/>
      <c r="F2" s="2"/>
      <c r="G2" s="2"/>
      <c r="H2" s="2"/>
      <c r="I2" s="2"/>
      <c r="J2" s="149"/>
      <c r="K2" s="195"/>
      <c r="L2" s="149"/>
      <c r="M2" s="149"/>
    </row>
    <row r="3" spans="1:14" x14ac:dyDescent="0.25">
      <c r="A3" s="2"/>
      <c r="B3" s="435" t="s">
        <v>58</v>
      </c>
      <c r="C3" s="366" t="s">
        <v>58</v>
      </c>
      <c r="D3" s="366" t="s">
        <v>58</v>
      </c>
      <c r="E3" s="366" t="s">
        <v>58</v>
      </c>
      <c r="F3" s="366" t="s">
        <v>58</v>
      </c>
      <c r="G3" s="366" t="s">
        <v>58</v>
      </c>
      <c r="H3" s="366" t="s">
        <v>58</v>
      </c>
      <c r="I3" s="366" t="s">
        <v>58</v>
      </c>
      <c r="J3" s="436" t="s">
        <v>58</v>
      </c>
      <c r="K3" s="366" t="s">
        <v>58</v>
      </c>
      <c r="L3" s="441" t="s">
        <v>58</v>
      </c>
      <c r="M3" s="366" t="s">
        <v>58</v>
      </c>
    </row>
    <row r="4" spans="1:14" x14ac:dyDescent="0.25">
      <c r="A4" s="2"/>
      <c r="B4" s="437" t="s">
        <v>55</v>
      </c>
      <c r="C4" s="67" t="s">
        <v>55</v>
      </c>
      <c r="D4" s="67" t="s">
        <v>55</v>
      </c>
      <c r="E4" s="67" t="s">
        <v>55</v>
      </c>
      <c r="F4" s="67" t="s">
        <v>55</v>
      </c>
      <c r="G4" s="67" t="s">
        <v>55</v>
      </c>
      <c r="H4" s="67" t="s">
        <v>55</v>
      </c>
      <c r="I4" s="67" t="s">
        <v>55</v>
      </c>
      <c r="J4" s="438" t="s">
        <v>55</v>
      </c>
      <c r="K4" s="67" t="s">
        <v>151</v>
      </c>
      <c r="L4" s="442" t="s">
        <v>56</v>
      </c>
      <c r="M4" s="67" t="s">
        <v>253</v>
      </c>
    </row>
    <row r="5" spans="1:14" ht="19.5" thickBot="1" x14ac:dyDescent="0.35">
      <c r="A5" s="351"/>
      <c r="B5" s="439">
        <v>2009</v>
      </c>
      <c r="C5" s="46">
        <v>2010</v>
      </c>
      <c r="D5" s="46">
        <v>2011</v>
      </c>
      <c r="E5" s="46">
        <v>2012</v>
      </c>
      <c r="F5" s="46">
        <v>2013</v>
      </c>
      <c r="G5" s="46">
        <v>2014</v>
      </c>
      <c r="H5" s="46">
        <v>2015</v>
      </c>
      <c r="I5" s="46">
        <v>2016</v>
      </c>
      <c r="J5" s="440">
        <v>2017</v>
      </c>
      <c r="K5" s="46">
        <v>2018</v>
      </c>
      <c r="L5" s="456">
        <v>2019</v>
      </c>
      <c r="M5" s="46">
        <v>2018</v>
      </c>
    </row>
    <row r="6" spans="1:14" s="278" customFormat="1" ht="18.75" x14ac:dyDescent="0.3">
      <c r="A6" s="850" t="s">
        <v>333</v>
      </c>
      <c r="B6" s="378"/>
      <c r="C6" s="371"/>
      <c r="D6" s="371"/>
      <c r="E6" s="371"/>
      <c r="F6" s="371"/>
      <c r="G6" s="371"/>
      <c r="H6" s="371"/>
      <c r="I6" s="371"/>
      <c r="J6" s="379"/>
      <c r="K6" s="463"/>
      <c r="L6" s="464"/>
      <c r="M6" s="463"/>
      <c r="N6" s="126"/>
    </row>
    <row r="7" spans="1:14" x14ac:dyDescent="0.25">
      <c r="A7" s="851" t="s">
        <v>92</v>
      </c>
      <c r="B7" s="380">
        <v>10000</v>
      </c>
      <c r="C7" s="315">
        <v>0</v>
      </c>
      <c r="D7" s="315">
        <v>0</v>
      </c>
      <c r="E7" s="315">
        <v>0</v>
      </c>
      <c r="F7" s="315">
        <v>0</v>
      </c>
      <c r="G7" s="315">
        <f>709+5000+413535</f>
        <v>419244</v>
      </c>
      <c r="H7" s="315">
        <f>-503+186+365731</f>
        <v>365414</v>
      </c>
      <c r="I7" s="315">
        <f>-206+448621</f>
        <v>448415</v>
      </c>
      <c r="J7" s="381">
        <v>924177</v>
      </c>
      <c r="K7" s="315">
        <v>1209541</v>
      </c>
      <c r="L7" s="372">
        <v>34000</v>
      </c>
      <c r="M7" s="315">
        <v>1209541</v>
      </c>
      <c r="N7" s="121"/>
    </row>
    <row r="8" spans="1:14" x14ac:dyDescent="0.25">
      <c r="A8" s="852" t="s">
        <v>88</v>
      </c>
      <c r="B8" s="380">
        <v>0</v>
      </c>
      <c r="C8" s="315">
        <v>0</v>
      </c>
      <c r="D8" s="315">
        <v>0</v>
      </c>
      <c r="E8" s="315">
        <v>0</v>
      </c>
      <c r="F8" s="315">
        <v>0</v>
      </c>
      <c r="G8" s="315">
        <v>0</v>
      </c>
      <c r="H8" s="315">
        <v>0</v>
      </c>
      <c r="I8" s="315">
        <v>0</v>
      </c>
      <c r="J8" s="381">
        <v>0</v>
      </c>
      <c r="K8" s="315">
        <v>0</v>
      </c>
      <c r="L8" s="372">
        <v>0</v>
      </c>
      <c r="M8" s="315">
        <v>0</v>
      </c>
      <c r="N8" s="121"/>
    </row>
    <row r="9" spans="1:14" x14ac:dyDescent="0.25">
      <c r="A9" s="853" t="s">
        <v>93</v>
      </c>
      <c r="B9" s="380">
        <v>0</v>
      </c>
      <c r="C9" s="315">
        <v>0</v>
      </c>
      <c r="D9" s="315">
        <v>0</v>
      </c>
      <c r="E9" s="315">
        <v>0</v>
      </c>
      <c r="F9" s="315">
        <v>0</v>
      </c>
      <c r="G9" s="315">
        <v>0</v>
      </c>
      <c r="H9" s="315">
        <v>0</v>
      </c>
      <c r="I9" s="315">
        <v>0</v>
      </c>
      <c r="J9" s="381">
        <v>0</v>
      </c>
      <c r="K9" s="315">
        <v>0</v>
      </c>
      <c r="L9" s="372">
        <v>0</v>
      </c>
      <c r="M9" s="315">
        <v>0</v>
      </c>
      <c r="N9" s="121"/>
    </row>
    <row r="10" spans="1:14" x14ac:dyDescent="0.25">
      <c r="A10" s="854" t="s">
        <v>78</v>
      </c>
      <c r="B10" s="380">
        <v>0</v>
      </c>
      <c r="C10" s="315">
        <v>0</v>
      </c>
      <c r="D10" s="315">
        <v>0</v>
      </c>
      <c r="E10" s="315">
        <v>0</v>
      </c>
      <c r="F10" s="315">
        <v>0</v>
      </c>
      <c r="G10" s="315">
        <v>0</v>
      </c>
      <c r="H10" s="315">
        <v>0</v>
      </c>
      <c r="I10" s="315">
        <v>0</v>
      </c>
      <c r="J10" s="381">
        <v>0</v>
      </c>
      <c r="K10" s="315">
        <v>0</v>
      </c>
      <c r="L10" s="372">
        <v>0</v>
      </c>
      <c r="M10" s="315">
        <v>0</v>
      </c>
      <c r="N10" s="121"/>
    </row>
    <row r="11" spans="1:14" ht="16.5" thickBot="1" x14ac:dyDescent="0.3">
      <c r="A11" s="856"/>
      <c r="B11" s="382"/>
      <c r="C11" s="369"/>
      <c r="D11" s="369"/>
      <c r="E11" s="369"/>
      <c r="F11" s="369"/>
      <c r="G11" s="369"/>
      <c r="H11" s="369"/>
      <c r="I11" s="369"/>
      <c r="J11" s="383"/>
      <c r="K11" s="369"/>
      <c r="L11" s="373"/>
      <c r="M11" s="369"/>
      <c r="N11" s="121"/>
    </row>
    <row r="12" spans="1:14" ht="17.25" thickTop="1" thickBot="1" x14ac:dyDescent="0.3">
      <c r="A12" s="896" t="s">
        <v>100</v>
      </c>
      <c r="B12" s="475">
        <f>SUM(B7:B11)</f>
        <v>10000</v>
      </c>
      <c r="C12" s="476">
        <f t="shared" ref="C12:L12" si="0">SUM(C7:C11)</f>
        <v>0</v>
      </c>
      <c r="D12" s="476">
        <f t="shared" si="0"/>
        <v>0</v>
      </c>
      <c r="E12" s="476">
        <f t="shared" si="0"/>
        <v>0</v>
      </c>
      <c r="F12" s="476">
        <f t="shared" si="0"/>
        <v>0</v>
      </c>
      <c r="G12" s="476">
        <f t="shared" si="0"/>
        <v>419244</v>
      </c>
      <c r="H12" s="476">
        <f t="shared" si="0"/>
        <v>365414</v>
      </c>
      <c r="I12" s="476">
        <f t="shared" si="0"/>
        <v>448415</v>
      </c>
      <c r="J12" s="477">
        <f t="shared" si="0"/>
        <v>924177</v>
      </c>
      <c r="K12" s="476">
        <f>SUM(K7:K11)</f>
        <v>1209541</v>
      </c>
      <c r="L12" s="478">
        <f t="shared" si="0"/>
        <v>34000</v>
      </c>
      <c r="M12" s="476">
        <f>SUM(M7:M11)</f>
        <v>1209541</v>
      </c>
      <c r="N12" s="126"/>
    </row>
    <row r="13" spans="1:14" x14ac:dyDescent="0.25">
      <c r="A13" s="875"/>
      <c r="B13" s="504"/>
      <c r="C13" s="317"/>
      <c r="D13" s="317"/>
      <c r="E13" s="317"/>
      <c r="F13" s="317"/>
      <c r="G13" s="317"/>
      <c r="H13" s="317"/>
      <c r="I13" s="317"/>
      <c r="J13" s="496"/>
      <c r="K13" s="317"/>
      <c r="L13" s="490"/>
      <c r="M13" s="317"/>
    </row>
    <row r="14" spans="1:14" ht="16.5" thickBot="1" x14ac:dyDescent="0.3">
      <c r="A14" s="874"/>
      <c r="B14" s="505"/>
      <c r="C14" s="311"/>
      <c r="D14" s="311"/>
      <c r="E14" s="311"/>
      <c r="F14" s="311"/>
      <c r="G14" s="311"/>
      <c r="H14" s="311"/>
      <c r="I14" s="311"/>
      <c r="J14" s="497"/>
      <c r="K14" s="311"/>
      <c r="L14" s="178"/>
      <c r="M14" s="311"/>
    </row>
    <row r="15" spans="1:14" ht="18.75" x14ac:dyDescent="0.3">
      <c r="A15" s="860" t="s">
        <v>332</v>
      </c>
      <c r="B15" s="521">
        <v>2009</v>
      </c>
      <c r="C15" s="522">
        <v>2010</v>
      </c>
      <c r="D15" s="522">
        <v>2011</v>
      </c>
      <c r="E15" s="522">
        <v>2012</v>
      </c>
      <c r="F15" s="522">
        <v>2013</v>
      </c>
      <c r="G15" s="522">
        <v>2014</v>
      </c>
      <c r="H15" s="522">
        <v>2015</v>
      </c>
      <c r="I15" s="522">
        <v>2016</v>
      </c>
      <c r="J15" s="523">
        <v>2017</v>
      </c>
      <c r="K15" s="522">
        <v>2018</v>
      </c>
      <c r="L15" s="524">
        <v>2019</v>
      </c>
      <c r="M15" s="520">
        <v>2018</v>
      </c>
      <c r="N15" s="535"/>
    </row>
    <row r="16" spans="1:14" x14ac:dyDescent="0.25">
      <c r="A16" s="851" t="s">
        <v>92</v>
      </c>
      <c r="B16" s="380">
        <f t="shared" ref="B16:L16" si="1">B36</f>
        <v>878014</v>
      </c>
      <c r="C16" s="315">
        <f t="shared" si="1"/>
        <v>843140</v>
      </c>
      <c r="D16" s="315">
        <f t="shared" si="1"/>
        <v>889490</v>
      </c>
      <c r="E16" s="315">
        <f t="shared" si="1"/>
        <v>894046</v>
      </c>
      <c r="F16" s="315">
        <f t="shared" si="1"/>
        <v>932189</v>
      </c>
      <c r="G16" s="315">
        <f t="shared" si="1"/>
        <v>929516</v>
      </c>
      <c r="H16" s="315">
        <f t="shared" si="1"/>
        <v>1000620</v>
      </c>
      <c r="I16" s="315">
        <f t="shared" si="1"/>
        <v>1093179</v>
      </c>
      <c r="J16" s="381">
        <f t="shared" si="1"/>
        <v>1244523</v>
      </c>
      <c r="K16" s="315">
        <f>K36</f>
        <v>1640631</v>
      </c>
      <c r="L16" s="372">
        <f t="shared" si="1"/>
        <v>1394549</v>
      </c>
      <c r="M16" s="381">
        <f>M36</f>
        <v>1640631</v>
      </c>
      <c r="N16" s="126"/>
    </row>
    <row r="17" spans="1:14" x14ac:dyDescent="0.25">
      <c r="A17" s="852" t="s">
        <v>88</v>
      </c>
      <c r="B17" s="380">
        <v>0</v>
      </c>
      <c r="C17" s="315">
        <v>0</v>
      </c>
      <c r="D17" s="315">
        <v>0</v>
      </c>
      <c r="E17" s="315">
        <v>0</v>
      </c>
      <c r="F17" s="315">
        <v>0</v>
      </c>
      <c r="G17" s="315">
        <v>0</v>
      </c>
      <c r="H17" s="315">
        <v>0</v>
      </c>
      <c r="I17" s="315">
        <v>0</v>
      </c>
      <c r="J17" s="381">
        <v>0</v>
      </c>
      <c r="K17" s="315">
        <v>0</v>
      </c>
      <c r="L17" s="372">
        <v>0</v>
      </c>
      <c r="M17" s="381">
        <v>0</v>
      </c>
      <c r="N17" s="127"/>
    </row>
    <row r="18" spans="1:14" x14ac:dyDescent="0.25">
      <c r="A18" s="853" t="s">
        <v>93</v>
      </c>
      <c r="B18" s="380">
        <v>0</v>
      </c>
      <c r="C18" s="315">
        <v>0</v>
      </c>
      <c r="D18" s="315">
        <v>0</v>
      </c>
      <c r="E18" s="315">
        <v>0</v>
      </c>
      <c r="F18" s="315">
        <v>0</v>
      </c>
      <c r="G18" s="315">
        <v>0</v>
      </c>
      <c r="H18" s="315">
        <v>0</v>
      </c>
      <c r="I18" s="315">
        <v>0</v>
      </c>
      <c r="J18" s="381">
        <v>0</v>
      </c>
      <c r="K18" s="315">
        <v>0</v>
      </c>
      <c r="L18" s="372">
        <v>0</v>
      </c>
      <c r="M18" s="381">
        <v>0</v>
      </c>
    </row>
    <row r="19" spans="1:14" x14ac:dyDescent="0.25">
      <c r="A19" s="854" t="s">
        <v>78</v>
      </c>
      <c r="B19" s="380">
        <v>0</v>
      </c>
      <c r="C19" s="315">
        <v>0</v>
      </c>
      <c r="D19" s="315">
        <v>0</v>
      </c>
      <c r="E19" s="315">
        <v>0</v>
      </c>
      <c r="F19" s="315">
        <v>0</v>
      </c>
      <c r="G19" s="315">
        <v>0</v>
      </c>
      <c r="H19" s="315">
        <v>0</v>
      </c>
      <c r="I19" s="315">
        <v>0</v>
      </c>
      <c r="J19" s="381">
        <v>0</v>
      </c>
      <c r="K19" s="315">
        <v>0</v>
      </c>
      <c r="L19" s="372">
        <v>0</v>
      </c>
      <c r="M19" s="381"/>
    </row>
    <row r="20" spans="1:14" ht="16.5" thickBot="1" x14ac:dyDescent="0.3">
      <c r="A20" s="907"/>
      <c r="B20" s="382"/>
      <c r="C20" s="369"/>
      <c r="D20" s="369"/>
      <c r="E20" s="369"/>
      <c r="F20" s="369"/>
      <c r="G20" s="369"/>
      <c r="H20" s="369"/>
      <c r="I20" s="369"/>
      <c r="J20" s="383"/>
      <c r="K20" s="369"/>
      <c r="L20" s="373"/>
      <c r="M20" s="383">
        <v>0</v>
      </c>
      <c r="N20" s="488"/>
    </row>
    <row r="21" spans="1:14" ht="17.25" thickTop="1" thickBot="1" x14ac:dyDescent="0.3">
      <c r="A21" s="896" t="s">
        <v>102</v>
      </c>
      <c r="B21" s="475">
        <f t="shared" ref="B21:L21" si="2">SUM(B16:B20)</f>
        <v>878014</v>
      </c>
      <c r="C21" s="476">
        <f t="shared" si="2"/>
        <v>843140</v>
      </c>
      <c r="D21" s="476">
        <f t="shared" si="2"/>
        <v>889490</v>
      </c>
      <c r="E21" s="476">
        <f t="shared" si="2"/>
        <v>894046</v>
      </c>
      <c r="F21" s="476">
        <f t="shared" si="2"/>
        <v>932189</v>
      </c>
      <c r="G21" s="476">
        <f t="shared" si="2"/>
        <v>929516</v>
      </c>
      <c r="H21" s="476">
        <f t="shared" si="2"/>
        <v>1000620</v>
      </c>
      <c r="I21" s="476">
        <f t="shared" si="2"/>
        <v>1093179</v>
      </c>
      <c r="J21" s="477">
        <f t="shared" si="2"/>
        <v>1244523</v>
      </c>
      <c r="K21" s="476">
        <f>SUM(K16:K20)</f>
        <v>1640631</v>
      </c>
      <c r="L21" s="478">
        <f t="shared" si="2"/>
        <v>1394549</v>
      </c>
      <c r="M21" s="433">
        <f>SUM(M16:M20)</f>
        <v>1640631</v>
      </c>
      <c r="N21" s="488"/>
    </row>
    <row r="22" spans="1:14" x14ac:dyDescent="0.25">
      <c r="A22" s="877"/>
      <c r="B22" s="408"/>
      <c r="C22" s="124"/>
      <c r="D22" s="124"/>
      <c r="E22" s="124"/>
      <c r="F22" s="124"/>
      <c r="G22" s="124"/>
      <c r="H22" s="124"/>
      <c r="I22" s="124"/>
      <c r="J22" s="410"/>
      <c r="K22" s="124"/>
      <c r="L22" s="449"/>
      <c r="M22" s="124"/>
    </row>
    <row r="23" spans="1:14" x14ac:dyDescent="0.25">
      <c r="A23" s="875"/>
      <c r="B23" s="392"/>
      <c r="J23" s="393"/>
      <c r="L23" s="163"/>
    </row>
    <row r="24" spans="1:14" x14ac:dyDescent="0.25">
      <c r="A24" s="875"/>
      <c r="B24" s="525">
        <v>2009</v>
      </c>
      <c r="C24" s="46">
        <v>2010</v>
      </c>
      <c r="D24" s="46">
        <v>2011</v>
      </c>
      <c r="E24" s="46">
        <v>2012</v>
      </c>
      <c r="F24" s="46">
        <v>2013</v>
      </c>
      <c r="G24" s="46">
        <v>2014</v>
      </c>
      <c r="H24" s="46">
        <v>2015</v>
      </c>
      <c r="I24" s="46">
        <v>2016</v>
      </c>
      <c r="J24" s="526">
        <v>2017</v>
      </c>
      <c r="K24" s="46">
        <v>2018</v>
      </c>
      <c r="L24" s="443">
        <v>2019</v>
      </c>
      <c r="M24" s="146">
        <v>2018</v>
      </c>
    </row>
    <row r="25" spans="1:14" x14ac:dyDescent="0.25">
      <c r="A25" s="851" t="s">
        <v>152</v>
      </c>
      <c r="B25" s="511">
        <f t="shared" ref="B25:M25" si="3">+B21/B49</f>
        <v>13.900984769323328</v>
      </c>
      <c r="C25" s="512">
        <f t="shared" si="3"/>
        <v>12.446340527294735</v>
      </c>
      <c r="D25" s="512">
        <f t="shared" si="3"/>
        <v>12.935966608978926</v>
      </c>
      <c r="E25" s="512">
        <f t="shared" si="3"/>
        <v>12.893468510693529</v>
      </c>
      <c r="F25" s="512">
        <f t="shared" si="3"/>
        <v>13.24696603666335</v>
      </c>
      <c r="G25" s="512">
        <f t="shared" si="3"/>
        <v>13.08679797823363</v>
      </c>
      <c r="H25" s="512">
        <f t="shared" si="3"/>
        <v>13.628711522745846</v>
      </c>
      <c r="I25" s="512">
        <f t="shared" si="3"/>
        <v>14.696229078443235</v>
      </c>
      <c r="J25" s="513">
        <f t="shared" si="3"/>
        <v>16.409849683544305</v>
      </c>
      <c r="K25" s="512">
        <f t="shared" si="3"/>
        <v>21.234643162227226</v>
      </c>
      <c r="L25" s="514">
        <f t="shared" si="3"/>
        <v>17.656989111167384</v>
      </c>
      <c r="M25" s="8">
        <f t="shared" si="3"/>
        <v>21.234643162227226</v>
      </c>
    </row>
    <row r="26" spans="1:14" x14ac:dyDescent="0.25">
      <c r="A26" s="878"/>
      <c r="B26" s="392"/>
      <c r="J26" s="393"/>
      <c r="L26" s="163"/>
    </row>
    <row r="27" spans="1:14" x14ac:dyDescent="0.25">
      <c r="A27" s="878"/>
      <c r="B27" s="525">
        <v>2009</v>
      </c>
      <c r="C27" s="46">
        <v>2010</v>
      </c>
      <c r="D27" s="46">
        <v>2011</v>
      </c>
      <c r="E27" s="46">
        <v>2012</v>
      </c>
      <c r="F27" s="46">
        <v>2013</v>
      </c>
      <c r="G27" s="46">
        <v>2014</v>
      </c>
      <c r="H27" s="46">
        <v>2015</v>
      </c>
      <c r="I27" s="46">
        <v>2016</v>
      </c>
      <c r="J27" s="526">
        <v>2017</v>
      </c>
      <c r="K27" s="46">
        <v>2018</v>
      </c>
      <c r="L27" s="443">
        <v>2019</v>
      </c>
      <c r="M27" s="146">
        <v>2018</v>
      </c>
    </row>
    <row r="28" spans="1:14" x14ac:dyDescent="0.25">
      <c r="A28" s="851" t="s">
        <v>130</v>
      </c>
      <c r="B28" s="511">
        <f t="shared" ref="B28:M28" si="4">+B21/B54</f>
        <v>125430.57142857143</v>
      </c>
      <c r="C28" s="512">
        <f t="shared" si="4"/>
        <v>124909.62962962964</v>
      </c>
      <c r="D28" s="512">
        <f t="shared" si="4"/>
        <v>131776.29629629629</v>
      </c>
      <c r="E28" s="512">
        <f t="shared" si="4"/>
        <v>132451.25925925927</v>
      </c>
      <c r="F28" s="512">
        <f t="shared" si="4"/>
        <v>138102.07407407407</v>
      </c>
      <c r="G28" s="512">
        <f t="shared" si="4"/>
        <v>116189.5</v>
      </c>
      <c r="H28" s="512">
        <f t="shared" si="4"/>
        <v>111180</v>
      </c>
      <c r="I28" s="512">
        <f t="shared" si="4"/>
        <v>123244.53213077791</v>
      </c>
      <c r="J28" s="513">
        <f t="shared" si="4"/>
        <v>156053.04075235111</v>
      </c>
      <c r="K28" s="512">
        <f t="shared" si="4"/>
        <v>182800.11142061281</v>
      </c>
      <c r="L28" s="514">
        <f t="shared" si="4"/>
        <v>155381.504178273</v>
      </c>
      <c r="M28" s="16">
        <f t="shared" si="4"/>
        <v>182800.11142061281</v>
      </c>
    </row>
    <row r="29" spans="1:14" x14ac:dyDescent="0.25">
      <c r="A29" s="875"/>
      <c r="B29" s="392"/>
      <c r="J29" s="393"/>
      <c r="L29" s="163"/>
    </row>
    <row r="30" spans="1:14" x14ac:dyDescent="0.25">
      <c r="A30" s="877"/>
      <c r="B30" s="408"/>
      <c r="C30" s="124"/>
      <c r="D30" s="124"/>
      <c r="E30" s="124"/>
      <c r="F30" s="124"/>
      <c r="G30" s="124"/>
      <c r="H30" s="124"/>
      <c r="I30" s="124"/>
      <c r="J30" s="410"/>
      <c r="K30" s="124"/>
      <c r="L30" s="449"/>
      <c r="M30" s="124"/>
    </row>
    <row r="31" spans="1:14" x14ac:dyDescent="0.25">
      <c r="A31" s="877"/>
      <c r="B31" s="408"/>
      <c r="C31" s="124"/>
      <c r="D31" s="124"/>
      <c r="E31" s="124"/>
      <c r="F31" s="124"/>
      <c r="G31" s="124"/>
      <c r="H31" s="124"/>
      <c r="I31" s="124"/>
      <c r="J31" s="410"/>
      <c r="K31" s="124"/>
      <c r="L31" s="449"/>
      <c r="M31" s="124"/>
    </row>
    <row r="32" spans="1:14" x14ac:dyDescent="0.25">
      <c r="A32" s="875"/>
      <c r="B32" s="392"/>
      <c r="J32" s="393"/>
      <c r="L32" s="163"/>
    </row>
    <row r="33" spans="1:15" x14ac:dyDescent="0.25">
      <c r="A33" s="851" t="s">
        <v>92</v>
      </c>
      <c r="B33" s="384"/>
      <c r="C33" s="1"/>
      <c r="D33" s="1"/>
      <c r="E33" s="1"/>
      <c r="F33" s="1"/>
      <c r="G33" s="1"/>
      <c r="H33" s="1"/>
      <c r="I33" s="1"/>
      <c r="J33" s="385"/>
      <c r="K33" s="1"/>
      <c r="L33" s="446"/>
      <c r="M33" s="1"/>
    </row>
    <row r="34" spans="1:15" x14ac:dyDescent="0.25">
      <c r="A34" s="1002" t="s">
        <v>57</v>
      </c>
      <c r="B34" s="555">
        <v>878014</v>
      </c>
      <c r="C34" s="55">
        <v>843140</v>
      </c>
      <c r="D34" s="55">
        <v>889490</v>
      </c>
      <c r="E34" s="55">
        <v>894046</v>
      </c>
      <c r="F34" s="55">
        <v>932189</v>
      </c>
      <c r="G34" s="55">
        <v>929516</v>
      </c>
      <c r="H34" s="55">
        <v>1000620</v>
      </c>
      <c r="I34" s="55">
        <v>1093179</v>
      </c>
      <c r="J34" s="556">
        <v>1244523</v>
      </c>
      <c r="K34" s="55">
        <v>1640631</v>
      </c>
      <c r="L34" s="558">
        <v>1394549</v>
      </c>
      <c r="M34" s="55">
        <v>1640631</v>
      </c>
    </row>
    <row r="35" spans="1:15" x14ac:dyDescent="0.25">
      <c r="A35" s="978" t="s">
        <v>105</v>
      </c>
      <c r="B35" s="384">
        <f t="shared" ref="B35:L36" si="5">SUM(B34:B34)</f>
        <v>878014</v>
      </c>
      <c r="C35" s="1">
        <f t="shared" si="5"/>
        <v>843140</v>
      </c>
      <c r="D35" s="1">
        <f t="shared" si="5"/>
        <v>889490</v>
      </c>
      <c r="E35" s="1">
        <f t="shared" si="5"/>
        <v>894046</v>
      </c>
      <c r="F35" s="1">
        <f t="shared" si="5"/>
        <v>932189</v>
      </c>
      <c r="G35" s="26">
        <f t="shared" si="5"/>
        <v>929516</v>
      </c>
      <c r="H35" s="1">
        <f t="shared" si="5"/>
        <v>1000620</v>
      </c>
      <c r="I35" s="1">
        <f t="shared" si="5"/>
        <v>1093179</v>
      </c>
      <c r="J35" s="417">
        <f t="shared" si="5"/>
        <v>1244523</v>
      </c>
      <c r="K35" s="26">
        <f t="shared" ref="K35" si="6">SUM(K34:K34)</f>
        <v>1640631</v>
      </c>
      <c r="L35" s="109">
        <f t="shared" si="5"/>
        <v>1394549</v>
      </c>
      <c r="M35" s="26">
        <f>SUM(M34:M34)</f>
        <v>1640631</v>
      </c>
      <c r="N35" s="120"/>
      <c r="O35" s="1"/>
    </row>
    <row r="36" spans="1:15" x14ac:dyDescent="0.25">
      <c r="A36" s="978" t="s">
        <v>106</v>
      </c>
      <c r="B36" s="384">
        <f t="shared" si="5"/>
        <v>878014</v>
      </c>
      <c r="C36" s="1">
        <f t="shared" si="5"/>
        <v>843140</v>
      </c>
      <c r="D36" s="1">
        <f t="shared" si="5"/>
        <v>889490</v>
      </c>
      <c r="E36" s="1">
        <f t="shared" si="5"/>
        <v>894046</v>
      </c>
      <c r="F36" s="1">
        <f t="shared" si="5"/>
        <v>932189</v>
      </c>
      <c r="G36" s="5">
        <f t="shared" si="5"/>
        <v>929516</v>
      </c>
      <c r="H36" s="1">
        <f t="shared" si="5"/>
        <v>1000620</v>
      </c>
      <c r="I36" s="1">
        <f t="shared" si="5"/>
        <v>1093179</v>
      </c>
      <c r="J36" s="385">
        <f t="shared" si="5"/>
        <v>1244523</v>
      </c>
      <c r="K36" s="5">
        <f t="shared" ref="K36" si="7">SUM(K35:K35)</f>
        <v>1640631</v>
      </c>
      <c r="L36" s="539">
        <f t="shared" si="5"/>
        <v>1394549</v>
      </c>
      <c r="M36" s="1">
        <f>SUM(M35:M35)</f>
        <v>1640631</v>
      </c>
      <c r="N36" s="120"/>
      <c r="O36" s="1"/>
    </row>
    <row r="37" spans="1:15" x14ac:dyDescent="0.25">
      <c r="A37" s="978" t="s">
        <v>67</v>
      </c>
      <c r="B37" s="384"/>
      <c r="C37" s="7">
        <f t="shared" ref="C37:J37" si="8">(C35/B35)-1</f>
        <v>-3.9719184432138843E-2</v>
      </c>
      <c r="D37" s="7">
        <f t="shared" si="8"/>
        <v>5.4973076831842826E-2</v>
      </c>
      <c r="E37" s="7">
        <f t="shared" si="8"/>
        <v>5.1220362230042227E-3</v>
      </c>
      <c r="F37" s="7">
        <f t="shared" si="8"/>
        <v>4.2663352892356787E-2</v>
      </c>
      <c r="G37" s="7">
        <f t="shared" si="8"/>
        <v>-2.8674442629122998E-3</v>
      </c>
      <c r="H37" s="7">
        <f t="shared" si="8"/>
        <v>7.6495724656703068E-2</v>
      </c>
      <c r="I37" s="7">
        <f t="shared" si="8"/>
        <v>9.2501648977633799E-2</v>
      </c>
      <c r="J37" s="531">
        <f t="shared" si="8"/>
        <v>0.13844393278685385</v>
      </c>
      <c r="K37" s="7">
        <f>(K35/L35)-1</f>
        <v>0.17645991643176395</v>
      </c>
      <c r="L37" s="540">
        <f>(L35/M35)-1</f>
        <v>-0.14999228955200772</v>
      </c>
      <c r="M37" s="7">
        <f>(M35/J35)-1</f>
        <v>0.31828097994171256</v>
      </c>
      <c r="N37" s="120"/>
      <c r="O37" s="1"/>
    </row>
    <row r="38" spans="1:15" x14ac:dyDescent="0.25">
      <c r="A38" s="995" t="s">
        <v>69</v>
      </c>
      <c r="B38" s="384"/>
      <c r="C38" s="1"/>
      <c r="D38" s="1"/>
      <c r="E38" s="1"/>
      <c r="F38" s="1"/>
      <c r="G38" s="1"/>
      <c r="H38" s="1"/>
      <c r="I38" s="1"/>
      <c r="J38" s="385"/>
      <c r="K38" s="23"/>
      <c r="L38" s="541"/>
      <c r="M38" s="1"/>
      <c r="N38" s="120"/>
      <c r="O38" s="1"/>
    </row>
    <row r="39" spans="1:15" s="19" customFormat="1" x14ac:dyDescent="0.25">
      <c r="A39" s="882"/>
      <c r="B39" s="418"/>
      <c r="J39" s="419"/>
      <c r="L39" s="455"/>
      <c r="N39" s="124"/>
    </row>
    <row r="40" spans="1:15" x14ac:dyDescent="0.25">
      <c r="A40" s="875"/>
      <c r="B40" s="392"/>
      <c r="J40" s="393"/>
      <c r="L40" s="163"/>
    </row>
    <row r="41" spans="1:15" x14ac:dyDescent="0.25">
      <c r="A41" s="992" t="s">
        <v>111</v>
      </c>
      <c r="B41" s="552">
        <f t="shared" ref="B41:M41" si="9">B12-B21</f>
        <v>-868014</v>
      </c>
      <c r="C41" s="95">
        <f t="shared" si="9"/>
        <v>-843140</v>
      </c>
      <c r="D41" s="95">
        <f t="shared" si="9"/>
        <v>-889490</v>
      </c>
      <c r="E41" s="95">
        <f t="shared" si="9"/>
        <v>-894046</v>
      </c>
      <c r="F41" s="95">
        <f t="shared" si="9"/>
        <v>-932189</v>
      </c>
      <c r="G41" s="95">
        <f t="shared" si="9"/>
        <v>-510272</v>
      </c>
      <c r="H41" s="95">
        <f t="shared" si="9"/>
        <v>-635206</v>
      </c>
      <c r="I41" s="95">
        <f t="shared" si="9"/>
        <v>-644764</v>
      </c>
      <c r="J41" s="532">
        <f t="shared" si="9"/>
        <v>-320346</v>
      </c>
      <c r="K41" s="96">
        <f t="shared" si="9"/>
        <v>-431090</v>
      </c>
      <c r="L41" s="542">
        <f t="shared" si="9"/>
        <v>-1360549</v>
      </c>
      <c r="M41" s="95">
        <f t="shared" si="9"/>
        <v>-431090</v>
      </c>
    </row>
    <row r="42" spans="1:15" x14ac:dyDescent="0.25">
      <c r="A42" s="875"/>
      <c r="B42" s="392"/>
      <c r="J42" s="393"/>
      <c r="L42" s="163"/>
    </row>
    <row r="43" spans="1:15" x14ac:dyDescent="0.25">
      <c r="A43" s="874" t="s">
        <v>99</v>
      </c>
      <c r="B43" s="516">
        <v>0</v>
      </c>
      <c r="C43" s="79">
        <v>0</v>
      </c>
      <c r="D43" s="79">
        <v>0</v>
      </c>
      <c r="E43" s="79">
        <v>0</v>
      </c>
      <c r="F43" s="79">
        <v>0</v>
      </c>
      <c r="G43" s="79">
        <v>0</v>
      </c>
      <c r="H43" s="79">
        <v>0</v>
      </c>
      <c r="I43" s="79">
        <v>0</v>
      </c>
      <c r="J43" s="517">
        <v>0</v>
      </c>
      <c r="K43" s="79"/>
      <c r="L43" s="518">
        <v>0</v>
      </c>
      <c r="M43" s="79">
        <v>0</v>
      </c>
    </row>
    <row r="44" spans="1:15" s="9" customFormat="1" x14ac:dyDescent="0.25">
      <c r="A44" s="874"/>
      <c r="B44" s="480">
        <v>2009</v>
      </c>
      <c r="C44" s="146">
        <v>2010</v>
      </c>
      <c r="D44" s="146">
        <v>2011</v>
      </c>
      <c r="E44" s="146">
        <v>2012</v>
      </c>
      <c r="F44" s="146">
        <v>2013</v>
      </c>
      <c r="G44" s="146">
        <v>2014</v>
      </c>
      <c r="H44" s="146">
        <v>2015</v>
      </c>
      <c r="I44" s="146">
        <v>2016</v>
      </c>
      <c r="J44" s="482">
        <v>2017</v>
      </c>
      <c r="K44" s="146">
        <v>2018</v>
      </c>
      <c r="L44" s="485">
        <v>2019</v>
      </c>
      <c r="M44" s="146">
        <v>2018</v>
      </c>
      <c r="N44" s="129"/>
    </row>
    <row r="45" spans="1:15" x14ac:dyDescent="0.25">
      <c r="A45" s="874" t="s">
        <v>131</v>
      </c>
      <c r="B45" s="416"/>
      <c r="C45" s="26"/>
      <c r="D45" s="26">
        <v>0</v>
      </c>
      <c r="E45" s="26">
        <v>0</v>
      </c>
      <c r="F45" s="26">
        <v>0</v>
      </c>
      <c r="G45" s="26">
        <v>0</v>
      </c>
      <c r="H45" s="26">
        <v>0</v>
      </c>
      <c r="I45" s="26">
        <v>0</v>
      </c>
      <c r="J45" s="417">
        <v>0</v>
      </c>
      <c r="K45" s="26">
        <v>0</v>
      </c>
      <c r="L45" s="109">
        <v>0</v>
      </c>
      <c r="M45" s="26">
        <v>0</v>
      </c>
    </row>
    <row r="46" spans="1:15" x14ac:dyDescent="0.25">
      <c r="A46" s="874" t="s">
        <v>132</v>
      </c>
      <c r="B46" s="416">
        <f t="shared" ref="B46:M46" si="10">B21-B45</f>
        <v>878014</v>
      </c>
      <c r="C46" s="26">
        <f t="shared" si="10"/>
        <v>843140</v>
      </c>
      <c r="D46" s="26">
        <f t="shared" si="10"/>
        <v>889490</v>
      </c>
      <c r="E46" s="26">
        <f t="shared" si="10"/>
        <v>894046</v>
      </c>
      <c r="F46" s="26">
        <f t="shared" si="10"/>
        <v>932189</v>
      </c>
      <c r="G46" s="26">
        <f t="shared" si="10"/>
        <v>929516</v>
      </c>
      <c r="H46" s="26">
        <f t="shared" si="10"/>
        <v>1000620</v>
      </c>
      <c r="I46" s="26">
        <f t="shared" si="10"/>
        <v>1093179</v>
      </c>
      <c r="J46" s="417">
        <f t="shared" si="10"/>
        <v>1244523</v>
      </c>
      <c r="K46" s="26">
        <f t="shared" si="10"/>
        <v>1640631</v>
      </c>
      <c r="L46" s="109">
        <f t="shared" si="10"/>
        <v>1394549</v>
      </c>
      <c r="M46" s="26">
        <f t="shared" si="10"/>
        <v>1640631</v>
      </c>
    </row>
    <row r="47" spans="1:15" x14ac:dyDescent="0.25">
      <c r="A47" s="875"/>
      <c r="B47" s="384"/>
      <c r="C47" s="1"/>
      <c r="D47" s="1"/>
      <c r="E47" s="1"/>
      <c r="F47" s="1"/>
      <c r="G47" s="1"/>
      <c r="H47" s="1"/>
      <c r="I47" s="1"/>
      <c r="J47" s="385"/>
      <c r="K47" s="1"/>
      <c r="L47" s="446"/>
      <c r="M47" s="1"/>
      <c r="N47" s="120"/>
      <c r="O47" s="1"/>
    </row>
    <row r="48" spans="1:15" x14ac:dyDescent="0.25">
      <c r="A48" s="993"/>
      <c r="B48" s="553"/>
      <c r="C48" s="90"/>
      <c r="D48" s="90"/>
      <c r="E48" s="90"/>
      <c r="F48" s="90"/>
      <c r="G48" s="90"/>
      <c r="H48" s="90"/>
      <c r="I48" s="90"/>
      <c r="J48" s="533"/>
      <c r="K48" s="90"/>
      <c r="L48" s="543"/>
      <c r="M48" s="90"/>
      <c r="N48" s="120"/>
      <c r="O48" s="1"/>
    </row>
    <row r="49" spans="1:15" x14ac:dyDescent="0.25">
      <c r="A49" s="878" t="s">
        <v>21</v>
      </c>
      <c r="B49" s="390">
        <f>Stats!D4</f>
        <v>63162</v>
      </c>
      <c r="C49" s="12">
        <f>Stats!E4</f>
        <v>67742</v>
      </c>
      <c r="D49" s="12">
        <f>Stats!F4</f>
        <v>68761</v>
      </c>
      <c r="E49" s="12">
        <f>Stats!G4</f>
        <v>69341</v>
      </c>
      <c r="F49" s="12">
        <f>Stats!H4</f>
        <v>70370</v>
      </c>
      <c r="G49" s="12">
        <f>Stats!I4</f>
        <v>71027</v>
      </c>
      <c r="H49" s="12">
        <f>Stats!J4</f>
        <v>73420</v>
      </c>
      <c r="I49" s="12">
        <f>Stats!K4</f>
        <v>74385</v>
      </c>
      <c r="J49" s="391">
        <f>Stats!L4</f>
        <v>75840</v>
      </c>
      <c r="K49" s="12">
        <f>Stats!M4</f>
        <v>77262</v>
      </c>
      <c r="L49" s="160">
        <f>Stats!N4</f>
        <v>78980</v>
      </c>
      <c r="M49" s="12">
        <f>Stats!M4</f>
        <v>77262</v>
      </c>
      <c r="N49" s="120"/>
      <c r="O49" s="1"/>
    </row>
    <row r="50" spans="1:15" x14ac:dyDescent="0.25">
      <c r="A50" s="878" t="s">
        <v>23</v>
      </c>
      <c r="B50" s="392"/>
      <c r="J50" s="393"/>
      <c r="L50" s="163"/>
      <c r="N50" s="120"/>
      <c r="O50" s="1"/>
    </row>
    <row r="51" spans="1:15" x14ac:dyDescent="0.25">
      <c r="A51" s="878" t="s">
        <v>22</v>
      </c>
      <c r="B51" s="384"/>
      <c r="C51" s="1"/>
      <c r="D51" s="1"/>
      <c r="E51" s="1"/>
      <c r="F51" s="1"/>
      <c r="G51" s="1"/>
      <c r="H51" s="1"/>
      <c r="I51" s="1"/>
      <c r="J51" s="385"/>
      <c r="K51" s="1"/>
      <c r="L51" s="446"/>
      <c r="M51" s="1"/>
      <c r="N51" s="120"/>
      <c r="O51" s="1"/>
    </row>
    <row r="52" spans="1:15" x14ac:dyDescent="0.25">
      <c r="A52" s="878" t="s">
        <v>60</v>
      </c>
      <c r="B52" s="413"/>
      <c r="C52" s="15"/>
      <c r="D52" s="15"/>
      <c r="E52" s="15"/>
      <c r="F52" s="15"/>
      <c r="G52" s="15"/>
      <c r="H52" s="15"/>
      <c r="I52" s="15"/>
      <c r="J52" s="415"/>
      <c r="K52" s="15"/>
      <c r="L52" s="451"/>
      <c r="M52" s="15"/>
      <c r="N52" s="120"/>
      <c r="O52" s="1"/>
    </row>
    <row r="53" spans="1:15" x14ac:dyDescent="0.25">
      <c r="A53" s="879" t="s">
        <v>57</v>
      </c>
      <c r="B53" s="791">
        <v>7</v>
      </c>
      <c r="C53" s="745">
        <v>6.75</v>
      </c>
      <c r="D53" s="955">
        <v>6.75</v>
      </c>
      <c r="E53" s="745">
        <v>6.75</v>
      </c>
      <c r="F53" s="745">
        <v>6.75</v>
      </c>
      <c r="G53" s="745">
        <v>8</v>
      </c>
      <c r="H53" s="745">
        <v>9</v>
      </c>
      <c r="I53" s="745">
        <v>8.8699999999999992</v>
      </c>
      <c r="J53" s="746">
        <v>7.9749999999999996</v>
      </c>
      <c r="K53" s="745">
        <v>8.9749999999999996</v>
      </c>
      <c r="L53" s="794">
        <v>8.9749999999999996</v>
      </c>
      <c r="M53" s="22">
        <v>8.9749999999999996</v>
      </c>
      <c r="N53" s="120"/>
      <c r="O53" s="1"/>
    </row>
    <row r="54" spans="1:15" x14ac:dyDescent="0.25">
      <c r="A54" s="880" t="s">
        <v>335</v>
      </c>
      <c r="B54" s="618">
        <f t="shared" ref="B54:L54" si="11">SUM(B53:B53)</f>
        <v>7</v>
      </c>
      <c r="C54" s="619">
        <f t="shared" si="11"/>
        <v>6.75</v>
      </c>
      <c r="D54" s="619">
        <f t="shared" si="11"/>
        <v>6.75</v>
      </c>
      <c r="E54" s="619">
        <f t="shared" si="11"/>
        <v>6.75</v>
      </c>
      <c r="F54" s="619">
        <f t="shared" si="11"/>
        <v>6.75</v>
      </c>
      <c r="G54" s="619">
        <f t="shared" si="11"/>
        <v>8</v>
      </c>
      <c r="H54" s="619">
        <f t="shared" si="11"/>
        <v>9</v>
      </c>
      <c r="I54" s="619">
        <f t="shared" si="11"/>
        <v>8.8699999999999992</v>
      </c>
      <c r="J54" s="620">
        <f t="shared" si="11"/>
        <v>7.9749999999999996</v>
      </c>
      <c r="K54" s="619">
        <f t="shared" ref="K54" si="12">SUM(K53:K53)</f>
        <v>8.9749999999999996</v>
      </c>
      <c r="L54" s="621">
        <f t="shared" si="11"/>
        <v>8.9749999999999996</v>
      </c>
      <c r="M54" s="302">
        <f>SUM(M53:M53)</f>
        <v>8.9749999999999996</v>
      </c>
      <c r="N54" s="120"/>
      <c r="O54" s="1"/>
    </row>
    <row r="55" spans="1:15" x14ac:dyDescent="0.25">
      <c r="A55" s="978" t="s">
        <v>364</v>
      </c>
      <c r="B55" s="622" t="s">
        <v>348</v>
      </c>
      <c r="C55" s="947">
        <f>C54/B54</f>
        <v>0.9642857142857143</v>
      </c>
      <c r="D55" s="947">
        <f t="shared" ref="D55:J55" si="13">D54/C54</f>
        <v>1</v>
      </c>
      <c r="E55" s="947">
        <f t="shared" si="13"/>
        <v>1</v>
      </c>
      <c r="F55" s="947">
        <f t="shared" si="13"/>
        <v>1</v>
      </c>
      <c r="G55" s="947">
        <f t="shared" si="13"/>
        <v>1.1851851851851851</v>
      </c>
      <c r="H55" s="947">
        <f t="shared" si="13"/>
        <v>1.125</v>
      </c>
      <c r="I55" s="947">
        <f t="shared" si="13"/>
        <v>0.98555555555555552</v>
      </c>
      <c r="J55" s="948">
        <f t="shared" si="13"/>
        <v>0.89909808342728303</v>
      </c>
      <c r="K55" s="947">
        <f>K54/L54</f>
        <v>1</v>
      </c>
      <c r="L55" s="949">
        <f>L54/M54</f>
        <v>1</v>
      </c>
      <c r="M55" s="35">
        <f>M54/J54</f>
        <v>1.1253918495297806</v>
      </c>
      <c r="N55" s="120"/>
      <c r="O55" s="1"/>
    </row>
    <row r="56" spans="1:15" x14ac:dyDescent="0.25">
      <c r="A56" s="897"/>
      <c r="B56" s="413"/>
      <c r="C56" s="35"/>
      <c r="D56" s="35"/>
      <c r="E56" s="35"/>
      <c r="F56" s="35"/>
      <c r="G56" s="35"/>
      <c r="H56" s="35"/>
      <c r="I56" s="35"/>
      <c r="J56" s="500"/>
      <c r="K56" s="35"/>
      <c r="L56" s="493"/>
      <c r="M56" s="35"/>
      <c r="N56" s="120"/>
      <c r="O56" s="1"/>
    </row>
    <row r="57" spans="1:15" x14ac:dyDescent="0.25">
      <c r="A57" s="875"/>
      <c r="B57" s="384"/>
      <c r="C57" s="1"/>
      <c r="D57" s="1"/>
      <c r="E57" s="1"/>
      <c r="F57" s="1"/>
      <c r="G57" s="1"/>
      <c r="H57" s="1"/>
      <c r="I57" s="1"/>
      <c r="J57" s="385"/>
      <c r="K57" s="1"/>
      <c r="L57" s="446"/>
      <c r="M57" s="1"/>
      <c r="N57" s="120"/>
      <c r="O57" s="1"/>
    </row>
    <row r="58" spans="1:15" ht="18.75" x14ac:dyDescent="0.3">
      <c r="A58" s="876" t="s">
        <v>26</v>
      </c>
      <c r="B58" s="525">
        <v>2009</v>
      </c>
      <c r="C58" s="46">
        <v>2010</v>
      </c>
      <c r="D58" s="46">
        <v>2011</v>
      </c>
      <c r="E58" s="46">
        <v>2012</v>
      </c>
      <c r="F58" s="46">
        <v>2013</v>
      </c>
      <c r="G58" s="46">
        <v>2014</v>
      </c>
      <c r="H58" s="46">
        <v>2015</v>
      </c>
      <c r="I58" s="46">
        <v>2016</v>
      </c>
      <c r="J58" s="526">
        <v>2017</v>
      </c>
      <c r="K58" s="46">
        <v>2018</v>
      </c>
      <c r="L58" s="443">
        <v>2019</v>
      </c>
      <c r="M58" s="146">
        <v>2018</v>
      </c>
      <c r="N58" s="120"/>
      <c r="O58" s="1"/>
    </row>
    <row r="59" spans="1:15" x14ac:dyDescent="0.25">
      <c r="A59" s="858" t="s">
        <v>62</v>
      </c>
      <c r="B59" s="388">
        <f t="shared" ref="B59:L59" si="14">B35/B49</f>
        <v>13.900984769323328</v>
      </c>
      <c r="C59" s="8">
        <f t="shared" si="14"/>
        <v>12.446340527294735</v>
      </c>
      <c r="D59" s="8">
        <f t="shared" si="14"/>
        <v>12.935966608978926</v>
      </c>
      <c r="E59" s="8">
        <f t="shared" si="14"/>
        <v>12.893468510693529</v>
      </c>
      <c r="F59" s="8">
        <f t="shared" si="14"/>
        <v>13.24696603666335</v>
      </c>
      <c r="G59" s="8">
        <f t="shared" si="14"/>
        <v>13.08679797823363</v>
      </c>
      <c r="H59" s="8">
        <f t="shared" si="14"/>
        <v>13.628711522745846</v>
      </c>
      <c r="I59" s="8">
        <f t="shared" si="14"/>
        <v>14.696229078443235</v>
      </c>
      <c r="J59" s="389">
        <f t="shared" si="14"/>
        <v>16.409849683544305</v>
      </c>
      <c r="K59" s="8">
        <f t="shared" ref="K59" si="15">K35/K49</f>
        <v>21.234643162227226</v>
      </c>
      <c r="L59" s="448">
        <f t="shared" si="14"/>
        <v>17.656989111167384</v>
      </c>
      <c r="M59" s="8">
        <f>M35/M49</f>
        <v>21.234643162227226</v>
      </c>
      <c r="N59" s="120"/>
      <c r="O59" s="1"/>
    </row>
    <row r="60" spans="1:15" x14ac:dyDescent="0.25">
      <c r="A60" s="875"/>
      <c r="B60" s="384"/>
      <c r="C60" s="1"/>
      <c r="D60" s="1"/>
      <c r="E60" s="1"/>
      <c r="F60" s="1"/>
      <c r="G60" s="1"/>
      <c r="H60" s="1"/>
      <c r="I60" s="1"/>
      <c r="J60" s="385"/>
      <c r="K60" s="1"/>
      <c r="L60" s="446"/>
      <c r="M60" s="1"/>
      <c r="N60" s="120"/>
      <c r="O60" s="1"/>
    </row>
    <row r="61" spans="1:15" x14ac:dyDescent="0.25">
      <c r="A61" s="878" t="s">
        <v>130</v>
      </c>
      <c r="B61" s="384"/>
      <c r="C61" s="1"/>
      <c r="D61" s="1"/>
      <c r="E61" s="1"/>
      <c r="F61" s="1"/>
      <c r="G61" s="1"/>
      <c r="H61" s="1"/>
      <c r="I61" s="1"/>
      <c r="J61" s="385"/>
      <c r="K61" s="1"/>
      <c r="L61" s="446"/>
      <c r="M61" s="1"/>
      <c r="N61" s="120"/>
      <c r="O61" s="1"/>
    </row>
    <row r="62" spans="1:15" x14ac:dyDescent="0.25">
      <c r="A62" s="879" t="s">
        <v>57</v>
      </c>
      <c r="B62" s="384">
        <f t="shared" ref="B62:J62" si="16">B34/B53</f>
        <v>125430.57142857143</v>
      </c>
      <c r="C62" s="1">
        <f t="shared" si="16"/>
        <v>124909.62962962964</v>
      </c>
      <c r="D62" s="1">
        <f t="shared" si="16"/>
        <v>131776.29629629629</v>
      </c>
      <c r="E62" s="1">
        <f t="shared" si="16"/>
        <v>132451.25925925927</v>
      </c>
      <c r="F62" s="1">
        <f t="shared" si="16"/>
        <v>138102.07407407407</v>
      </c>
      <c r="G62" s="1">
        <f t="shared" si="16"/>
        <v>116189.5</v>
      </c>
      <c r="H62" s="1">
        <f t="shared" si="16"/>
        <v>111180</v>
      </c>
      <c r="I62" s="1">
        <f t="shared" si="16"/>
        <v>123244.53213077791</v>
      </c>
      <c r="J62" s="385">
        <f t="shared" si="16"/>
        <v>156053.04075235111</v>
      </c>
      <c r="K62" s="1">
        <f>L34/K53</f>
        <v>155381.504178273</v>
      </c>
      <c r="L62" s="446">
        <f>M34/L53</f>
        <v>182800.11142061281</v>
      </c>
      <c r="M62" s="1">
        <f>J34/M53</f>
        <v>138665.51532033426</v>
      </c>
      <c r="N62" s="120"/>
    </row>
    <row r="63" spans="1:15" x14ac:dyDescent="0.25">
      <c r="A63" s="878" t="s">
        <v>63</v>
      </c>
      <c r="B63" s="954">
        <f t="shared" ref="B63:J63" si="17">B35/B54</f>
        <v>125430.57142857143</v>
      </c>
      <c r="C63" s="51">
        <f t="shared" si="17"/>
        <v>124909.62962962964</v>
      </c>
      <c r="D63" s="51">
        <f t="shared" si="17"/>
        <v>131776.29629629629</v>
      </c>
      <c r="E63" s="51">
        <f t="shared" si="17"/>
        <v>132451.25925925927</v>
      </c>
      <c r="F63" s="51">
        <f t="shared" si="17"/>
        <v>138102.07407407407</v>
      </c>
      <c r="G63" s="51">
        <f t="shared" si="17"/>
        <v>116189.5</v>
      </c>
      <c r="H63" s="51">
        <f t="shared" si="17"/>
        <v>111180</v>
      </c>
      <c r="I63" s="51">
        <f t="shared" si="17"/>
        <v>123244.53213077791</v>
      </c>
      <c r="J63" s="529">
        <f t="shared" si="17"/>
        <v>156053.04075235111</v>
      </c>
      <c r="K63" s="51">
        <f>K35/K54</f>
        <v>182800.11142061281</v>
      </c>
      <c r="L63" s="537">
        <f>L35/L54</f>
        <v>155381.504178273</v>
      </c>
      <c r="M63" s="1">
        <f>M35/M54</f>
        <v>182800.11142061281</v>
      </c>
      <c r="N63" s="120"/>
      <c r="O63" s="1"/>
    </row>
    <row r="64" spans="1:15" x14ac:dyDescent="0.25">
      <c r="A64" s="875"/>
      <c r="B64" s="384"/>
      <c r="C64" s="1"/>
      <c r="D64" s="1"/>
      <c r="E64" s="1"/>
      <c r="F64" s="1"/>
      <c r="G64" s="1"/>
      <c r="H64" s="1"/>
      <c r="I64" s="1"/>
      <c r="J64" s="385"/>
      <c r="K64" s="1"/>
      <c r="L64" s="446"/>
      <c r="M64" s="1"/>
      <c r="N64" s="120"/>
    </row>
    <row r="65" spans="1:15" x14ac:dyDescent="0.25">
      <c r="A65" s="875"/>
      <c r="B65" s="480">
        <v>2009</v>
      </c>
      <c r="C65" s="146">
        <v>2010</v>
      </c>
      <c r="D65" s="146">
        <v>2011</v>
      </c>
      <c r="E65" s="146">
        <v>2012</v>
      </c>
      <c r="F65" s="146">
        <v>2013</v>
      </c>
      <c r="G65" s="146">
        <v>2014</v>
      </c>
      <c r="H65" s="146">
        <v>2015</v>
      </c>
      <c r="I65" s="146">
        <v>2016</v>
      </c>
      <c r="J65" s="482">
        <v>2017</v>
      </c>
      <c r="K65" s="146">
        <v>2018</v>
      </c>
      <c r="L65" s="485">
        <v>2019</v>
      </c>
      <c r="M65" s="146">
        <v>2018</v>
      </c>
      <c r="N65" s="120"/>
      <c r="O65" s="1"/>
    </row>
    <row r="66" spans="1:15" x14ac:dyDescent="0.25">
      <c r="A66" s="875" t="s">
        <v>65</v>
      </c>
      <c r="B66" s="554">
        <f>B53/(B49/1000)</f>
        <v>0.11082612963490707</v>
      </c>
      <c r="C66" s="14">
        <f t="shared" ref="C66:L66" si="18">C53/(C49/1000)</f>
        <v>9.9642762244988331E-2</v>
      </c>
      <c r="D66" s="14">
        <f t="shared" si="18"/>
        <v>9.8166111603961548E-2</v>
      </c>
      <c r="E66" s="14">
        <f t="shared" si="18"/>
        <v>9.734500511962621E-2</v>
      </c>
      <c r="F66" s="14">
        <f t="shared" si="18"/>
        <v>9.5921557481881484E-2</v>
      </c>
      <c r="G66" s="14">
        <f t="shared" si="18"/>
        <v>0.11263322398524504</v>
      </c>
      <c r="H66" s="14">
        <f t="shared" si="18"/>
        <v>0.12258240261509125</v>
      </c>
      <c r="I66" s="14">
        <f t="shared" si="18"/>
        <v>0.11924447133158565</v>
      </c>
      <c r="J66" s="534">
        <f t="shared" si="18"/>
        <v>0.10515559071729957</v>
      </c>
      <c r="K66" s="14">
        <f t="shared" ref="K66" si="19">K53/(K49/1000)</f>
        <v>0.11616318500685976</v>
      </c>
      <c r="L66" s="545">
        <f t="shared" si="18"/>
        <v>0.11363636363636363</v>
      </c>
      <c r="M66" s="14">
        <f>M53/(M49/1000)</f>
        <v>0.11616318500685976</v>
      </c>
      <c r="N66" s="120"/>
      <c r="O66" s="1"/>
    </row>
    <row r="67" spans="1:15" x14ac:dyDescent="0.25">
      <c r="A67" s="875" t="s">
        <v>64</v>
      </c>
      <c r="B67" s="554">
        <f t="shared" ref="B67:L67" si="20">B54/(B49/1000)</f>
        <v>0.11082612963490707</v>
      </c>
      <c r="C67" s="14">
        <f t="shared" si="20"/>
        <v>9.9642762244988331E-2</v>
      </c>
      <c r="D67" s="14">
        <f t="shared" si="20"/>
        <v>9.8166111603961548E-2</v>
      </c>
      <c r="E67" s="14">
        <f t="shared" si="20"/>
        <v>9.734500511962621E-2</v>
      </c>
      <c r="F67" s="14">
        <f t="shared" si="20"/>
        <v>9.5921557481881484E-2</v>
      </c>
      <c r="G67" s="14">
        <f t="shared" si="20"/>
        <v>0.11263322398524504</v>
      </c>
      <c r="H67" s="14">
        <f t="shared" si="20"/>
        <v>0.12258240261509125</v>
      </c>
      <c r="I67" s="14">
        <f t="shared" si="20"/>
        <v>0.11924447133158565</v>
      </c>
      <c r="J67" s="534">
        <f t="shared" si="20"/>
        <v>0.10515559071729957</v>
      </c>
      <c r="K67" s="14">
        <f t="shared" ref="K67" si="21">K54/(K49/1000)</f>
        <v>0.11616318500685976</v>
      </c>
      <c r="L67" s="545">
        <f t="shared" si="20"/>
        <v>0.11363636363636363</v>
      </c>
      <c r="M67" s="14">
        <f>M54/(M49/1000)</f>
        <v>0.11616318500685976</v>
      </c>
      <c r="N67" s="120"/>
      <c r="O67" s="1"/>
    </row>
    <row r="68" spans="1:15" x14ac:dyDescent="0.25">
      <c r="N68" s="26"/>
      <c r="O68" s="1"/>
    </row>
    <row r="69" spans="1:15" x14ac:dyDescent="0.25">
      <c r="N69" s="26"/>
      <c r="O69" s="1"/>
    </row>
    <row r="70" spans="1:15" x14ac:dyDescent="0.25">
      <c r="N70" s="26"/>
      <c r="O70" s="1"/>
    </row>
    <row r="71" spans="1:15" x14ac:dyDescent="0.25">
      <c r="N71" s="26"/>
      <c r="O71" s="1"/>
    </row>
    <row r="72" spans="1:15" x14ac:dyDescent="0.25">
      <c r="N72" s="19"/>
    </row>
    <row r="73" spans="1:15" x14ac:dyDescent="0.25">
      <c r="N73" s="26"/>
      <c r="O73" s="1"/>
    </row>
    <row r="74" spans="1:15" x14ac:dyDescent="0.25">
      <c r="N74" s="26"/>
      <c r="O74" s="1"/>
    </row>
    <row r="75" spans="1:15" x14ac:dyDescent="0.25">
      <c r="N75" s="26"/>
      <c r="O75" s="1"/>
    </row>
    <row r="76" spans="1:15" s="17" customFormat="1" x14ac:dyDescent="0.25">
      <c r="A76"/>
      <c r="B76"/>
      <c r="C76"/>
      <c r="D76"/>
      <c r="E76"/>
      <c r="F76"/>
      <c r="G76"/>
      <c r="H76"/>
      <c r="I76"/>
      <c r="J76"/>
      <c r="K76" s="278"/>
      <c r="L76"/>
      <c r="M76"/>
      <c r="N76" s="68"/>
      <c r="O76" s="32"/>
    </row>
    <row r="77" spans="1:15" x14ac:dyDescent="0.25">
      <c r="N77" s="26"/>
      <c r="O77" s="1"/>
    </row>
    <row r="78" spans="1:15" x14ac:dyDescent="0.25">
      <c r="N78" s="26"/>
      <c r="O78" s="1"/>
    </row>
    <row r="79" spans="1:15" x14ac:dyDescent="0.25">
      <c r="N79" s="26"/>
      <c r="O79" s="1"/>
    </row>
    <row r="80" spans="1:15" x14ac:dyDescent="0.25">
      <c r="N80" s="26"/>
      <c r="O80" s="1"/>
    </row>
    <row r="81" spans="14:15" x14ac:dyDescent="0.25">
      <c r="N81" s="26"/>
      <c r="O81" s="1"/>
    </row>
    <row r="82" spans="14:15" x14ac:dyDescent="0.25">
      <c r="N82" s="26"/>
      <c r="O82" s="1"/>
    </row>
    <row r="83" spans="14:15" x14ac:dyDescent="0.25">
      <c r="N83" s="26"/>
      <c r="O83" s="1"/>
    </row>
    <row r="84" spans="14:15" x14ac:dyDescent="0.25">
      <c r="N84" s="26"/>
      <c r="O84" s="1"/>
    </row>
    <row r="85" spans="14:15" x14ac:dyDescent="0.25">
      <c r="N85" s="26"/>
      <c r="O85" s="1"/>
    </row>
    <row r="86" spans="14:15" x14ac:dyDescent="0.25">
      <c r="N86" s="26"/>
      <c r="O86" s="1"/>
    </row>
    <row r="87" spans="14:15" x14ac:dyDescent="0.25">
      <c r="N87" s="26"/>
      <c r="O87" s="1"/>
    </row>
    <row r="88" spans="14:15" x14ac:dyDescent="0.25">
      <c r="N88" s="26"/>
      <c r="O88" s="1"/>
    </row>
    <row r="89" spans="14:15" x14ac:dyDescent="0.25">
      <c r="N89" s="26"/>
      <c r="O89" s="1"/>
    </row>
    <row r="90" spans="14:15" x14ac:dyDescent="0.25">
      <c r="N90" s="19"/>
    </row>
    <row r="91" spans="14:15" x14ac:dyDescent="0.25">
      <c r="N91" s="19"/>
    </row>
    <row r="92" spans="14:15" x14ac:dyDescent="0.25">
      <c r="N92" s="19"/>
    </row>
    <row r="93" spans="14:15" x14ac:dyDescent="0.25">
      <c r="N93" s="19"/>
    </row>
    <row r="94" spans="14:15" x14ac:dyDescent="0.25">
      <c r="N94" s="19"/>
    </row>
    <row r="95" spans="14:15" x14ac:dyDescent="0.25">
      <c r="N95" s="19"/>
    </row>
    <row r="96" spans="14:15" x14ac:dyDescent="0.25">
      <c r="N96" s="19"/>
    </row>
    <row r="97" spans="14:14" x14ac:dyDescent="0.25">
      <c r="N97" s="19"/>
    </row>
    <row r="98" spans="14:14" x14ac:dyDescent="0.25">
      <c r="N98" s="19"/>
    </row>
    <row r="99" spans="14:14" x14ac:dyDescent="0.25">
      <c r="N99" s="19"/>
    </row>
    <row r="100" spans="14:14" x14ac:dyDescent="0.25">
      <c r="N100" s="19"/>
    </row>
    <row r="101" spans="14:14" x14ac:dyDescent="0.25">
      <c r="N101" s="19"/>
    </row>
    <row r="102" spans="14:14" x14ac:dyDescent="0.25">
      <c r="N102" s="19"/>
    </row>
    <row r="103" spans="14:14" x14ac:dyDescent="0.25">
      <c r="N103" s="19"/>
    </row>
    <row r="104" spans="14:14" x14ac:dyDescent="0.25">
      <c r="N104" s="19"/>
    </row>
    <row r="105" spans="14:14" x14ac:dyDescent="0.25">
      <c r="N105" s="19"/>
    </row>
    <row r="106" spans="14:14" x14ac:dyDescent="0.25">
      <c r="N106" s="19"/>
    </row>
    <row r="107" spans="14:14" x14ac:dyDescent="0.25">
      <c r="N107" s="19"/>
    </row>
    <row r="108" spans="14:14" x14ac:dyDescent="0.25">
      <c r="N108" s="19"/>
    </row>
    <row r="109" spans="14:14" x14ac:dyDescent="0.25">
      <c r="N109" s="19"/>
    </row>
    <row r="110" spans="14:14" x14ac:dyDescent="0.25">
      <c r="N110" s="19"/>
    </row>
    <row r="111" spans="14:14" x14ac:dyDescent="0.25">
      <c r="N111" s="19"/>
    </row>
    <row r="112" spans="14:14" x14ac:dyDescent="0.25">
      <c r="N112" s="19"/>
    </row>
    <row r="113" spans="14:14" x14ac:dyDescent="0.25">
      <c r="N113" s="19"/>
    </row>
    <row r="114" spans="14:14" x14ac:dyDescent="0.25">
      <c r="N114" s="19"/>
    </row>
    <row r="115" spans="14:14" x14ac:dyDescent="0.25">
      <c r="N115" s="19"/>
    </row>
    <row r="116" spans="14:14" x14ac:dyDescent="0.25">
      <c r="N116" s="19"/>
    </row>
    <row r="117" spans="14:14" x14ac:dyDescent="0.25">
      <c r="N117" s="19"/>
    </row>
    <row r="118" spans="14:14" x14ac:dyDescent="0.25">
      <c r="N118" s="19"/>
    </row>
    <row r="119" spans="14:14" x14ac:dyDescent="0.25">
      <c r="N119" s="19"/>
    </row>
    <row r="120" spans="14:14" x14ac:dyDescent="0.25">
      <c r="N120" s="19"/>
    </row>
    <row r="121" spans="14:14" x14ac:dyDescent="0.25">
      <c r="N121" s="19"/>
    </row>
    <row r="122" spans="14:14" x14ac:dyDescent="0.25">
      <c r="N122" s="19"/>
    </row>
    <row r="123" spans="14:14" x14ac:dyDescent="0.25">
      <c r="N123" s="19"/>
    </row>
    <row r="124" spans="14:14" x14ac:dyDescent="0.25">
      <c r="N124" s="19"/>
    </row>
    <row r="125" spans="14:14" x14ac:dyDescent="0.25">
      <c r="N125" s="19"/>
    </row>
    <row r="126" spans="14:14" x14ac:dyDescent="0.25">
      <c r="N126" s="19"/>
    </row>
    <row r="127" spans="14:14" x14ac:dyDescent="0.25">
      <c r="N127" s="19"/>
    </row>
    <row r="128" spans="14:14" x14ac:dyDescent="0.25">
      <c r="N128" s="19"/>
    </row>
    <row r="129" spans="14:14" x14ac:dyDescent="0.25">
      <c r="N129" s="19"/>
    </row>
    <row r="130" spans="14:14" x14ac:dyDescent="0.25">
      <c r="N130" s="19"/>
    </row>
    <row r="131" spans="14:14" x14ac:dyDescent="0.25">
      <c r="N131" s="19"/>
    </row>
    <row r="132" spans="14:14" x14ac:dyDescent="0.25">
      <c r="N132" s="19"/>
    </row>
    <row r="133" spans="14:14" x14ac:dyDescent="0.25">
      <c r="N133" s="19"/>
    </row>
    <row r="134" spans="14:14" x14ac:dyDescent="0.25">
      <c r="N134" s="19"/>
    </row>
    <row r="135" spans="14:14" x14ac:dyDescent="0.25">
      <c r="N135" s="19"/>
    </row>
    <row r="136" spans="14:14" x14ac:dyDescent="0.25">
      <c r="N136" s="19"/>
    </row>
    <row r="137" spans="14:14" x14ac:dyDescent="0.25">
      <c r="N137" s="19"/>
    </row>
    <row r="138" spans="14:14" x14ac:dyDescent="0.25">
      <c r="N138" s="19"/>
    </row>
    <row r="139" spans="14:14" x14ac:dyDescent="0.25">
      <c r="N139" s="19"/>
    </row>
    <row r="140" spans="14:14" x14ac:dyDescent="0.25">
      <c r="N140" s="19"/>
    </row>
    <row r="141" spans="14:14" x14ac:dyDescent="0.25">
      <c r="N141" s="19"/>
    </row>
    <row r="142" spans="14:14" x14ac:dyDescent="0.25">
      <c r="N142" s="19"/>
    </row>
    <row r="143" spans="14:14" x14ac:dyDescent="0.25">
      <c r="N143" s="19"/>
    </row>
    <row r="144" spans="14:14" x14ac:dyDescent="0.25">
      <c r="N144" s="19"/>
    </row>
    <row r="145" spans="14:14" x14ac:dyDescent="0.25">
      <c r="N145" s="19"/>
    </row>
    <row r="146" spans="14:14" x14ac:dyDescent="0.25">
      <c r="N146" s="19"/>
    </row>
    <row r="147" spans="14:14" x14ac:dyDescent="0.25">
      <c r="N147" s="19"/>
    </row>
    <row r="148" spans="14:14" x14ac:dyDescent="0.25">
      <c r="N148" s="19"/>
    </row>
    <row r="149" spans="14:14" x14ac:dyDescent="0.25">
      <c r="N149" s="19"/>
    </row>
    <row r="150" spans="14:14" x14ac:dyDescent="0.25">
      <c r="N150" s="19"/>
    </row>
    <row r="151" spans="14:14" x14ac:dyDescent="0.25">
      <c r="N151" s="19"/>
    </row>
    <row r="152" spans="14:14" x14ac:dyDescent="0.25">
      <c r="N152" s="19"/>
    </row>
    <row r="153" spans="14:14" x14ac:dyDescent="0.25">
      <c r="N153" s="19"/>
    </row>
    <row r="154" spans="14:14" x14ac:dyDescent="0.25">
      <c r="N154" s="19"/>
    </row>
    <row r="155" spans="14:14" x14ac:dyDescent="0.25">
      <c r="N155" s="19"/>
    </row>
    <row r="156" spans="14:14" x14ac:dyDescent="0.25">
      <c r="N156" s="19"/>
    </row>
    <row r="157" spans="14:14" x14ac:dyDescent="0.25">
      <c r="N157" s="19"/>
    </row>
    <row r="158" spans="14:14" x14ac:dyDescent="0.25">
      <c r="N158" s="19"/>
    </row>
    <row r="159" spans="14:14" x14ac:dyDescent="0.25">
      <c r="N159" s="19"/>
    </row>
    <row r="160" spans="14:14" x14ac:dyDescent="0.25">
      <c r="N160" s="19"/>
    </row>
    <row r="161" spans="14:14" x14ac:dyDescent="0.25">
      <c r="N161" s="19"/>
    </row>
    <row r="162" spans="14:14" x14ac:dyDescent="0.25">
      <c r="N162" s="19"/>
    </row>
    <row r="163" spans="14:14" x14ac:dyDescent="0.25">
      <c r="N163" s="19"/>
    </row>
    <row r="164" spans="14:14" x14ac:dyDescent="0.25">
      <c r="N164" s="19"/>
    </row>
    <row r="165" spans="14:14" x14ac:dyDescent="0.25">
      <c r="N165" s="19"/>
    </row>
    <row r="166" spans="14:14" x14ac:dyDescent="0.25">
      <c r="N166" s="19"/>
    </row>
    <row r="167" spans="14:14" x14ac:dyDescent="0.25">
      <c r="N167" s="19"/>
    </row>
    <row r="168" spans="14:14" x14ac:dyDescent="0.25">
      <c r="N168" s="19"/>
    </row>
    <row r="169" spans="14:14" x14ac:dyDescent="0.25">
      <c r="N169" s="19"/>
    </row>
    <row r="170" spans="14:14" x14ac:dyDescent="0.25">
      <c r="N170" s="19"/>
    </row>
    <row r="171" spans="14:14" x14ac:dyDescent="0.25">
      <c r="N171" s="19"/>
    </row>
    <row r="172" spans="14:14" x14ac:dyDescent="0.25">
      <c r="N172" s="19"/>
    </row>
    <row r="173" spans="14:14" x14ac:dyDescent="0.25">
      <c r="N173" s="19"/>
    </row>
    <row r="174" spans="14:14" x14ac:dyDescent="0.25">
      <c r="N174" s="19"/>
    </row>
    <row r="175" spans="14:14" x14ac:dyDescent="0.25">
      <c r="N175" s="19"/>
    </row>
    <row r="176" spans="14:14" x14ac:dyDescent="0.25">
      <c r="N176" s="19"/>
    </row>
    <row r="177" spans="14:14" x14ac:dyDescent="0.25">
      <c r="N177" s="19"/>
    </row>
    <row r="178" spans="14:14" x14ac:dyDescent="0.25">
      <c r="N178" s="19"/>
    </row>
    <row r="179" spans="14:14" x14ac:dyDescent="0.25">
      <c r="N179" s="19"/>
    </row>
    <row r="180" spans="14:14" x14ac:dyDescent="0.25">
      <c r="N180" s="19"/>
    </row>
    <row r="181" spans="14:14" x14ac:dyDescent="0.25">
      <c r="N181" s="19"/>
    </row>
    <row r="182" spans="14:14" x14ac:dyDescent="0.25">
      <c r="N182" s="19"/>
    </row>
    <row r="183" spans="14:14" x14ac:dyDescent="0.25">
      <c r="N183" s="19"/>
    </row>
    <row r="184" spans="14:14" x14ac:dyDescent="0.25">
      <c r="N184" s="19"/>
    </row>
    <row r="185" spans="14:14" x14ac:dyDescent="0.25">
      <c r="N185" s="19"/>
    </row>
    <row r="186" spans="14:14" x14ac:dyDescent="0.25">
      <c r="N186" s="19"/>
    </row>
    <row r="187" spans="14:14" x14ac:dyDescent="0.25">
      <c r="N187" s="19"/>
    </row>
    <row r="188" spans="14:14" x14ac:dyDescent="0.25">
      <c r="N188" s="19"/>
    </row>
    <row r="189" spans="14:14" x14ac:dyDescent="0.25">
      <c r="N189" s="19"/>
    </row>
    <row r="190" spans="14:14" x14ac:dyDescent="0.25">
      <c r="N190" s="19"/>
    </row>
    <row r="191" spans="14:14" x14ac:dyDescent="0.25">
      <c r="N191" s="19"/>
    </row>
    <row r="192" spans="14:14" x14ac:dyDescent="0.25">
      <c r="N192" s="19"/>
    </row>
    <row r="193" spans="14:14" x14ac:dyDescent="0.25">
      <c r="N193" s="19"/>
    </row>
    <row r="194" spans="14:14" x14ac:dyDescent="0.25">
      <c r="N194" s="19"/>
    </row>
    <row r="195" spans="14:14" x14ac:dyDescent="0.25">
      <c r="N195" s="19"/>
    </row>
    <row r="196" spans="14:14" x14ac:dyDescent="0.25">
      <c r="N196" s="19"/>
    </row>
    <row r="197" spans="14:14" x14ac:dyDescent="0.25">
      <c r="N197" s="19"/>
    </row>
    <row r="198" spans="14:14" x14ac:dyDescent="0.25">
      <c r="N198" s="19"/>
    </row>
    <row r="199" spans="14:14" x14ac:dyDescent="0.25">
      <c r="N199" s="19"/>
    </row>
    <row r="200" spans="14:14" x14ac:dyDescent="0.25">
      <c r="N200" s="19"/>
    </row>
    <row r="201" spans="14:14" x14ac:dyDescent="0.25">
      <c r="N201" s="19"/>
    </row>
    <row r="202" spans="14:14" x14ac:dyDescent="0.25">
      <c r="N202" s="19"/>
    </row>
    <row r="203" spans="14:14" x14ac:dyDescent="0.25">
      <c r="N203" s="19"/>
    </row>
    <row r="204" spans="14:14" x14ac:dyDescent="0.25">
      <c r="N204" s="19"/>
    </row>
    <row r="205" spans="14:14" x14ac:dyDescent="0.25">
      <c r="N205" s="19"/>
    </row>
    <row r="206" spans="14:14" x14ac:dyDescent="0.25">
      <c r="N206" s="19"/>
    </row>
    <row r="207" spans="14:14" x14ac:dyDescent="0.25">
      <c r="N207" s="19"/>
    </row>
    <row r="208" spans="14:14" x14ac:dyDescent="0.25">
      <c r="N208" s="19"/>
    </row>
    <row r="209" spans="14:14" x14ac:dyDescent="0.25">
      <c r="N209" s="19"/>
    </row>
    <row r="210" spans="14:14" x14ac:dyDescent="0.25">
      <c r="N210" s="19"/>
    </row>
    <row r="211" spans="14:14" x14ac:dyDescent="0.25">
      <c r="N211" s="19"/>
    </row>
    <row r="212" spans="14:14" x14ac:dyDescent="0.25">
      <c r="N212" s="19"/>
    </row>
    <row r="213" spans="14:14" x14ac:dyDescent="0.25">
      <c r="N213" s="19"/>
    </row>
    <row r="214" spans="14:14" x14ac:dyDescent="0.25">
      <c r="N214" s="19"/>
    </row>
    <row r="215" spans="14:14" x14ac:dyDescent="0.25">
      <c r="N215" s="19"/>
    </row>
    <row r="216" spans="14:14" x14ac:dyDescent="0.25">
      <c r="N216" s="19"/>
    </row>
    <row r="217" spans="14:14" x14ac:dyDescent="0.25">
      <c r="N217" s="19"/>
    </row>
    <row r="218" spans="14:14" x14ac:dyDescent="0.25">
      <c r="N218" s="19"/>
    </row>
    <row r="219" spans="14:14" x14ac:dyDescent="0.25">
      <c r="N219" s="19"/>
    </row>
    <row r="220" spans="14:14" x14ac:dyDescent="0.25">
      <c r="N220" s="19"/>
    </row>
    <row r="221" spans="14:14" x14ac:dyDescent="0.25">
      <c r="N221" s="19"/>
    </row>
    <row r="222" spans="14:14" x14ac:dyDescent="0.25">
      <c r="N222" s="19"/>
    </row>
    <row r="223" spans="14:14" x14ac:dyDescent="0.25">
      <c r="N223" s="19"/>
    </row>
    <row r="224" spans="14:14" x14ac:dyDescent="0.25">
      <c r="N224" s="19"/>
    </row>
    <row r="225" spans="14:14" x14ac:dyDescent="0.25">
      <c r="N225" s="19"/>
    </row>
    <row r="226" spans="14:14" x14ac:dyDescent="0.25">
      <c r="N226" s="19"/>
    </row>
    <row r="227" spans="14:14" x14ac:dyDescent="0.25">
      <c r="N227" s="19"/>
    </row>
    <row r="228" spans="14:14" x14ac:dyDescent="0.25">
      <c r="N228" s="19"/>
    </row>
    <row r="229" spans="14:14" x14ac:dyDescent="0.25">
      <c r="N229" s="19"/>
    </row>
    <row r="230" spans="14:14" x14ac:dyDescent="0.25">
      <c r="N230" s="19"/>
    </row>
    <row r="231" spans="14:14" x14ac:dyDescent="0.25">
      <c r="N231" s="19"/>
    </row>
    <row r="232" spans="14:14" x14ac:dyDescent="0.25">
      <c r="N232" s="19"/>
    </row>
    <row r="233" spans="14:14" x14ac:dyDescent="0.25">
      <c r="N233" s="19"/>
    </row>
    <row r="234" spans="14:14" x14ac:dyDescent="0.25">
      <c r="N234" s="19"/>
    </row>
    <row r="235" spans="14:14" x14ac:dyDescent="0.25">
      <c r="N235" s="19"/>
    </row>
    <row r="236" spans="14:14" x14ac:dyDescent="0.25">
      <c r="N236" s="19"/>
    </row>
    <row r="237" spans="14:14" x14ac:dyDescent="0.25">
      <c r="N237" s="19"/>
    </row>
    <row r="238" spans="14:14" x14ac:dyDescent="0.25">
      <c r="N238" s="19"/>
    </row>
    <row r="239" spans="14:14" x14ac:dyDescent="0.25">
      <c r="N239" s="19"/>
    </row>
    <row r="240" spans="14:14" x14ac:dyDescent="0.25">
      <c r="N240" s="19"/>
    </row>
    <row r="241" spans="14:14" x14ac:dyDescent="0.25">
      <c r="N241" s="19"/>
    </row>
    <row r="242" spans="14:14" x14ac:dyDescent="0.25">
      <c r="N242" s="19"/>
    </row>
    <row r="243" spans="14:14" x14ac:dyDescent="0.25">
      <c r="N243" s="19"/>
    </row>
    <row r="244" spans="14:14" x14ac:dyDescent="0.25">
      <c r="N244" s="19"/>
    </row>
    <row r="245" spans="14:14" x14ac:dyDescent="0.25">
      <c r="N245" s="19"/>
    </row>
    <row r="246" spans="14:14" x14ac:dyDescent="0.25">
      <c r="N246" s="19"/>
    </row>
    <row r="247" spans="14:14" x14ac:dyDescent="0.25">
      <c r="N247" s="19"/>
    </row>
    <row r="248" spans="14:14" x14ac:dyDescent="0.25">
      <c r="N248" s="19"/>
    </row>
    <row r="249" spans="14:14" x14ac:dyDescent="0.25">
      <c r="N249" s="19"/>
    </row>
    <row r="250" spans="14:14" x14ac:dyDescent="0.25">
      <c r="N250" s="19"/>
    </row>
    <row r="251" spans="14:14" x14ac:dyDescent="0.25">
      <c r="N251" s="19"/>
    </row>
    <row r="252" spans="14:14" x14ac:dyDescent="0.25">
      <c r="N252" s="19"/>
    </row>
    <row r="253" spans="14:14" x14ac:dyDescent="0.25">
      <c r="N253" s="19"/>
    </row>
    <row r="254" spans="14:14" x14ac:dyDescent="0.25">
      <c r="N254" s="19"/>
    </row>
    <row r="255" spans="14:14" x14ac:dyDescent="0.25">
      <c r="N255" s="19"/>
    </row>
    <row r="256" spans="14:14" x14ac:dyDescent="0.25">
      <c r="N256" s="19"/>
    </row>
    <row r="257" spans="14:14" x14ac:dyDescent="0.25">
      <c r="N257" s="19"/>
    </row>
    <row r="258" spans="14:14" x14ac:dyDescent="0.25">
      <c r="N258" s="19"/>
    </row>
    <row r="259" spans="14:14" x14ac:dyDescent="0.25">
      <c r="N259" s="19"/>
    </row>
    <row r="260" spans="14:14" x14ac:dyDescent="0.25">
      <c r="N260" s="19"/>
    </row>
    <row r="261" spans="14:14" x14ac:dyDescent="0.25">
      <c r="N261" s="19"/>
    </row>
    <row r="262" spans="14:14" x14ac:dyDescent="0.25">
      <c r="N262" s="19"/>
    </row>
    <row r="263" spans="14:14" x14ac:dyDescent="0.25">
      <c r="N263" s="19"/>
    </row>
    <row r="264" spans="14:14" x14ac:dyDescent="0.25">
      <c r="N264" s="19"/>
    </row>
    <row r="265" spans="14:14" x14ac:dyDescent="0.25">
      <c r="N265" s="19"/>
    </row>
    <row r="266" spans="14:14" x14ac:dyDescent="0.25">
      <c r="N266" s="19"/>
    </row>
    <row r="267" spans="14:14" x14ac:dyDescent="0.25">
      <c r="N267" s="19"/>
    </row>
    <row r="268" spans="14:14" x14ac:dyDescent="0.25">
      <c r="N268" s="19"/>
    </row>
    <row r="269" spans="14:14" x14ac:dyDescent="0.25">
      <c r="N269" s="19"/>
    </row>
    <row r="270" spans="14:14" x14ac:dyDescent="0.25">
      <c r="N270" s="19"/>
    </row>
    <row r="271" spans="14:14" x14ac:dyDescent="0.25">
      <c r="N271" s="19"/>
    </row>
    <row r="272" spans="14:14" x14ac:dyDescent="0.25">
      <c r="N272" s="19"/>
    </row>
    <row r="273" spans="14:14" x14ac:dyDescent="0.25">
      <c r="N273" s="19"/>
    </row>
    <row r="274" spans="14:14" x14ac:dyDescent="0.25">
      <c r="N274" s="19"/>
    </row>
    <row r="275" spans="14:14" x14ac:dyDescent="0.25">
      <c r="N275" s="19"/>
    </row>
    <row r="276" spans="14:14" x14ac:dyDescent="0.25">
      <c r="N276" s="19"/>
    </row>
    <row r="277" spans="14:14" x14ac:dyDescent="0.25">
      <c r="N277" s="19"/>
    </row>
    <row r="278" spans="14:14" x14ac:dyDescent="0.25">
      <c r="N278" s="19"/>
    </row>
    <row r="279" spans="14:14" x14ac:dyDescent="0.25">
      <c r="N279" s="19"/>
    </row>
    <row r="280" spans="14:14" x14ac:dyDescent="0.25">
      <c r="N280" s="19"/>
    </row>
    <row r="281" spans="14:14" x14ac:dyDescent="0.25">
      <c r="N281" s="19"/>
    </row>
    <row r="282" spans="14:14" x14ac:dyDescent="0.25">
      <c r="N282" s="19"/>
    </row>
    <row r="283" spans="14:14" x14ac:dyDescent="0.25">
      <c r="N283" s="19"/>
    </row>
    <row r="284" spans="14:14" x14ac:dyDescent="0.25">
      <c r="N284" s="19"/>
    </row>
    <row r="285" spans="14:14" x14ac:dyDescent="0.25">
      <c r="N285" s="19"/>
    </row>
    <row r="286" spans="14:14" x14ac:dyDescent="0.25">
      <c r="N286" s="19"/>
    </row>
    <row r="287" spans="14:14" x14ac:dyDescent="0.25">
      <c r="N287" s="19"/>
    </row>
    <row r="288" spans="14:14" x14ac:dyDescent="0.25">
      <c r="N288" s="19"/>
    </row>
    <row r="289" spans="14:14" x14ac:dyDescent="0.25">
      <c r="N289" s="19"/>
    </row>
    <row r="290" spans="14:14" x14ac:dyDescent="0.25">
      <c r="N290" s="19"/>
    </row>
    <row r="291" spans="14:14" x14ac:dyDescent="0.25">
      <c r="N291" s="19"/>
    </row>
    <row r="292" spans="14:14" x14ac:dyDescent="0.25">
      <c r="N292" s="19"/>
    </row>
    <row r="293" spans="14:14" x14ac:dyDescent="0.25">
      <c r="N293" s="19"/>
    </row>
    <row r="294" spans="14:14" x14ac:dyDescent="0.25">
      <c r="N294" s="19"/>
    </row>
    <row r="295" spans="14:14" x14ac:dyDescent="0.25">
      <c r="N295" s="19"/>
    </row>
    <row r="296" spans="14:14" x14ac:dyDescent="0.25">
      <c r="N296" s="19"/>
    </row>
    <row r="297" spans="14:14" x14ac:dyDescent="0.25">
      <c r="N297" s="19"/>
    </row>
    <row r="298" spans="14:14" x14ac:dyDescent="0.25">
      <c r="N298" s="19"/>
    </row>
    <row r="299" spans="14:14" x14ac:dyDescent="0.25">
      <c r="N299" s="19"/>
    </row>
    <row r="300" spans="14:14" x14ac:dyDescent="0.25">
      <c r="N300" s="19"/>
    </row>
    <row r="301" spans="14:14" x14ac:dyDescent="0.25">
      <c r="N301" s="19"/>
    </row>
    <row r="302" spans="14:14" x14ac:dyDescent="0.25">
      <c r="N302" s="19"/>
    </row>
    <row r="303" spans="14:14" x14ac:dyDescent="0.25">
      <c r="N303" s="19"/>
    </row>
    <row r="304" spans="14:14" x14ac:dyDescent="0.25">
      <c r="N304" s="19"/>
    </row>
    <row r="305" spans="14:14" x14ac:dyDescent="0.25">
      <c r="N305" s="19"/>
    </row>
    <row r="306" spans="14:14" x14ac:dyDescent="0.25">
      <c r="N306" s="19"/>
    </row>
    <row r="307" spans="14:14" x14ac:dyDescent="0.25">
      <c r="N307" s="19"/>
    </row>
    <row r="308" spans="14:14" x14ac:dyDescent="0.25">
      <c r="N308" s="19"/>
    </row>
    <row r="309" spans="14:14" x14ac:dyDescent="0.25">
      <c r="N309" s="19"/>
    </row>
    <row r="310" spans="14:14" x14ac:dyDescent="0.25">
      <c r="N310" s="19"/>
    </row>
    <row r="311" spans="14:14" x14ac:dyDescent="0.25">
      <c r="N311" s="19"/>
    </row>
    <row r="312" spans="14:14" x14ac:dyDescent="0.25">
      <c r="N312" s="19"/>
    </row>
    <row r="313" spans="14:14" x14ac:dyDescent="0.25">
      <c r="N313" s="19"/>
    </row>
    <row r="314" spans="14:14" x14ac:dyDescent="0.25">
      <c r="N314" s="19"/>
    </row>
    <row r="315" spans="14:14" x14ac:dyDescent="0.25">
      <c r="N315" s="19"/>
    </row>
    <row r="316" spans="14:14" x14ac:dyDescent="0.25">
      <c r="N316" s="19"/>
    </row>
    <row r="317" spans="14:14" x14ac:dyDescent="0.25">
      <c r="N317" s="19"/>
    </row>
    <row r="318" spans="14:14" x14ac:dyDescent="0.25">
      <c r="N318" s="19"/>
    </row>
    <row r="319" spans="14:14" x14ac:dyDescent="0.25">
      <c r="N319" s="19"/>
    </row>
    <row r="320" spans="14:14" x14ac:dyDescent="0.25">
      <c r="N320" s="19"/>
    </row>
    <row r="321" spans="14:14" x14ac:dyDescent="0.25">
      <c r="N321" s="19"/>
    </row>
    <row r="322" spans="14:14" x14ac:dyDescent="0.25">
      <c r="N322" s="19"/>
    </row>
    <row r="323" spans="14:14" x14ac:dyDescent="0.25">
      <c r="N323" s="19"/>
    </row>
    <row r="324" spans="14:14" x14ac:dyDescent="0.25">
      <c r="N324" s="19"/>
    </row>
    <row r="325" spans="14:14" x14ac:dyDescent="0.25">
      <c r="N325" s="19"/>
    </row>
    <row r="326" spans="14:14" x14ac:dyDescent="0.25">
      <c r="N326" s="19"/>
    </row>
    <row r="327" spans="14:14" x14ac:dyDescent="0.25">
      <c r="N327" s="19"/>
    </row>
    <row r="328" spans="14:14" x14ac:dyDescent="0.25">
      <c r="N328" s="19"/>
    </row>
    <row r="329" spans="14:14" x14ac:dyDescent="0.25">
      <c r="N329" s="19"/>
    </row>
    <row r="330" spans="14:14" x14ac:dyDescent="0.25">
      <c r="N330" s="19"/>
    </row>
    <row r="331" spans="14:14" x14ac:dyDescent="0.25">
      <c r="N331" s="19"/>
    </row>
    <row r="332" spans="14:14" x14ac:dyDescent="0.25">
      <c r="N332" s="19"/>
    </row>
    <row r="333" spans="14:14" x14ac:dyDescent="0.25">
      <c r="N333" s="19"/>
    </row>
    <row r="334" spans="14:14" x14ac:dyDescent="0.25">
      <c r="N334" s="19"/>
    </row>
    <row r="335" spans="14:14" x14ac:dyDescent="0.25">
      <c r="N335" s="19"/>
    </row>
    <row r="336" spans="14:14" x14ac:dyDescent="0.25">
      <c r="N336" s="19"/>
    </row>
    <row r="337" spans="14:14" x14ac:dyDescent="0.25">
      <c r="N337" s="19"/>
    </row>
    <row r="338" spans="14:14" x14ac:dyDescent="0.25">
      <c r="N338" s="19"/>
    </row>
    <row r="339" spans="14:14" x14ac:dyDescent="0.25">
      <c r="N339" s="19"/>
    </row>
    <row r="340" spans="14:14" x14ac:dyDescent="0.25">
      <c r="N340" s="19"/>
    </row>
    <row r="341" spans="14:14" x14ac:dyDescent="0.25">
      <c r="N341" s="19"/>
    </row>
    <row r="342" spans="14:14" x14ac:dyDescent="0.25">
      <c r="N342" s="19"/>
    </row>
    <row r="343" spans="14:14" x14ac:dyDescent="0.25">
      <c r="N343" s="19"/>
    </row>
    <row r="344" spans="14:14" x14ac:dyDescent="0.25">
      <c r="N344" s="19"/>
    </row>
    <row r="345" spans="14:14" x14ac:dyDescent="0.25">
      <c r="N345" s="19"/>
    </row>
    <row r="346" spans="14:14" x14ac:dyDescent="0.25">
      <c r="N346" s="19"/>
    </row>
    <row r="347" spans="14:14" x14ac:dyDescent="0.25">
      <c r="N347" s="19"/>
    </row>
    <row r="348" spans="14:14" x14ac:dyDescent="0.25">
      <c r="N348" s="19"/>
    </row>
    <row r="349" spans="14:14" x14ac:dyDescent="0.25">
      <c r="N349" s="19"/>
    </row>
    <row r="350" spans="14:14" x14ac:dyDescent="0.25">
      <c r="N350" s="19"/>
    </row>
    <row r="351" spans="14:14" x14ac:dyDescent="0.25">
      <c r="N351" s="19"/>
    </row>
    <row r="352" spans="14:14" x14ac:dyDescent="0.25">
      <c r="N352" s="19"/>
    </row>
    <row r="353" spans="14:14" x14ac:dyDescent="0.25">
      <c r="N353" s="19"/>
    </row>
    <row r="354" spans="14:14" x14ac:dyDescent="0.25">
      <c r="N354" s="19"/>
    </row>
    <row r="355" spans="14:14" x14ac:dyDescent="0.25">
      <c r="N355" s="19"/>
    </row>
    <row r="356" spans="14:14" x14ac:dyDescent="0.25">
      <c r="N356" s="19"/>
    </row>
    <row r="357" spans="14:14" x14ac:dyDescent="0.25">
      <c r="N357" s="19"/>
    </row>
    <row r="358" spans="14:14" x14ac:dyDescent="0.25">
      <c r="N358" s="19"/>
    </row>
    <row r="359" spans="14:14" x14ac:dyDescent="0.25">
      <c r="N359" s="19"/>
    </row>
    <row r="360" spans="14:14" x14ac:dyDescent="0.25">
      <c r="N360" s="19"/>
    </row>
    <row r="361" spans="14:14" x14ac:dyDescent="0.25">
      <c r="N361" s="19"/>
    </row>
    <row r="362" spans="14:14" x14ac:dyDescent="0.25">
      <c r="N362" s="19"/>
    </row>
    <row r="363" spans="14:14" x14ac:dyDescent="0.25">
      <c r="N363" s="19"/>
    </row>
    <row r="364" spans="14:14" x14ac:dyDescent="0.25">
      <c r="N364" s="19"/>
    </row>
    <row r="365" spans="14:14" x14ac:dyDescent="0.25">
      <c r="N365" s="19"/>
    </row>
    <row r="366" spans="14:14" x14ac:dyDescent="0.25">
      <c r="N366" s="19"/>
    </row>
    <row r="367" spans="14:14" x14ac:dyDescent="0.25">
      <c r="N367" s="19"/>
    </row>
    <row r="368" spans="14:14" x14ac:dyDescent="0.25">
      <c r="N368" s="19"/>
    </row>
    <row r="369" spans="14:14" x14ac:dyDescent="0.25">
      <c r="N369" s="19"/>
    </row>
    <row r="370" spans="14:14" x14ac:dyDescent="0.25">
      <c r="N370" s="19"/>
    </row>
    <row r="371" spans="14:14" x14ac:dyDescent="0.25">
      <c r="N371" s="19"/>
    </row>
    <row r="372" spans="14:14" x14ac:dyDescent="0.25">
      <c r="N372" s="19"/>
    </row>
    <row r="373" spans="14:14" x14ac:dyDescent="0.25">
      <c r="N373" s="19"/>
    </row>
    <row r="374" spans="14:14" x14ac:dyDescent="0.25">
      <c r="N374" s="19"/>
    </row>
    <row r="375" spans="14:14" x14ac:dyDescent="0.25">
      <c r="N375" s="19"/>
    </row>
    <row r="376" spans="14:14" x14ac:dyDescent="0.25">
      <c r="N376" s="19"/>
    </row>
    <row r="377" spans="14:14" x14ac:dyDescent="0.25">
      <c r="N377" s="19"/>
    </row>
    <row r="378" spans="14:14" x14ac:dyDescent="0.25">
      <c r="N378" s="19"/>
    </row>
    <row r="379" spans="14:14" x14ac:dyDescent="0.25">
      <c r="N379" s="19"/>
    </row>
    <row r="380" spans="14:14" x14ac:dyDescent="0.25">
      <c r="N380" s="19"/>
    </row>
    <row r="381" spans="14:14" x14ac:dyDescent="0.25">
      <c r="N381" s="19"/>
    </row>
    <row r="382" spans="14:14" x14ac:dyDescent="0.25">
      <c r="N382" s="19"/>
    </row>
    <row r="383" spans="14:14" x14ac:dyDescent="0.25">
      <c r="N383" s="19"/>
    </row>
    <row r="384" spans="14:14" x14ac:dyDescent="0.25">
      <c r="N384" s="19"/>
    </row>
    <row r="385" spans="14:14" x14ac:dyDescent="0.25">
      <c r="N385" s="19"/>
    </row>
    <row r="386" spans="14:14" x14ac:dyDescent="0.25">
      <c r="N386" s="19"/>
    </row>
    <row r="387" spans="14:14" x14ac:dyDescent="0.25">
      <c r="N387" s="19"/>
    </row>
    <row r="388" spans="14:14" x14ac:dyDescent="0.25">
      <c r="N388" s="19"/>
    </row>
    <row r="389" spans="14:14" x14ac:dyDescent="0.25">
      <c r="N389" s="19"/>
    </row>
    <row r="390" spans="14:14" x14ac:dyDescent="0.25">
      <c r="N390" s="19"/>
    </row>
    <row r="391" spans="14:14" x14ac:dyDescent="0.25">
      <c r="N391" s="19"/>
    </row>
    <row r="392" spans="14:14" x14ac:dyDescent="0.25">
      <c r="N392" s="19"/>
    </row>
    <row r="393" spans="14:14" x14ac:dyDescent="0.25">
      <c r="N393" s="19"/>
    </row>
    <row r="394" spans="14:14" x14ac:dyDescent="0.25">
      <c r="N394" s="19"/>
    </row>
    <row r="395" spans="14:14" x14ac:dyDescent="0.25">
      <c r="N395" s="19"/>
    </row>
    <row r="396" spans="14:14" x14ac:dyDescent="0.25">
      <c r="N396" s="19"/>
    </row>
    <row r="397" spans="14:14" x14ac:dyDescent="0.25">
      <c r="N397" s="19"/>
    </row>
    <row r="398" spans="14:14" x14ac:dyDescent="0.25">
      <c r="N398" s="19"/>
    </row>
    <row r="399" spans="14:14" x14ac:dyDescent="0.25">
      <c r="N399" s="19"/>
    </row>
    <row r="400" spans="14:14" x14ac:dyDescent="0.25">
      <c r="N400" s="19"/>
    </row>
    <row r="401" spans="14:14" x14ac:dyDescent="0.25">
      <c r="N401" s="19"/>
    </row>
    <row r="402" spans="14:14" x14ac:dyDescent="0.25">
      <c r="N402" s="19"/>
    </row>
    <row r="403" spans="14:14" x14ac:dyDescent="0.25">
      <c r="N403" s="19"/>
    </row>
    <row r="404" spans="14:14" x14ac:dyDescent="0.25">
      <c r="N404" s="19"/>
    </row>
    <row r="405" spans="14:14" x14ac:dyDescent="0.25">
      <c r="N405" s="19"/>
    </row>
    <row r="406" spans="14:14" x14ac:dyDescent="0.25">
      <c r="N406" s="19"/>
    </row>
    <row r="407" spans="14:14" x14ac:dyDescent="0.25">
      <c r="N407" s="19"/>
    </row>
    <row r="408" spans="14:14" x14ac:dyDescent="0.25">
      <c r="N408" s="19"/>
    </row>
    <row r="409" spans="14:14" x14ac:dyDescent="0.25">
      <c r="N409" s="19"/>
    </row>
    <row r="410" spans="14:14" x14ac:dyDescent="0.25">
      <c r="N410" s="19"/>
    </row>
    <row r="411" spans="14:14" x14ac:dyDescent="0.25">
      <c r="N411" s="19"/>
    </row>
    <row r="412" spans="14:14" x14ac:dyDescent="0.25">
      <c r="N412" s="19"/>
    </row>
    <row r="413" spans="14:14" x14ac:dyDescent="0.25">
      <c r="N413" s="19"/>
    </row>
    <row r="414" spans="14:14" x14ac:dyDescent="0.25">
      <c r="N414" s="19"/>
    </row>
    <row r="415" spans="14:14" x14ac:dyDescent="0.25">
      <c r="N415" s="19"/>
    </row>
    <row r="416" spans="14:14" x14ac:dyDescent="0.25">
      <c r="N416" s="19"/>
    </row>
    <row r="417" spans="14:14" x14ac:dyDescent="0.25">
      <c r="N417" s="19"/>
    </row>
    <row r="418" spans="14:14" x14ac:dyDescent="0.25">
      <c r="N418" s="19"/>
    </row>
    <row r="419" spans="14:14" x14ac:dyDescent="0.25">
      <c r="N419" s="19"/>
    </row>
    <row r="420" spans="14:14" x14ac:dyDescent="0.25">
      <c r="N420" s="19"/>
    </row>
    <row r="421" spans="14:14" x14ac:dyDescent="0.25">
      <c r="N421" s="19"/>
    </row>
    <row r="422" spans="14:14" x14ac:dyDescent="0.25">
      <c r="N422" s="19"/>
    </row>
    <row r="423" spans="14:14" x14ac:dyDescent="0.25">
      <c r="N423" s="19"/>
    </row>
    <row r="424" spans="14:14" x14ac:dyDescent="0.25">
      <c r="N424" s="19"/>
    </row>
    <row r="425" spans="14:14" x14ac:dyDescent="0.25">
      <c r="N425" s="19"/>
    </row>
    <row r="426" spans="14:14" x14ac:dyDescent="0.25">
      <c r="N426" s="19"/>
    </row>
    <row r="427" spans="14:14" x14ac:dyDescent="0.25">
      <c r="N427" s="19"/>
    </row>
    <row r="428" spans="14:14" x14ac:dyDescent="0.25">
      <c r="N428" s="19"/>
    </row>
    <row r="429" spans="14:14" x14ac:dyDescent="0.25">
      <c r="N429" s="19"/>
    </row>
    <row r="430" spans="14:14" x14ac:dyDescent="0.25">
      <c r="N430" s="19"/>
    </row>
    <row r="431" spans="14:14" x14ac:dyDescent="0.25">
      <c r="N431" s="19"/>
    </row>
    <row r="432" spans="14:14" x14ac:dyDescent="0.25">
      <c r="N432" s="19"/>
    </row>
    <row r="433" spans="14:14" x14ac:dyDescent="0.25">
      <c r="N433" s="19"/>
    </row>
    <row r="434" spans="14:14" x14ac:dyDescent="0.25">
      <c r="N434" s="19"/>
    </row>
    <row r="435" spans="14:14" x14ac:dyDescent="0.25">
      <c r="N435" s="19"/>
    </row>
    <row r="436" spans="14:14" x14ac:dyDescent="0.25">
      <c r="N436" s="19"/>
    </row>
    <row r="437" spans="14:14" x14ac:dyDescent="0.25">
      <c r="N437" s="19"/>
    </row>
    <row r="438" spans="14:14" x14ac:dyDescent="0.25">
      <c r="N438" s="19"/>
    </row>
    <row r="439" spans="14:14" x14ac:dyDescent="0.25">
      <c r="N439" s="19"/>
    </row>
    <row r="440" spans="14:14" x14ac:dyDescent="0.25">
      <c r="N440" s="19"/>
    </row>
    <row r="441" spans="14:14" x14ac:dyDescent="0.25">
      <c r="N441" s="19"/>
    </row>
    <row r="442" spans="14:14" x14ac:dyDescent="0.25">
      <c r="N442" s="19"/>
    </row>
    <row r="443" spans="14:14" x14ac:dyDescent="0.25">
      <c r="N443" s="19"/>
    </row>
    <row r="444" spans="14:14" x14ac:dyDescent="0.25">
      <c r="N444" s="19"/>
    </row>
    <row r="445" spans="14:14" x14ac:dyDescent="0.25">
      <c r="N445" s="19"/>
    </row>
    <row r="446" spans="14:14" x14ac:dyDescent="0.25">
      <c r="N446" s="19"/>
    </row>
    <row r="447" spans="14:14" x14ac:dyDescent="0.25">
      <c r="N447" s="19"/>
    </row>
    <row r="448" spans="14:14" x14ac:dyDescent="0.25">
      <c r="N448" s="19"/>
    </row>
    <row r="449" spans="14:14" x14ac:dyDescent="0.25">
      <c r="N449" s="19"/>
    </row>
    <row r="450" spans="14:14" x14ac:dyDescent="0.25">
      <c r="N450" s="19"/>
    </row>
    <row r="451" spans="14:14" x14ac:dyDescent="0.25">
      <c r="N451" s="19"/>
    </row>
    <row r="452" spans="14:14" x14ac:dyDescent="0.25">
      <c r="N452" s="19"/>
    </row>
    <row r="453" spans="14:14" x14ac:dyDescent="0.25">
      <c r="N453" s="19"/>
    </row>
    <row r="454" spans="14:14" x14ac:dyDescent="0.25">
      <c r="N454" s="19"/>
    </row>
    <row r="455" spans="14:14" x14ac:dyDescent="0.25">
      <c r="N455" s="19"/>
    </row>
    <row r="456" spans="14:14" x14ac:dyDescent="0.25">
      <c r="N456" s="19"/>
    </row>
    <row r="457" spans="14:14" x14ac:dyDescent="0.25">
      <c r="N457" s="19"/>
    </row>
    <row r="458" spans="14:14" x14ac:dyDescent="0.25">
      <c r="N458" s="19"/>
    </row>
    <row r="459" spans="14:14" x14ac:dyDescent="0.25">
      <c r="N459" s="19"/>
    </row>
    <row r="460" spans="14:14" x14ac:dyDescent="0.25">
      <c r="N460" s="19"/>
    </row>
    <row r="461" spans="14:14" x14ac:dyDescent="0.25">
      <c r="N461" s="19"/>
    </row>
    <row r="462" spans="14:14" x14ac:dyDescent="0.25">
      <c r="N462" s="19"/>
    </row>
    <row r="463" spans="14:14" x14ac:dyDescent="0.25">
      <c r="N463" s="19"/>
    </row>
    <row r="464" spans="14:14" x14ac:dyDescent="0.25">
      <c r="N464" s="19"/>
    </row>
    <row r="465" spans="14:14" x14ac:dyDescent="0.25">
      <c r="N465" s="19"/>
    </row>
    <row r="466" spans="14:14" x14ac:dyDescent="0.25">
      <c r="N466" s="19"/>
    </row>
    <row r="467" spans="14:14" x14ac:dyDescent="0.25">
      <c r="N467" s="19"/>
    </row>
    <row r="468" spans="14:14" x14ac:dyDescent="0.25">
      <c r="N468" s="19"/>
    </row>
    <row r="469" spans="14:14" x14ac:dyDescent="0.25">
      <c r="N469" s="19"/>
    </row>
    <row r="470" spans="14:14" x14ac:dyDescent="0.25">
      <c r="N470" s="19"/>
    </row>
    <row r="471" spans="14:14" x14ac:dyDescent="0.25">
      <c r="N471" s="19"/>
    </row>
    <row r="472" spans="14:14" x14ac:dyDescent="0.25">
      <c r="N472" s="19"/>
    </row>
    <row r="473" spans="14:14" x14ac:dyDescent="0.25">
      <c r="N473" s="19"/>
    </row>
    <row r="474" spans="14:14" x14ac:dyDescent="0.25">
      <c r="N474" s="19"/>
    </row>
    <row r="475" spans="14:14" x14ac:dyDescent="0.25">
      <c r="N475" s="19"/>
    </row>
    <row r="476" spans="14:14" x14ac:dyDescent="0.25">
      <c r="N476" s="19"/>
    </row>
    <row r="477" spans="14:14" x14ac:dyDescent="0.25">
      <c r="N477" s="19"/>
    </row>
    <row r="478" spans="14:14" x14ac:dyDescent="0.25">
      <c r="N478" s="19"/>
    </row>
    <row r="479" spans="14:14" x14ac:dyDescent="0.25">
      <c r="N479" s="19"/>
    </row>
    <row r="480" spans="14:14" x14ac:dyDescent="0.25">
      <c r="N480" s="19"/>
    </row>
    <row r="481" spans="14:14" x14ac:dyDescent="0.25">
      <c r="N481" s="19"/>
    </row>
    <row r="482" spans="14:14" x14ac:dyDescent="0.25">
      <c r="N482" s="19"/>
    </row>
    <row r="483" spans="14:14" x14ac:dyDescent="0.25">
      <c r="N483" s="19"/>
    </row>
    <row r="484" spans="14:14" x14ac:dyDescent="0.25">
      <c r="N484" s="19"/>
    </row>
    <row r="485" spans="14:14" x14ac:dyDescent="0.25">
      <c r="N485" s="19"/>
    </row>
    <row r="486" spans="14:14" x14ac:dyDescent="0.25">
      <c r="N486" s="19"/>
    </row>
    <row r="487" spans="14:14" x14ac:dyDescent="0.25">
      <c r="N487" s="19"/>
    </row>
    <row r="488" spans="14:14" x14ac:dyDescent="0.25">
      <c r="N488" s="19"/>
    </row>
    <row r="489" spans="14:14" x14ac:dyDescent="0.25">
      <c r="N489" s="19"/>
    </row>
    <row r="490" spans="14:14" x14ac:dyDescent="0.25">
      <c r="N490" s="19"/>
    </row>
    <row r="491" spans="14:14" x14ac:dyDescent="0.25">
      <c r="N491" s="19"/>
    </row>
    <row r="492" spans="14:14" x14ac:dyDescent="0.25">
      <c r="N492" s="19"/>
    </row>
    <row r="493" spans="14:14" x14ac:dyDescent="0.25">
      <c r="N493" s="19"/>
    </row>
    <row r="494" spans="14:14" x14ac:dyDescent="0.25">
      <c r="N494" s="19"/>
    </row>
    <row r="495" spans="14:14" x14ac:dyDescent="0.25">
      <c r="N495" s="19"/>
    </row>
    <row r="496" spans="14:14" x14ac:dyDescent="0.25">
      <c r="N496" s="19"/>
    </row>
    <row r="497" spans="14:14" x14ac:dyDescent="0.25">
      <c r="N497" s="19"/>
    </row>
    <row r="498" spans="14:14" x14ac:dyDescent="0.25">
      <c r="N498" s="19"/>
    </row>
    <row r="499" spans="14:14" x14ac:dyDescent="0.25">
      <c r="N499" s="19"/>
    </row>
    <row r="500" spans="14:14" x14ac:dyDescent="0.25">
      <c r="N500" s="19"/>
    </row>
    <row r="501" spans="14:14" x14ac:dyDescent="0.25">
      <c r="N501" s="19"/>
    </row>
    <row r="502" spans="14:14" x14ac:dyDescent="0.25">
      <c r="N502" s="19"/>
    </row>
    <row r="503" spans="14:14" x14ac:dyDescent="0.25">
      <c r="N503" s="19"/>
    </row>
    <row r="504" spans="14:14" x14ac:dyDescent="0.25">
      <c r="N504" s="19"/>
    </row>
    <row r="505" spans="14:14" x14ac:dyDescent="0.25">
      <c r="N505" s="19"/>
    </row>
    <row r="506" spans="14:14" x14ac:dyDescent="0.25">
      <c r="N506" s="19"/>
    </row>
    <row r="507" spans="14:14" x14ac:dyDescent="0.25">
      <c r="N507" s="19"/>
    </row>
    <row r="508" spans="14:14" x14ac:dyDescent="0.25">
      <c r="N508" s="19"/>
    </row>
    <row r="509" spans="14:14" x14ac:dyDescent="0.25">
      <c r="N509" s="19"/>
    </row>
    <row r="510" spans="14:14" x14ac:dyDescent="0.25">
      <c r="N510" s="19"/>
    </row>
    <row r="511" spans="14:14" x14ac:dyDescent="0.25">
      <c r="N511" s="19"/>
    </row>
    <row r="512" spans="14:14" x14ac:dyDescent="0.25">
      <c r="N512" s="19"/>
    </row>
    <row r="513" spans="14:14" x14ac:dyDescent="0.25">
      <c r="N513" s="19"/>
    </row>
    <row r="514" spans="14:14" x14ac:dyDescent="0.25">
      <c r="N514" s="19"/>
    </row>
    <row r="515" spans="14:14" x14ac:dyDescent="0.25">
      <c r="N515" s="19"/>
    </row>
    <row r="516" spans="14:14" x14ac:dyDescent="0.25">
      <c r="N516" s="19"/>
    </row>
    <row r="517" spans="14:14" x14ac:dyDescent="0.25">
      <c r="N517" s="19"/>
    </row>
    <row r="518" spans="14:14" x14ac:dyDescent="0.25">
      <c r="N518" s="19"/>
    </row>
    <row r="519" spans="14:14" x14ac:dyDescent="0.25">
      <c r="N519" s="19"/>
    </row>
    <row r="520" spans="14:14" x14ac:dyDescent="0.25">
      <c r="N520" s="19"/>
    </row>
    <row r="521" spans="14:14" x14ac:dyDescent="0.25">
      <c r="N521" s="19"/>
    </row>
    <row r="522" spans="14:14" x14ac:dyDescent="0.25">
      <c r="N522" s="19"/>
    </row>
    <row r="523" spans="14:14" x14ac:dyDescent="0.25">
      <c r="N523" s="19"/>
    </row>
    <row r="524" spans="14:14" x14ac:dyDescent="0.25">
      <c r="N524" s="19"/>
    </row>
    <row r="525" spans="14:14" x14ac:dyDescent="0.25">
      <c r="N525" s="19"/>
    </row>
    <row r="526" spans="14:14" x14ac:dyDescent="0.25">
      <c r="N526" s="19"/>
    </row>
    <row r="527" spans="14:14" x14ac:dyDescent="0.25">
      <c r="N527" s="19"/>
    </row>
    <row r="528" spans="14:14" x14ac:dyDescent="0.25">
      <c r="N528" s="19"/>
    </row>
    <row r="529" spans="14:14" x14ac:dyDescent="0.25">
      <c r="N529" s="19"/>
    </row>
    <row r="530" spans="14:14" x14ac:dyDescent="0.25">
      <c r="N530" s="19"/>
    </row>
    <row r="531" spans="14:14" x14ac:dyDescent="0.25">
      <c r="N531" s="19"/>
    </row>
    <row r="532" spans="14:14" x14ac:dyDescent="0.25">
      <c r="N532" s="19"/>
    </row>
    <row r="533" spans="14:14" x14ac:dyDescent="0.25">
      <c r="N533" s="19"/>
    </row>
    <row r="534" spans="14:14" x14ac:dyDescent="0.25">
      <c r="N534" s="19"/>
    </row>
    <row r="535" spans="14:14" x14ac:dyDescent="0.25">
      <c r="N535" s="19"/>
    </row>
    <row r="536" spans="14:14" x14ac:dyDescent="0.25">
      <c r="N536" s="19"/>
    </row>
    <row r="537" spans="14:14" x14ac:dyDescent="0.25">
      <c r="N537" s="19"/>
    </row>
    <row r="538" spans="14:14" x14ac:dyDescent="0.25">
      <c r="N538" s="19"/>
    </row>
    <row r="539" spans="14:14" x14ac:dyDescent="0.25">
      <c r="N539" s="19"/>
    </row>
    <row r="540" spans="14:14" x14ac:dyDescent="0.25">
      <c r="N540" s="19"/>
    </row>
    <row r="541" spans="14:14" x14ac:dyDescent="0.25">
      <c r="N541" s="19"/>
    </row>
    <row r="542" spans="14:14" x14ac:dyDescent="0.25">
      <c r="N542" s="19"/>
    </row>
    <row r="543" spans="14:14" x14ac:dyDescent="0.25">
      <c r="N543" s="19"/>
    </row>
    <row r="544" spans="14:14" x14ac:dyDescent="0.25">
      <c r="N544" s="19"/>
    </row>
    <row r="545" spans="14:14" x14ac:dyDescent="0.25">
      <c r="N545" s="19"/>
    </row>
    <row r="546" spans="14:14" x14ac:dyDescent="0.25">
      <c r="N546" s="19"/>
    </row>
    <row r="547" spans="14:14" x14ac:dyDescent="0.25">
      <c r="N547" s="19"/>
    </row>
    <row r="548" spans="14:14" x14ac:dyDescent="0.25">
      <c r="N548" s="19"/>
    </row>
    <row r="549" spans="14:14" x14ac:dyDescent="0.25">
      <c r="N549" s="19"/>
    </row>
    <row r="550" spans="14:14" x14ac:dyDescent="0.25">
      <c r="N550" s="19"/>
    </row>
    <row r="551" spans="14:14" x14ac:dyDescent="0.25">
      <c r="N551" s="19"/>
    </row>
    <row r="552" spans="14:14" x14ac:dyDescent="0.25">
      <c r="N552" s="19"/>
    </row>
    <row r="553" spans="14:14" x14ac:dyDescent="0.25">
      <c r="N553" s="19"/>
    </row>
    <row r="554" spans="14:14" x14ac:dyDescent="0.25">
      <c r="N554" s="19"/>
    </row>
    <row r="555" spans="14:14" x14ac:dyDescent="0.25">
      <c r="N555" s="19"/>
    </row>
    <row r="556" spans="14:14" x14ac:dyDescent="0.25">
      <c r="N556" s="19"/>
    </row>
    <row r="557" spans="14:14" x14ac:dyDescent="0.25">
      <c r="N557" s="19"/>
    </row>
    <row r="558" spans="14:14" x14ac:dyDescent="0.25">
      <c r="N558" s="19"/>
    </row>
    <row r="559" spans="14:14" x14ac:dyDescent="0.25">
      <c r="N559" s="19"/>
    </row>
    <row r="560" spans="14:14" x14ac:dyDescent="0.25">
      <c r="N560" s="19"/>
    </row>
    <row r="561" spans="14:14" x14ac:dyDescent="0.25">
      <c r="N561" s="19"/>
    </row>
    <row r="562" spans="14:14" x14ac:dyDescent="0.25">
      <c r="N562" s="19"/>
    </row>
    <row r="563" spans="14:14" x14ac:dyDescent="0.25">
      <c r="N563" s="19"/>
    </row>
    <row r="564" spans="14:14" x14ac:dyDescent="0.25">
      <c r="N564" s="19"/>
    </row>
    <row r="565" spans="14:14" x14ac:dyDescent="0.25">
      <c r="N565" s="19"/>
    </row>
    <row r="566" spans="14:14" x14ac:dyDescent="0.25">
      <c r="N566" s="19"/>
    </row>
    <row r="567" spans="14:14" x14ac:dyDescent="0.25">
      <c r="N567" s="19"/>
    </row>
    <row r="568" spans="14:14" x14ac:dyDescent="0.25">
      <c r="N568" s="19"/>
    </row>
    <row r="569" spans="14:14" x14ac:dyDescent="0.25">
      <c r="N569" s="19"/>
    </row>
    <row r="570" spans="14:14" x14ac:dyDescent="0.25">
      <c r="N570" s="19"/>
    </row>
    <row r="571" spans="14:14" x14ac:dyDescent="0.25">
      <c r="N571" s="19"/>
    </row>
    <row r="572" spans="14:14" x14ac:dyDescent="0.25">
      <c r="N572" s="19"/>
    </row>
    <row r="573" spans="14:14" x14ac:dyDescent="0.25">
      <c r="N573" s="19"/>
    </row>
    <row r="574" spans="14:14" x14ac:dyDescent="0.25">
      <c r="N574" s="19"/>
    </row>
    <row r="575" spans="14:14" x14ac:dyDescent="0.25">
      <c r="N575" s="19"/>
    </row>
    <row r="576" spans="14:14" x14ac:dyDescent="0.25">
      <c r="N576" s="19"/>
    </row>
    <row r="577" spans="14:14" x14ac:dyDescent="0.25">
      <c r="N577" s="19"/>
    </row>
    <row r="578" spans="14:14" x14ac:dyDescent="0.25">
      <c r="N578" s="19"/>
    </row>
    <row r="579" spans="14:14" x14ac:dyDescent="0.25">
      <c r="N579" s="19"/>
    </row>
    <row r="580" spans="14:14" x14ac:dyDescent="0.25">
      <c r="N580" s="19"/>
    </row>
    <row r="581" spans="14:14" x14ac:dyDescent="0.25">
      <c r="N581" s="19"/>
    </row>
    <row r="582" spans="14:14" x14ac:dyDescent="0.25">
      <c r="N582" s="19"/>
    </row>
    <row r="583" spans="14:14" x14ac:dyDescent="0.25">
      <c r="N583" s="19"/>
    </row>
    <row r="584" spans="14:14" x14ac:dyDescent="0.25">
      <c r="N584" s="19"/>
    </row>
    <row r="585" spans="14:14" x14ac:dyDescent="0.25">
      <c r="N585" s="19"/>
    </row>
    <row r="586" spans="14:14" x14ac:dyDescent="0.25">
      <c r="N586" s="19"/>
    </row>
    <row r="587" spans="14:14" x14ac:dyDescent="0.25">
      <c r="N587" s="19"/>
    </row>
    <row r="588" spans="14:14" x14ac:dyDescent="0.25">
      <c r="N588" s="19"/>
    </row>
    <row r="589" spans="14:14" x14ac:dyDescent="0.25">
      <c r="N589" s="19"/>
    </row>
    <row r="590" spans="14:14" x14ac:dyDescent="0.25">
      <c r="N590" s="19"/>
    </row>
    <row r="591" spans="14:14" x14ac:dyDescent="0.25">
      <c r="N591" s="19"/>
    </row>
    <row r="592" spans="14:14" x14ac:dyDescent="0.25">
      <c r="N592" s="19"/>
    </row>
    <row r="593" spans="14:14" x14ac:dyDescent="0.25">
      <c r="N593" s="19"/>
    </row>
    <row r="594" spans="14:14" x14ac:dyDescent="0.25">
      <c r="N594" s="19"/>
    </row>
    <row r="595" spans="14:14" x14ac:dyDescent="0.25">
      <c r="N595" s="19"/>
    </row>
    <row r="596" spans="14:14" x14ac:dyDescent="0.25">
      <c r="N596" s="19"/>
    </row>
    <row r="597" spans="14:14" x14ac:dyDescent="0.25">
      <c r="N597" s="19"/>
    </row>
    <row r="598" spans="14:14" x14ac:dyDescent="0.25">
      <c r="N598" s="19"/>
    </row>
    <row r="599" spans="14:14" x14ac:dyDescent="0.25">
      <c r="N599" s="19"/>
    </row>
    <row r="600" spans="14:14" x14ac:dyDescent="0.25">
      <c r="N600" s="19"/>
    </row>
    <row r="601" spans="14:14" x14ac:dyDescent="0.25">
      <c r="N601" s="19"/>
    </row>
    <row r="602" spans="14:14" x14ac:dyDescent="0.25">
      <c r="N602" s="19"/>
    </row>
    <row r="603" spans="14:14" x14ac:dyDescent="0.25">
      <c r="N603" s="19"/>
    </row>
    <row r="604" spans="14:14" x14ac:dyDescent="0.25">
      <c r="N604" s="19"/>
    </row>
    <row r="605" spans="14:14" x14ac:dyDescent="0.25">
      <c r="N605" s="19"/>
    </row>
    <row r="606" spans="14:14" x14ac:dyDescent="0.25">
      <c r="N606" s="19"/>
    </row>
    <row r="607" spans="14:14" x14ac:dyDescent="0.25">
      <c r="N607" s="19"/>
    </row>
    <row r="608" spans="14:14" x14ac:dyDescent="0.25">
      <c r="N608" s="19"/>
    </row>
    <row r="609" spans="14:14" x14ac:dyDescent="0.25">
      <c r="N609" s="19"/>
    </row>
    <row r="610" spans="14:14" x14ac:dyDescent="0.25">
      <c r="N610" s="19"/>
    </row>
    <row r="611" spans="14:14" x14ac:dyDescent="0.25">
      <c r="N611" s="19"/>
    </row>
    <row r="612" spans="14:14" x14ac:dyDescent="0.25">
      <c r="N612" s="19"/>
    </row>
    <row r="613" spans="14:14" x14ac:dyDescent="0.25">
      <c r="N613" s="19"/>
    </row>
    <row r="614" spans="14:14" x14ac:dyDescent="0.25">
      <c r="N614" s="19"/>
    </row>
    <row r="615" spans="14:14" x14ac:dyDescent="0.25">
      <c r="N615" s="19"/>
    </row>
    <row r="616" spans="14:14" x14ac:dyDescent="0.25">
      <c r="N616" s="19"/>
    </row>
    <row r="617" spans="14:14" x14ac:dyDescent="0.25">
      <c r="N617" s="19"/>
    </row>
    <row r="618" spans="14:14" x14ac:dyDescent="0.25">
      <c r="N618" s="19"/>
    </row>
    <row r="619" spans="14:14" x14ac:dyDescent="0.25">
      <c r="N619" s="19"/>
    </row>
    <row r="620" spans="14:14" x14ac:dyDescent="0.25">
      <c r="N620" s="19"/>
    </row>
    <row r="621" spans="14:14" x14ac:dyDescent="0.25">
      <c r="N621" s="19"/>
    </row>
    <row r="622" spans="14:14" x14ac:dyDescent="0.25">
      <c r="N622" s="19"/>
    </row>
    <row r="623" spans="14:14" x14ac:dyDescent="0.25">
      <c r="N623" s="19"/>
    </row>
    <row r="624" spans="14:14" x14ac:dyDescent="0.25">
      <c r="N624" s="19"/>
    </row>
    <row r="625" spans="14:14" x14ac:dyDescent="0.25">
      <c r="N625" s="19"/>
    </row>
    <row r="626" spans="14:14" x14ac:dyDescent="0.25">
      <c r="N626" s="19"/>
    </row>
    <row r="627" spans="14:14" x14ac:dyDescent="0.25">
      <c r="N627" s="19"/>
    </row>
    <row r="628" spans="14:14" x14ac:dyDescent="0.25">
      <c r="N628" s="19"/>
    </row>
    <row r="629" spans="14:14" x14ac:dyDescent="0.25">
      <c r="N629" s="19"/>
    </row>
    <row r="630" spans="14:14" x14ac:dyDescent="0.25">
      <c r="N630" s="19"/>
    </row>
    <row r="631" spans="14:14" x14ac:dyDescent="0.25">
      <c r="N631" s="19"/>
    </row>
    <row r="632" spans="14:14" x14ac:dyDescent="0.25">
      <c r="N632" s="19"/>
    </row>
    <row r="633" spans="14:14" x14ac:dyDescent="0.25">
      <c r="N633" s="19"/>
    </row>
    <row r="634" spans="14:14" x14ac:dyDescent="0.25">
      <c r="N634" s="19"/>
    </row>
    <row r="635" spans="14:14" x14ac:dyDescent="0.25">
      <c r="N635" s="19"/>
    </row>
    <row r="636" spans="14:14" x14ac:dyDescent="0.25">
      <c r="N636" s="19"/>
    </row>
    <row r="637" spans="14:14" x14ac:dyDescent="0.25">
      <c r="N637" s="19"/>
    </row>
    <row r="638" spans="14:14" x14ac:dyDescent="0.25">
      <c r="N638" s="19"/>
    </row>
    <row r="639" spans="14:14" x14ac:dyDescent="0.25">
      <c r="N639" s="19"/>
    </row>
    <row r="640" spans="14:14" x14ac:dyDescent="0.25">
      <c r="N640" s="19"/>
    </row>
    <row r="641" spans="14:14" x14ac:dyDescent="0.25">
      <c r="N641" s="19"/>
    </row>
    <row r="642" spans="14:14" x14ac:dyDescent="0.25">
      <c r="N642" s="19"/>
    </row>
    <row r="643" spans="14:14" x14ac:dyDescent="0.25">
      <c r="N643" s="19"/>
    </row>
    <row r="644" spans="14:14" x14ac:dyDescent="0.25">
      <c r="N644" s="19"/>
    </row>
    <row r="645" spans="14:14" x14ac:dyDescent="0.25">
      <c r="N645" s="19"/>
    </row>
    <row r="646" spans="14:14" x14ac:dyDescent="0.25">
      <c r="N646" s="19"/>
    </row>
    <row r="647" spans="14:14" x14ac:dyDescent="0.25">
      <c r="N647" s="19"/>
    </row>
    <row r="648" spans="14:14" x14ac:dyDescent="0.25">
      <c r="N648" s="19"/>
    </row>
    <row r="649" spans="14:14" x14ac:dyDescent="0.25">
      <c r="N649" s="19"/>
    </row>
    <row r="650" spans="14:14" x14ac:dyDescent="0.25">
      <c r="N650" s="19"/>
    </row>
    <row r="651" spans="14:14" x14ac:dyDescent="0.25">
      <c r="N651" s="19"/>
    </row>
    <row r="652" spans="14:14" x14ac:dyDescent="0.25">
      <c r="N652" s="19"/>
    </row>
    <row r="653" spans="14:14" x14ac:dyDescent="0.25">
      <c r="N653" s="19"/>
    </row>
    <row r="654" spans="14:14" x14ac:dyDescent="0.25">
      <c r="N654" s="19"/>
    </row>
    <row r="655" spans="14:14" x14ac:dyDescent="0.25">
      <c r="N655" s="19"/>
    </row>
    <row r="656" spans="14:14" x14ac:dyDescent="0.25">
      <c r="N656" s="19"/>
    </row>
    <row r="657" spans="14:14" x14ac:dyDescent="0.25">
      <c r="N657" s="19"/>
    </row>
    <row r="658" spans="14:14" x14ac:dyDescent="0.25">
      <c r="N658" s="19"/>
    </row>
    <row r="659" spans="14:14" x14ac:dyDescent="0.25">
      <c r="N659" s="19"/>
    </row>
    <row r="660" spans="14:14" x14ac:dyDescent="0.25">
      <c r="N660" s="19"/>
    </row>
    <row r="661" spans="14:14" x14ac:dyDescent="0.25">
      <c r="N661" s="19"/>
    </row>
    <row r="662" spans="14:14" x14ac:dyDescent="0.25">
      <c r="N662" s="19"/>
    </row>
    <row r="663" spans="14:14" x14ac:dyDescent="0.25">
      <c r="N663" s="19"/>
    </row>
    <row r="664" spans="14:14" x14ac:dyDescent="0.25">
      <c r="N664" s="19"/>
    </row>
    <row r="665" spans="14:14" x14ac:dyDescent="0.25">
      <c r="N665" s="19"/>
    </row>
    <row r="666" spans="14:14" x14ac:dyDescent="0.25">
      <c r="N666" s="19"/>
    </row>
    <row r="667" spans="14:14" x14ac:dyDescent="0.25">
      <c r="N667" s="19"/>
    </row>
    <row r="668" spans="14:14" x14ac:dyDescent="0.25">
      <c r="N668" s="19"/>
    </row>
    <row r="669" spans="14:14" x14ac:dyDescent="0.25">
      <c r="N669" s="19"/>
    </row>
    <row r="670" spans="14:14" x14ac:dyDescent="0.25">
      <c r="N670" s="19"/>
    </row>
    <row r="671" spans="14:14" x14ac:dyDescent="0.25">
      <c r="N671" s="19"/>
    </row>
    <row r="672" spans="14:14" x14ac:dyDescent="0.25">
      <c r="N672" s="19"/>
    </row>
    <row r="673" spans="14:14" x14ac:dyDescent="0.25">
      <c r="N673" s="19"/>
    </row>
    <row r="674" spans="14:14" x14ac:dyDescent="0.25">
      <c r="N674" s="19"/>
    </row>
    <row r="675" spans="14:14" x14ac:dyDescent="0.25">
      <c r="N675" s="19"/>
    </row>
    <row r="676" spans="14:14" x14ac:dyDescent="0.25">
      <c r="N676" s="19"/>
    </row>
    <row r="677" spans="14:14" x14ac:dyDescent="0.25">
      <c r="N677" s="19"/>
    </row>
    <row r="678" spans="14:14" x14ac:dyDescent="0.25">
      <c r="N678" s="19"/>
    </row>
    <row r="679" spans="14:14" x14ac:dyDescent="0.25">
      <c r="N679" s="19"/>
    </row>
    <row r="680" spans="14:14" x14ac:dyDescent="0.25">
      <c r="N680" s="19"/>
    </row>
    <row r="681" spans="14:14" x14ac:dyDescent="0.25">
      <c r="N681" s="19"/>
    </row>
    <row r="682" spans="14:14" x14ac:dyDescent="0.25">
      <c r="N682" s="19"/>
    </row>
    <row r="683" spans="14:14" x14ac:dyDescent="0.25">
      <c r="N683" s="19"/>
    </row>
    <row r="684" spans="14:14" x14ac:dyDescent="0.25">
      <c r="N684" s="19"/>
    </row>
    <row r="685" spans="14:14" x14ac:dyDescent="0.25">
      <c r="N685" s="19"/>
    </row>
    <row r="686" spans="14:14" x14ac:dyDescent="0.25">
      <c r="N686" s="19"/>
    </row>
    <row r="687" spans="14:14" x14ac:dyDescent="0.25">
      <c r="N687" s="19"/>
    </row>
    <row r="688" spans="14:14" x14ac:dyDescent="0.25">
      <c r="N688" s="19"/>
    </row>
    <row r="689" spans="14:14" x14ac:dyDescent="0.25">
      <c r="N689" s="19"/>
    </row>
    <row r="690" spans="14:14" x14ac:dyDescent="0.25">
      <c r="N690" s="19"/>
    </row>
    <row r="691" spans="14:14" x14ac:dyDescent="0.25">
      <c r="N691" s="19"/>
    </row>
    <row r="692" spans="14:14" x14ac:dyDescent="0.25">
      <c r="N692" s="19"/>
    </row>
    <row r="693" spans="14:14" x14ac:dyDescent="0.25">
      <c r="N693" s="19"/>
    </row>
    <row r="694" spans="14:14" x14ac:dyDescent="0.25">
      <c r="N694" s="19"/>
    </row>
    <row r="695" spans="14:14" x14ac:dyDescent="0.25">
      <c r="N695" s="19"/>
    </row>
    <row r="696" spans="14:14" x14ac:dyDescent="0.25">
      <c r="N696" s="19"/>
    </row>
    <row r="697" spans="14:14" x14ac:dyDescent="0.25">
      <c r="N697" s="19"/>
    </row>
    <row r="698" spans="14:14" x14ac:dyDescent="0.25">
      <c r="N698" s="19"/>
    </row>
    <row r="699" spans="14:14" x14ac:dyDescent="0.25">
      <c r="N699" s="19"/>
    </row>
    <row r="700" spans="14:14" x14ac:dyDescent="0.25">
      <c r="N700" s="19"/>
    </row>
    <row r="701" spans="14:14" x14ac:dyDescent="0.25">
      <c r="N701" s="19"/>
    </row>
    <row r="702" spans="14:14" x14ac:dyDescent="0.25">
      <c r="N702" s="19"/>
    </row>
    <row r="703" spans="14:14" x14ac:dyDescent="0.25">
      <c r="N703" s="19"/>
    </row>
    <row r="704" spans="14:14" x14ac:dyDescent="0.25">
      <c r="N704" s="19"/>
    </row>
    <row r="705" spans="14:14" x14ac:dyDescent="0.25">
      <c r="N705" s="19"/>
    </row>
    <row r="706" spans="14:14" x14ac:dyDescent="0.25">
      <c r="N706" s="19"/>
    </row>
    <row r="707" spans="14:14" x14ac:dyDescent="0.25">
      <c r="N707" s="19"/>
    </row>
    <row r="708" spans="14:14" x14ac:dyDescent="0.25">
      <c r="N708" s="19"/>
    </row>
    <row r="709" spans="14:14" x14ac:dyDescent="0.25">
      <c r="N709" s="19"/>
    </row>
    <row r="710" spans="14:14" x14ac:dyDescent="0.25">
      <c r="N710" s="19"/>
    </row>
    <row r="711" spans="14:14" x14ac:dyDescent="0.25">
      <c r="N711" s="19"/>
    </row>
    <row r="712" spans="14:14" x14ac:dyDescent="0.25">
      <c r="N712" s="19"/>
    </row>
    <row r="713" spans="14:14" x14ac:dyDescent="0.25">
      <c r="N713" s="19"/>
    </row>
    <row r="714" spans="14:14" x14ac:dyDescent="0.25">
      <c r="N714" s="19"/>
    </row>
    <row r="715" spans="14:14" x14ac:dyDescent="0.25">
      <c r="N715" s="19"/>
    </row>
    <row r="716" spans="14:14" x14ac:dyDescent="0.25">
      <c r="N716" s="19"/>
    </row>
    <row r="717" spans="14:14" x14ac:dyDescent="0.25">
      <c r="N717" s="19"/>
    </row>
    <row r="718" spans="14:14" x14ac:dyDescent="0.25">
      <c r="N718" s="19"/>
    </row>
    <row r="719" spans="14:14" x14ac:dyDescent="0.25">
      <c r="N719" s="19"/>
    </row>
    <row r="720" spans="14:14" x14ac:dyDescent="0.25">
      <c r="N720" s="19"/>
    </row>
    <row r="721" spans="14:14" x14ac:dyDescent="0.25">
      <c r="N721" s="19"/>
    </row>
    <row r="722" spans="14:14" x14ac:dyDescent="0.25">
      <c r="N722" s="19"/>
    </row>
    <row r="723" spans="14:14" x14ac:dyDescent="0.25">
      <c r="N723" s="19"/>
    </row>
    <row r="724" spans="14:14" x14ac:dyDescent="0.25">
      <c r="N724" s="19"/>
    </row>
    <row r="725" spans="14:14" x14ac:dyDescent="0.25">
      <c r="N725" s="19"/>
    </row>
    <row r="726" spans="14:14" x14ac:dyDescent="0.25">
      <c r="N726" s="19"/>
    </row>
    <row r="727" spans="14:14" x14ac:dyDescent="0.25">
      <c r="N727" s="19"/>
    </row>
    <row r="728" spans="14:14" x14ac:dyDescent="0.25">
      <c r="N728" s="19"/>
    </row>
    <row r="729" spans="14:14" x14ac:dyDescent="0.25">
      <c r="N729" s="19"/>
    </row>
    <row r="730" spans="14:14" x14ac:dyDescent="0.25">
      <c r="N730" s="19"/>
    </row>
    <row r="731" spans="14:14" x14ac:dyDescent="0.25">
      <c r="N731" s="19"/>
    </row>
    <row r="732" spans="14:14" x14ac:dyDescent="0.25">
      <c r="N732" s="19"/>
    </row>
    <row r="733" spans="14:14" x14ac:dyDescent="0.25">
      <c r="N733" s="19"/>
    </row>
    <row r="734" spans="14:14" x14ac:dyDescent="0.25">
      <c r="N734" s="19"/>
    </row>
    <row r="735" spans="14:14" x14ac:dyDescent="0.25">
      <c r="N735" s="19"/>
    </row>
    <row r="736" spans="14:14" x14ac:dyDescent="0.25">
      <c r="N736" s="19"/>
    </row>
    <row r="737" spans="14:14" x14ac:dyDescent="0.25">
      <c r="N737" s="19"/>
    </row>
    <row r="738" spans="14:14" x14ac:dyDescent="0.25">
      <c r="N738" s="19"/>
    </row>
    <row r="739" spans="14:14" x14ac:dyDescent="0.25">
      <c r="N739" s="19"/>
    </row>
    <row r="740" spans="14:14" x14ac:dyDescent="0.25">
      <c r="N740" s="19"/>
    </row>
    <row r="741" spans="14:14" x14ac:dyDescent="0.25">
      <c r="N741" s="19"/>
    </row>
    <row r="742" spans="14:14" x14ac:dyDescent="0.25">
      <c r="N742" s="19"/>
    </row>
    <row r="743" spans="14:14" x14ac:dyDescent="0.25">
      <c r="N743" s="19"/>
    </row>
    <row r="744" spans="14:14" x14ac:dyDescent="0.25">
      <c r="N744" s="19"/>
    </row>
    <row r="745" spans="14:14" x14ac:dyDescent="0.25">
      <c r="N745" s="19"/>
    </row>
    <row r="746" spans="14:14" x14ac:dyDescent="0.25">
      <c r="N746" s="19"/>
    </row>
    <row r="747" spans="14:14" x14ac:dyDescent="0.25">
      <c r="N747" s="19"/>
    </row>
    <row r="748" spans="14:14" x14ac:dyDescent="0.25">
      <c r="N748" s="19"/>
    </row>
    <row r="749" spans="14:14" x14ac:dyDescent="0.25">
      <c r="N749" s="19"/>
    </row>
    <row r="750" spans="14:14" x14ac:dyDescent="0.25">
      <c r="N750" s="19"/>
    </row>
    <row r="751" spans="14:14" x14ac:dyDescent="0.25">
      <c r="N751" s="19"/>
    </row>
    <row r="752" spans="14:14" x14ac:dyDescent="0.25">
      <c r="N752" s="19"/>
    </row>
    <row r="753" spans="14:14" x14ac:dyDescent="0.25">
      <c r="N753" s="19"/>
    </row>
    <row r="754" spans="14:14" x14ac:dyDescent="0.25">
      <c r="N754" s="19"/>
    </row>
    <row r="755" spans="14:14" x14ac:dyDescent="0.25">
      <c r="N755" s="19"/>
    </row>
    <row r="756" spans="14:14" x14ac:dyDescent="0.25">
      <c r="N756" s="19"/>
    </row>
    <row r="757" spans="14:14" x14ac:dyDescent="0.25">
      <c r="N757" s="19"/>
    </row>
    <row r="758" spans="14:14" x14ac:dyDescent="0.25">
      <c r="N758" s="19"/>
    </row>
    <row r="759" spans="14:14" x14ac:dyDescent="0.25">
      <c r="N759" s="19"/>
    </row>
    <row r="760" spans="14:14" x14ac:dyDescent="0.25">
      <c r="N760" s="19"/>
    </row>
    <row r="761" spans="14:14" x14ac:dyDescent="0.25">
      <c r="N761" s="19"/>
    </row>
    <row r="762" spans="14:14" x14ac:dyDescent="0.25">
      <c r="N762" s="19"/>
    </row>
    <row r="763" spans="14:14" x14ac:dyDescent="0.25">
      <c r="N763" s="19"/>
    </row>
    <row r="764" spans="14:14" x14ac:dyDescent="0.25">
      <c r="N764" s="19"/>
    </row>
    <row r="765" spans="14:14" x14ac:dyDescent="0.25">
      <c r="N765" s="19"/>
    </row>
    <row r="766" spans="14:14" x14ac:dyDescent="0.25">
      <c r="N766" s="19"/>
    </row>
    <row r="767" spans="14:14" x14ac:dyDescent="0.25">
      <c r="N767" s="19"/>
    </row>
    <row r="768" spans="14:14" x14ac:dyDescent="0.25">
      <c r="N768" s="19"/>
    </row>
    <row r="769" spans="14:14" x14ac:dyDescent="0.25">
      <c r="N769" s="19"/>
    </row>
    <row r="770" spans="14:14" x14ac:dyDescent="0.25">
      <c r="N770" s="19"/>
    </row>
    <row r="771" spans="14:14" x14ac:dyDescent="0.25">
      <c r="N771" s="19"/>
    </row>
    <row r="772" spans="14:14" x14ac:dyDescent="0.25">
      <c r="N772" s="19"/>
    </row>
    <row r="773" spans="14:14" x14ac:dyDescent="0.25">
      <c r="N773" s="19"/>
    </row>
    <row r="774" spans="14:14" x14ac:dyDescent="0.25">
      <c r="N774" s="19"/>
    </row>
    <row r="775" spans="14:14" x14ac:dyDescent="0.25">
      <c r="N775" s="19"/>
    </row>
    <row r="776" spans="14:14" x14ac:dyDescent="0.25">
      <c r="N776" s="19"/>
    </row>
    <row r="777" spans="14:14" x14ac:dyDescent="0.25">
      <c r="N777" s="19"/>
    </row>
    <row r="778" spans="14:14" x14ac:dyDescent="0.25">
      <c r="N778" s="19"/>
    </row>
    <row r="779" spans="14:14" x14ac:dyDescent="0.25">
      <c r="N779" s="19"/>
    </row>
    <row r="780" spans="14:14" x14ac:dyDescent="0.25">
      <c r="N780" s="19"/>
    </row>
    <row r="781" spans="14:14" x14ac:dyDescent="0.25">
      <c r="N781" s="19"/>
    </row>
    <row r="782" spans="14:14" x14ac:dyDescent="0.25">
      <c r="N782" s="19"/>
    </row>
    <row r="783" spans="14:14" x14ac:dyDescent="0.25">
      <c r="N783" s="19"/>
    </row>
    <row r="784" spans="14:14" x14ac:dyDescent="0.25">
      <c r="N784" s="19"/>
    </row>
    <row r="785" spans="14:14" x14ac:dyDescent="0.25">
      <c r="N785" s="19"/>
    </row>
    <row r="786" spans="14:14" x14ac:dyDescent="0.25">
      <c r="N786" s="19"/>
    </row>
    <row r="787" spans="14:14" x14ac:dyDescent="0.25">
      <c r="N787" s="19"/>
    </row>
    <row r="788" spans="14:14" x14ac:dyDescent="0.25">
      <c r="N788" s="19"/>
    </row>
    <row r="789" spans="14:14" x14ac:dyDescent="0.25">
      <c r="N789" s="19"/>
    </row>
    <row r="790" spans="14:14" x14ac:dyDescent="0.25">
      <c r="N790" s="19"/>
    </row>
    <row r="791" spans="14:14" x14ac:dyDescent="0.25">
      <c r="N791" s="19"/>
    </row>
    <row r="792" spans="14:14" x14ac:dyDescent="0.25">
      <c r="N792" s="19"/>
    </row>
    <row r="793" spans="14:14" x14ac:dyDescent="0.25">
      <c r="N793" s="19"/>
    </row>
    <row r="794" spans="14:14" x14ac:dyDescent="0.25">
      <c r="N794" s="19"/>
    </row>
    <row r="795" spans="14:14" x14ac:dyDescent="0.25">
      <c r="N795" s="19"/>
    </row>
    <row r="796" spans="14:14" x14ac:dyDescent="0.25">
      <c r="N796" s="19"/>
    </row>
    <row r="797" spans="14:14" x14ac:dyDescent="0.25">
      <c r="N797" s="19"/>
    </row>
    <row r="798" spans="14:14" x14ac:dyDescent="0.25">
      <c r="N798" s="19"/>
    </row>
    <row r="799" spans="14:14" x14ac:dyDescent="0.25">
      <c r="N799" s="19"/>
    </row>
    <row r="800" spans="14:14" x14ac:dyDescent="0.25">
      <c r="N800" s="19"/>
    </row>
    <row r="801" spans="14:14" x14ac:dyDescent="0.25">
      <c r="N801" s="19"/>
    </row>
    <row r="802" spans="14:14" x14ac:dyDescent="0.25">
      <c r="N802" s="19"/>
    </row>
    <row r="803" spans="14:14" x14ac:dyDescent="0.25">
      <c r="N803" s="19"/>
    </row>
    <row r="804" spans="14:14" x14ac:dyDescent="0.25">
      <c r="N804" s="19"/>
    </row>
    <row r="805" spans="14:14" x14ac:dyDescent="0.25">
      <c r="N805" s="19"/>
    </row>
    <row r="806" spans="14:14" x14ac:dyDescent="0.25">
      <c r="N806" s="19"/>
    </row>
    <row r="807" spans="14:14" x14ac:dyDescent="0.25">
      <c r="N807" s="19"/>
    </row>
    <row r="808" spans="14:14" x14ac:dyDescent="0.25">
      <c r="N808" s="19"/>
    </row>
    <row r="809" spans="14:14" x14ac:dyDescent="0.25">
      <c r="N809" s="19"/>
    </row>
    <row r="810" spans="14:14" x14ac:dyDescent="0.25">
      <c r="N810" s="19"/>
    </row>
    <row r="811" spans="14:14" x14ac:dyDescent="0.25">
      <c r="N811" s="19"/>
    </row>
    <row r="812" spans="14:14" x14ac:dyDescent="0.25">
      <c r="N812" s="19"/>
    </row>
    <row r="813" spans="14:14" x14ac:dyDescent="0.25">
      <c r="N813" s="19"/>
    </row>
    <row r="814" spans="14:14" x14ac:dyDescent="0.25">
      <c r="N814" s="19"/>
    </row>
    <row r="815" spans="14:14" x14ac:dyDescent="0.25">
      <c r="N815" s="19"/>
    </row>
    <row r="816" spans="14:14" x14ac:dyDescent="0.25">
      <c r="N816" s="19"/>
    </row>
    <row r="817" spans="14:14" x14ac:dyDescent="0.25">
      <c r="N817" s="19"/>
    </row>
    <row r="818" spans="14:14" x14ac:dyDescent="0.25">
      <c r="N818" s="19"/>
    </row>
    <row r="819" spans="14:14" x14ac:dyDescent="0.25">
      <c r="N819" s="19"/>
    </row>
    <row r="820" spans="14:14" x14ac:dyDescent="0.25">
      <c r="N820" s="19"/>
    </row>
    <row r="821" spans="14:14" x14ac:dyDescent="0.25">
      <c r="N821" s="19"/>
    </row>
    <row r="822" spans="14:14" x14ac:dyDescent="0.25">
      <c r="N822" s="19"/>
    </row>
    <row r="823" spans="14:14" x14ac:dyDescent="0.25">
      <c r="N823" s="19"/>
    </row>
    <row r="824" spans="14:14" x14ac:dyDescent="0.25">
      <c r="N824" s="19"/>
    </row>
    <row r="825" spans="14:14" x14ac:dyDescent="0.25">
      <c r="N825" s="19"/>
    </row>
    <row r="826" spans="14:14" x14ac:dyDescent="0.25">
      <c r="N826" s="19"/>
    </row>
    <row r="827" spans="14:14" x14ac:dyDescent="0.25">
      <c r="N827" s="19"/>
    </row>
    <row r="828" spans="14:14" x14ac:dyDescent="0.25">
      <c r="N828" s="19"/>
    </row>
    <row r="829" spans="14:14" x14ac:dyDescent="0.25">
      <c r="N829" s="19"/>
    </row>
    <row r="830" spans="14:14" x14ac:dyDescent="0.25">
      <c r="N830" s="19"/>
    </row>
    <row r="831" spans="14:14" x14ac:dyDescent="0.25">
      <c r="N831" s="19"/>
    </row>
    <row r="832" spans="14:14" x14ac:dyDescent="0.25">
      <c r="N832" s="19"/>
    </row>
    <row r="833" spans="14:14" x14ac:dyDescent="0.25">
      <c r="N833" s="19"/>
    </row>
    <row r="834" spans="14:14" x14ac:dyDescent="0.25">
      <c r="N834" s="19"/>
    </row>
    <row r="835" spans="14:14" x14ac:dyDescent="0.25">
      <c r="N835" s="19"/>
    </row>
    <row r="836" spans="14:14" x14ac:dyDescent="0.25">
      <c r="N836" s="19"/>
    </row>
    <row r="837" spans="14:14" x14ac:dyDescent="0.25">
      <c r="N837" s="19"/>
    </row>
    <row r="838" spans="14:14" x14ac:dyDescent="0.25">
      <c r="N838" s="19"/>
    </row>
    <row r="839" spans="14:14" x14ac:dyDescent="0.25">
      <c r="N839" s="19"/>
    </row>
    <row r="840" spans="14:14" x14ac:dyDescent="0.25">
      <c r="N840" s="19"/>
    </row>
    <row r="841" spans="14:14" x14ac:dyDescent="0.25">
      <c r="N841" s="19"/>
    </row>
    <row r="842" spans="14:14" x14ac:dyDescent="0.25">
      <c r="N842" s="19"/>
    </row>
    <row r="843" spans="14:14" x14ac:dyDescent="0.25">
      <c r="N843" s="19"/>
    </row>
    <row r="844" spans="14:14" x14ac:dyDescent="0.25">
      <c r="N844" s="19"/>
    </row>
    <row r="845" spans="14:14" x14ac:dyDescent="0.25">
      <c r="N845" s="19"/>
    </row>
    <row r="846" spans="14:14" x14ac:dyDescent="0.25">
      <c r="N846" s="19"/>
    </row>
    <row r="847" spans="14:14" x14ac:dyDescent="0.25">
      <c r="N847" s="19"/>
    </row>
    <row r="848" spans="14:14" x14ac:dyDescent="0.25">
      <c r="N848" s="19"/>
    </row>
    <row r="849" spans="14:14" x14ac:dyDescent="0.25">
      <c r="N849" s="19"/>
    </row>
    <row r="850" spans="14:14" x14ac:dyDescent="0.25">
      <c r="N850" s="19"/>
    </row>
    <row r="851" spans="14:14" x14ac:dyDescent="0.25">
      <c r="N851" s="19"/>
    </row>
    <row r="852" spans="14:14" x14ac:dyDescent="0.25">
      <c r="N852" s="19"/>
    </row>
    <row r="853" spans="14:14" x14ac:dyDescent="0.25">
      <c r="N853" s="19"/>
    </row>
    <row r="854" spans="14:14" x14ac:dyDescent="0.25">
      <c r="N854" s="19"/>
    </row>
    <row r="855" spans="14:14" x14ac:dyDescent="0.25">
      <c r="N855" s="19"/>
    </row>
    <row r="856" spans="14:14" x14ac:dyDescent="0.25">
      <c r="N856" s="19"/>
    </row>
    <row r="857" spans="14:14" x14ac:dyDescent="0.25">
      <c r="N857" s="19"/>
    </row>
    <row r="858" spans="14:14" x14ac:dyDescent="0.25">
      <c r="N858" s="19"/>
    </row>
    <row r="859" spans="14:14" x14ac:dyDescent="0.25">
      <c r="N859" s="19"/>
    </row>
    <row r="860" spans="14:14" x14ac:dyDescent="0.25">
      <c r="N860" s="19"/>
    </row>
    <row r="861" spans="14:14" x14ac:dyDescent="0.25">
      <c r="N861" s="19"/>
    </row>
    <row r="862" spans="14:14" x14ac:dyDescent="0.25">
      <c r="N862" s="19"/>
    </row>
    <row r="863" spans="14:14" x14ac:dyDescent="0.25">
      <c r="N863" s="19"/>
    </row>
    <row r="864" spans="14:14" x14ac:dyDescent="0.25">
      <c r="N864" s="19"/>
    </row>
    <row r="865" spans="14:14" x14ac:dyDescent="0.25">
      <c r="N865" s="19"/>
    </row>
    <row r="866" spans="14:14" x14ac:dyDescent="0.25">
      <c r="N866" s="19"/>
    </row>
    <row r="867" spans="14:14" x14ac:dyDescent="0.25">
      <c r="N867" s="19"/>
    </row>
    <row r="868" spans="14:14" x14ac:dyDescent="0.25">
      <c r="N868" s="19"/>
    </row>
    <row r="869" spans="14:14" x14ac:dyDescent="0.25">
      <c r="N869" s="19"/>
    </row>
    <row r="870" spans="14:14" x14ac:dyDescent="0.25">
      <c r="N870" s="19"/>
    </row>
    <row r="871" spans="14:14" x14ac:dyDescent="0.25">
      <c r="N871" s="19"/>
    </row>
    <row r="872" spans="14:14" x14ac:dyDescent="0.25">
      <c r="N872" s="19"/>
    </row>
    <row r="873" spans="14:14" x14ac:dyDescent="0.25">
      <c r="N873" s="19"/>
    </row>
    <row r="874" spans="14:14" x14ac:dyDescent="0.25">
      <c r="N874" s="19"/>
    </row>
    <row r="875" spans="14:14" x14ac:dyDescent="0.25">
      <c r="N875" s="19"/>
    </row>
    <row r="876" spans="14:14" x14ac:dyDescent="0.25">
      <c r="N876" s="19"/>
    </row>
    <row r="877" spans="14:14" x14ac:dyDescent="0.25">
      <c r="N877" s="19"/>
    </row>
    <row r="878" spans="14:14" x14ac:dyDescent="0.25">
      <c r="N878" s="19"/>
    </row>
    <row r="879" spans="14:14" x14ac:dyDescent="0.25">
      <c r="N879" s="19"/>
    </row>
    <row r="880" spans="14:14" x14ac:dyDescent="0.25">
      <c r="N880" s="19"/>
    </row>
    <row r="881" spans="14:14" x14ac:dyDescent="0.25">
      <c r="N881" s="19"/>
    </row>
    <row r="882" spans="14:14" x14ac:dyDescent="0.25">
      <c r="N882" s="19"/>
    </row>
    <row r="883" spans="14:14" x14ac:dyDescent="0.25">
      <c r="N883" s="19"/>
    </row>
    <row r="884" spans="14:14" x14ac:dyDescent="0.25">
      <c r="N884" s="19"/>
    </row>
    <row r="885" spans="14:14" x14ac:dyDescent="0.25">
      <c r="N885" s="19"/>
    </row>
    <row r="886" spans="14:14" x14ac:dyDescent="0.25">
      <c r="N886" s="19"/>
    </row>
    <row r="887" spans="14:14" x14ac:dyDescent="0.25">
      <c r="N887" s="19"/>
    </row>
    <row r="888" spans="14:14" x14ac:dyDescent="0.25">
      <c r="N888" s="19"/>
    </row>
    <row r="889" spans="14:14" x14ac:dyDescent="0.25">
      <c r="N889" s="19"/>
    </row>
    <row r="890" spans="14:14" x14ac:dyDescent="0.25">
      <c r="N890" s="19"/>
    </row>
    <row r="891" spans="14:14" x14ac:dyDescent="0.25">
      <c r="N891" s="19"/>
    </row>
    <row r="892" spans="14:14" x14ac:dyDescent="0.25">
      <c r="N892" s="19"/>
    </row>
    <row r="893" spans="14:14" x14ac:dyDescent="0.25">
      <c r="N893" s="19"/>
    </row>
    <row r="894" spans="14:14" x14ac:dyDescent="0.25">
      <c r="N894" s="19"/>
    </row>
    <row r="895" spans="14:14" x14ac:dyDescent="0.25">
      <c r="N895" s="19"/>
    </row>
    <row r="896" spans="14:14" x14ac:dyDescent="0.25">
      <c r="N896" s="19"/>
    </row>
    <row r="897" spans="14:14" x14ac:dyDescent="0.25">
      <c r="N897" s="19"/>
    </row>
    <row r="898" spans="14:14" x14ac:dyDescent="0.25">
      <c r="N898" s="19"/>
    </row>
    <row r="899" spans="14:14" x14ac:dyDescent="0.25">
      <c r="N899" s="19"/>
    </row>
    <row r="900" spans="14:14" x14ac:dyDescent="0.25">
      <c r="N900" s="19"/>
    </row>
    <row r="901" spans="14:14" x14ac:dyDescent="0.25">
      <c r="N901" s="19"/>
    </row>
    <row r="902" spans="14:14" x14ac:dyDescent="0.25">
      <c r="N902" s="19"/>
    </row>
    <row r="903" spans="14:14" x14ac:dyDescent="0.25">
      <c r="N903" s="19"/>
    </row>
    <row r="904" spans="14:14" x14ac:dyDescent="0.25">
      <c r="N904" s="19"/>
    </row>
    <row r="905" spans="14:14" x14ac:dyDescent="0.25">
      <c r="N905" s="19"/>
    </row>
  </sheetData>
  <mergeCells count="1">
    <mergeCell ref="F1:H1"/>
  </mergeCells>
  <pageMargins left="0.75" right="0.75" top="1" bottom="1" header="0.5" footer="0.5"/>
  <pageSetup orientation="portrait" horizontalDpi="4294967292" verticalDpi="4294967292"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733"/>
  <sheetViews>
    <sheetView workbookViewId="0">
      <pane ySplit="4" topLeftCell="A5" activePane="bottomLeft" state="frozen"/>
      <selection pane="bottomLeft" activeCell="W14" sqref="W14"/>
    </sheetView>
  </sheetViews>
  <sheetFormatPr defaultColWidth="11" defaultRowHeight="15.75" x14ac:dyDescent="0.25"/>
  <cols>
    <col min="1" max="1" width="33.375" customWidth="1"/>
    <col min="2" max="9" width="14.125" bestFit="1" customWidth="1"/>
    <col min="10" max="10" width="14.375" bestFit="1" customWidth="1"/>
    <col min="11" max="11" width="13.875" style="278" customWidth="1"/>
    <col min="12" max="12" width="13.875" customWidth="1"/>
    <col min="13" max="13" width="15.125" hidden="1" customWidth="1"/>
    <col min="14" max="14" width="13.875" style="124" customWidth="1"/>
  </cols>
  <sheetData>
    <row r="1" spans="1:14" ht="18.75" x14ac:dyDescent="0.3">
      <c r="A1" s="36" t="s">
        <v>345</v>
      </c>
      <c r="F1" s="1020" t="s">
        <v>154</v>
      </c>
      <c r="G1" s="1020"/>
      <c r="H1" s="1020"/>
      <c r="J1" s="148"/>
      <c r="K1" s="295"/>
      <c r="L1" s="148"/>
      <c r="M1" s="148"/>
    </row>
    <row r="2" spans="1:14" x14ac:dyDescent="0.25">
      <c r="A2" s="2"/>
      <c r="B2" s="2"/>
      <c r="C2" s="2"/>
      <c r="D2" s="2"/>
      <c r="E2" s="2"/>
      <c r="F2" s="2"/>
      <c r="G2" s="2"/>
      <c r="H2" s="2"/>
      <c r="I2" s="2"/>
      <c r="J2" s="149"/>
      <c r="K2" s="195"/>
      <c r="L2" s="149"/>
      <c r="M2" s="149"/>
    </row>
    <row r="3" spans="1:14" x14ac:dyDescent="0.25">
      <c r="A3" s="2"/>
      <c r="B3" s="435" t="s">
        <v>58</v>
      </c>
      <c r="C3" s="366" t="s">
        <v>58</v>
      </c>
      <c r="D3" s="366" t="s">
        <v>58</v>
      </c>
      <c r="E3" s="366" t="s">
        <v>58</v>
      </c>
      <c r="F3" s="366" t="s">
        <v>58</v>
      </c>
      <c r="G3" s="366" t="s">
        <v>58</v>
      </c>
      <c r="H3" s="366" t="s">
        <v>58</v>
      </c>
      <c r="I3" s="366" t="s">
        <v>58</v>
      </c>
      <c r="J3" s="436" t="s">
        <v>58</v>
      </c>
      <c r="K3" s="366" t="s">
        <v>58</v>
      </c>
      <c r="L3" s="441" t="s">
        <v>58</v>
      </c>
      <c r="M3" s="366" t="s">
        <v>58</v>
      </c>
    </row>
    <row r="4" spans="1:14" x14ac:dyDescent="0.25">
      <c r="A4" s="2"/>
      <c r="B4" s="437" t="s">
        <v>55</v>
      </c>
      <c r="C4" s="67" t="s">
        <v>55</v>
      </c>
      <c r="D4" s="67" t="s">
        <v>55</v>
      </c>
      <c r="E4" s="67" t="s">
        <v>55</v>
      </c>
      <c r="F4" s="67" t="s">
        <v>55</v>
      </c>
      <c r="G4" s="67" t="s">
        <v>55</v>
      </c>
      <c r="H4" s="67" t="s">
        <v>55</v>
      </c>
      <c r="I4" s="67" t="s">
        <v>55</v>
      </c>
      <c r="J4" s="438" t="s">
        <v>55</v>
      </c>
      <c r="K4" s="67" t="s">
        <v>151</v>
      </c>
      <c r="L4" s="442" t="s">
        <v>56</v>
      </c>
      <c r="M4" s="67" t="s">
        <v>253</v>
      </c>
    </row>
    <row r="5" spans="1:14" ht="16.5" thickBot="1" x14ac:dyDescent="0.3">
      <c r="B5" s="439">
        <v>2009</v>
      </c>
      <c r="C5" s="46">
        <v>2010</v>
      </c>
      <c r="D5" s="46">
        <v>2011</v>
      </c>
      <c r="E5" s="46">
        <v>2012</v>
      </c>
      <c r="F5" s="46">
        <v>2013</v>
      </c>
      <c r="G5" s="46">
        <v>2014</v>
      </c>
      <c r="H5" s="46">
        <v>2015</v>
      </c>
      <c r="I5" s="46">
        <v>2016</v>
      </c>
      <c r="J5" s="526">
        <v>2017</v>
      </c>
      <c r="K5" s="46">
        <v>2018</v>
      </c>
      <c r="L5" s="456">
        <v>2019</v>
      </c>
      <c r="M5" s="46">
        <v>2018</v>
      </c>
    </row>
    <row r="6" spans="1:14" s="278" customFormat="1" ht="18.75" x14ac:dyDescent="0.3">
      <c r="A6" s="850" t="s">
        <v>333</v>
      </c>
      <c r="B6" s="371"/>
      <c r="C6" s="371"/>
      <c r="D6" s="371"/>
      <c r="E6" s="371"/>
      <c r="F6" s="371"/>
      <c r="G6" s="371"/>
      <c r="H6" s="371"/>
      <c r="I6" s="371"/>
      <c r="J6" s="379"/>
      <c r="K6" s="463"/>
      <c r="L6" s="464"/>
      <c r="M6" s="379"/>
      <c r="N6" s="126"/>
    </row>
    <row r="7" spans="1:14" x14ac:dyDescent="0.25">
      <c r="A7" s="851" t="s">
        <v>92</v>
      </c>
      <c r="B7" s="315">
        <v>1011383</v>
      </c>
      <c r="C7" s="315">
        <f>35243+253828</f>
        <v>289071</v>
      </c>
      <c r="D7" s="315">
        <f>30428+230687+143</f>
        <v>261258</v>
      </c>
      <c r="E7" s="315">
        <f>30829+245990+80</f>
        <v>276899</v>
      </c>
      <c r="F7" s="315">
        <f>26078+210832-140</f>
        <v>236770</v>
      </c>
      <c r="G7" s="315">
        <f>1200+199549+221</f>
        <v>200970</v>
      </c>
      <c r="H7" s="315">
        <f>12088+235954+877</f>
        <v>248919</v>
      </c>
      <c r="I7" s="315">
        <f>17895+922797+1314</f>
        <v>942006</v>
      </c>
      <c r="J7" s="381">
        <v>951729</v>
      </c>
      <c r="K7" s="315">
        <v>787600</v>
      </c>
      <c r="L7" s="372">
        <v>808497</v>
      </c>
      <c r="M7" s="381">
        <v>787600</v>
      </c>
      <c r="N7" s="121"/>
    </row>
    <row r="8" spans="1:14" x14ac:dyDescent="0.25">
      <c r="A8" s="852" t="s">
        <v>88</v>
      </c>
      <c r="B8" s="315">
        <v>0</v>
      </c>
      <c r="C8" s="315">
        <v>0</v>
      </c>
      <c r="D8" s="315">
        <v>0</v>
      </c>
      <c r="E8" s="315">
        <v>0</v>
      </c>
      <c r="F8" s="315">
        <v>0</v>
      </c>
      <c r="G8" s="315">
        <v>0</v>
      </c>
      <c r="H8" s="315">
        <v>0</v>
      </c>
      <c r="I8" s="315">
        <v>0</v>
      </c>
      <c r="J8" s="381">
        <v>0</v>
      </c>
      <c r="K8" s="315">
        <v>0</v>
      </c>
      <c r="L8" s="372">
        <v>0</v>
      </c>
      <c r="M8" s="381">
        <v>0</v>
      </c>
      <c r="N8" s="121"/>
    </row>
    <row r="9" spans="1:14" x14ac:dyDescent="0.25">
      <c r="A9" s="853" t="s">
        <v>93</v>
      </c>
      <c r="B9" s="315">
        <v>0</v>
      </c>
      <c r="C9" s="315">
        <v>0</v>
      </c>
      <c r="D9" s="315">
        <v>0</v>
      </c>
      <c r="E9" s="315">
        <v>0</v>
      </c>
      <c r="F9" s="315">
        <v>0</v>
      </c>
      <c r="G9" s="315">
        <v>0</v>
      </c>
      <c r="H9" s="315">
        <v>0</v>
      </c>
      <c r="I9" s="315">
        <v>0</v>
      </c>
      <c r="J9" s="381">
        <v>0</v>
      </c>
      <c r="K9" s="315">
        <v>0</v>
      </c>
      <c r="L9" s="372">
        <v>0</v>
      </c>
      <c r="M9" s="381">
        <v>0</v>
      </c>
      <c r="N9" s="121"/>
    </row>
    <row r="10" spans="1:14" x14ac:dyDescent="0.25">
      <c r="A10" s="854" t="s">
        <v>78</v>
      </c>
      <c r="B10" s="315">
        <v>0</v>
      </c>
      <c r="C10" s="315">
        <v>0</v>
      </c>
      <c r="D10" s="315">
        <v>0</v>
      </c>
      <c r="E10" s="315">
        <v>0</v>
      </c>
      <c r="F10" s="315">
        <v>0</v>
      </c>
      <c r="G10" s="315">
        <v>0</v>
      </c>
      <c r="H10" s="315">
        <v>0</v>
      </c>
      <c r="I10" s="315">
        <v>0</v>
      </c>
      <c r="J10" s="381">
        <v>0</v>
      </c>
      <c r="K10" s="315">
        <v>0</v>
      </c>
      <c r="L10" s="372">
        <v>0</v>
      </c>
      <c r="M10" s="381"/>
      <c r="N10" s="121"/>
    </row>
    <row r="11" spans="1:14" ht="16.5" thickBot="1" x14ac:dyDescent="0.3">
      <c r="A11" s="856"/>
      <c r="B11" s="369"/>
      <c r="C11" s="369"/>
      <c r="D11" s="369"/>
      <c r="E11" s="369"/>
      <c r="F11" s="369"/>
      <c r="G11" s="369"/>
      <c r="H11" s="369"/>
      <c r="I11" s="369"/>
      <c r="J11" s="383"/>
      <c r="K11" s="369"/>
      <c r="L11" s="373"/>
      <c r="M11" s="383">
        <v>0</v>
      </c>
      <c r="N11" s="121"/>
    </row>
    <row r="12" spans="1:14" ht="17.25" thickTop="1" thickBot="1" x14ac:dyDescent="0.3">
      <c r="A12" s="896" t="s">
        <v>100</v>
      </c>
      <c r="B12" s="476">
        <f>SUM(B7:B11)</f>
        <v>1011383</v>
      </c>
      <c r="C12" s="476">
        <f t="shared" ref="C12:M12" si="0">SUM(C7:C11)</f>
        <v>289071</v>
      </c>
      <c r="D12" s="476">
        <f t="shared" si="0"/>
        <v>261258</v>
      </c>
      <c r="E12" s="476">
        <f t="shared" si="0"/>
        <v>276899</v>
      </c>
      <c r="F12" s="476">
        <f t="shared" si="0"/>
        <v>236770</v>
      </c>
      <c r="G12" s="476">
        <f t="shared" si="0"/>
        <v>200970</v>
      </c>
      <c r="H12" s="476">
        <f t="shared" si="0"/>
        <v>248919</v>
      </c>
      <c r="I12" s="476">
        <f t="shared" si="0"/>
        <v>942006</v>
      </c>
      <c r="J12" s="477">
        <f t="shared" si="0"/>
        <v>951729</v>
      </c>
      <c r="K12" s="476">
        <f>SUM(K7:K11)</f>
        <v>787600</v>
      </c>
      <c r="L12" s="478">
        <f>SUM(L7:L11)</f>
        <v>808497</v>
      </c>
      <c r="M12" s="433">
        <f t="shared" si="0"/>
        <v>787600</v>
      </c>
      <c r="N12" s="126"/>
    </row>
    <row r="13" spans="1:14" x14ac:dyDescent="0.25">
      <c r="A13" s="875"/>
      <c r="B13" s="268"/>
      <c r="C13" s="317"/>
      <c r="D13" s="317"/>
      <c r="E13" s="317"/>
      <c r="F13" s="317"/>
      <c r="G13" s="317"/>
      <c r="H13" s="317"/>
      <c r="I13" s="1019"/>
      <c r="J13" s="496"/>
      <c r="K13" s="317"/>
      <c r="L13" s="490"/>
      <c r="M13" s="317"/>
    </row>
    <row r="14" spans="1:14" ht="16.5" thickBot="1" x14ac:dyDescent="0.3">
      <c r="A14" s="875"/>
      <c r="B14" s="268"/>
      <c r="C14" s="317"/>
      <c r="D14" s="317"/>
      <c r="E14" s="317"/>
      <c r="F14" s="317"/>
      <c r="G14" s="317"/>
      <c r="H14" s="317"/>
      <c r="I14" s="317"/>
      <c r="J14" s="496"/>
      <c r="K14" s="317"/>
      <c r="L14" s="490"/>
      <c r="M14" s="317"/>
    </row>
    <row r="15" spans="1:14" ht="18.75" x14ac:dyDescent="0.3">
      <c r="A15" s="860" t="s">
        <v>332</v>
      </c>
      <c r="B15" s="522">
        <v>2009</v>
      </c>
      <c r="C15" s="522">
        <v>2010</v>
      </c>
      <c r="D15" s="522">
        <v>2011</v>
      </c>
      <c r="E15" s="522">
        <v>2012</v>
      </c>
      <c r="F15" s="522">
        <v>2013</v>
      </c>
      <c r="G15" s="522">
        <v>2014</v>
      </c>
      <c r="H15" s="522">
        <v>2015</v>
      </c>
      <c r="I15" s="522">
        <v>2016</v>
      </c>
      <c r="J15" s="523">
        <v>2017</v>
      </c>
      <c r="K15" s="522">
        <v>2018</v>
      </c>
      <c r="L15" s="524">
        <v>2019</v>
      </c>
      <c r="M15" s="320">
        <v>2018</v>
      </c>
    </row>
    <row r="16" spans="1:14" x14ac:dyDescent="0.25">
      <c r="A16" s="851" t="s">
        <v>92</v>
      </c>
      <c r="B16" s="315">
        <v>357276</v>
      </c>
      <c r="C16" s="315">
        <v>339144</v>
      </c>
      <c r="D16" s="315">
        <v>356728</v>
      </c>
      <c r="E16" s="315">
        <v>355556</v>
      </c>
      <c r="F16" s="315">
        <v>398437</v>
      </c>
      <c r="G16" s="315">
        <v>573027</v>
      </c>
      <c r="H16" s="315">
        <v>619609</v>
      </c>
      <c r="I16" s="315">
        <v>638249</v>
      </c>
      <c r="J16" s="381">
        <v>743843</v>
      </c>
      <c r="K16" s="315">
        <v>881710</v>
      </c>
      <c r="L16" s="372">
        <v>660575</v>
      </c>
      <c r="M16" s="177">
        <v>821039</v>
      </c>
    </row>
    <row r="17" spans="1:14" x14ac:dyDescent="0.25">
      <c r="A17" s="852" t="s">
        <v>88</v>
      </c>
      <c r="B17" s="315">
        <v>0</v>
      </c>
      <c r="C17" s="315">
        <v>0</v>
      </c>
      <c r="D17" s="315">
        <v>0</v>
      </c>
      <c r="E17" s="315">
        <v>0</v>
      </c>
      <c r="F17" s="315">
        <v>0</v>
      </c>
      <c r="G17" s="315">
        <v>0</v>
      </c>
      <c r="H17" s="315">
        <v>0</v>
      </c>
      <c r="I17" s="315">
        <v>0</v>
      </c>
      <c r="J17" s="381">
        <v>0</v>
      </c>
      <c r="K17" s="315">
        <v>0</v>
      </c>
      <c r="L17" s="372">
        <v>0</v>
      </c>
      <c r="M17" s="177">
        <v>0</v>
      </c>
    </row>
    <row r="18" spans="1:14" x14ac:dyDescent="0.25">
      <c r="A18" s="853" t="s">
        <v>93</v>
      </c>
      <c r="B18" s="315">
        <v>0</v>
      </c>
      <c r="C18" s="315">
        <v>0</v>
      </c>
      <c r="D18" s="315">
        <v>0</v>
      </c>
      <c r="E18" s="315">
        <v>0</v>
      </c>
      <c r="F18" s="315">
        <v>0</v>
      </c>
      <c r="G18" s="315">
        <v>0</v>
      </c>
      <c r="H18" s="315">
        <v>0</v>
      </c>
      <c r="I18" s="315">
        <v>0</v>
      </c>
      <c r="J18" s="381">
        <v>0</v>
      </c>
      <c r="K18" s="315">
        <v>0</v>
      </c>
      <c r="L18" s="372">
        <v>0</v>
      </c>
      <c r="M18" s="311">
        <v>0</v>
      </c>
    </row>
    <row r="19" spans="1:14" x14ac:dyDescent="0.25">
      <c r="A19" s="854" t="s">
        <v>78</v>
      </c>
      <c r="B19" s="315">
        <v>0</v>
      </c>
      <c r="C19" s="315">
        <v>0</v>
      </c>
      <c r="D19" s="315">
        <v>0</v>
      </c>
      <c r="E19" s="315">
        <v>0</v>
      </c>
      <c r="F19" s="315">
        <v>0</v>
      </c>
      <c r="G19" s="315">
        <v>0</v>
      </c>
      <c r="H19" s="315">
        <v>0</v>
      </c>
      <c r="I19" s="315">
        <v>0</v>
      </c>
      <c r="J19" s="381">
        <v>0</v>
      </c>
      <c r="K19" s="315">
        <v>0</v>
      </c>
      <c r="L19" s="372">
        <v>0</v>
      </c>
      <c r="M19" s="317"/>
    </row>
    <row r="20" spans="1:14" ht="16.5" thickBot="1" x14ac:dyDescent="0.3">
      <c r="A20" s="856"/>
      <c r="B20" s="369"/>
      <c r="C20" s="369"/>
      <c r="D20" s="369"/>
      <c r="E20" s="369"/>
      <c r="F20" s="369"/>
      <c r="G20" s="369"/>
      <c r="H20" s="369"/>
      <c r="I20" s="369"/>
      <c r="J20" s="383"/>
      <c r="K20" s="369"/>
      <c r="L20" s="373"/>
      <c r="M20" s="369"/>
      <c r="N20" s="488"/>
    </row>
    <row r="21" spans="1:14" ht="17.25" thickTop="1" thickBot="1" x14ac:dyDescent="0.3">
      <c r="A21" s="896" t="s">
        <v>102</v>
      </c>
      <c r="B21" s="476">
        <f t="shared" ref="B21:M21" si="1">SUM(B16:B20)</f>
        <v>357276</v>
      </c>
      <c r="C21" s="476">
        <f t="shared" si="1"/>
        <v>339144</v>
      </c>
      <c r="D21" s="476">
        <f t="shared" si="1"/>
        <v>356728</v>
      </c>
      <c r="E21" s="476">
        <f t="shared" si="1"/>
        <v>355556</v>
      </c>
      <c r="F21" s="476">
        <f t="shared" si="1"/>
        <v>398437</v>
      </c>
      <c r="G21" s="476">
        <f t="shared" si="1"/>
        <v>573027</v>
      </c>
      <c r="H21" s="476">
        <f t="shared" si="1"/>
        <v>619609</v>
      </c>
      <c r="I21" s="476">
        <f t="shared" si="1"/>
        <v>638249</v>
      </c>
      <c r="J21" s="477">
        <f t="shared" si="1"/>
        <v>743843</v>
      </c>
      <c r="K21" s="476">
        <f>SUM(K16:K20)</f>
        <v>881710</v>
      </c>
      <c r="L21" s="478">
        <f>SUM(L16:L20)</f>
        <v>660575</v>
      </c>
      <c r="M21" s="311">
        <f t="shared" si="1"/>
        <v>821039</v>
      </c>
    </row>
    <row r="22" spans="1:14" x14ac:dyDescent="0.25">
      <c r="A22" s="875"/>
      <c r="B22" s="50"/>
      <c r="J22" s="393"/>
      <c r="L22" s="163"/>
    </row>
    <row r="23" spans="1:14" x14ac:dyDescent="0.25">
      <c r="A23" s="877"/>
      <c r="B23" s="409"/>
      <c r="C23" s="124"/>
      <c r="D23" s="124"/>
      <c r="E23" s="124"/>
      <c r="F23" s="124"/>
      <c r="G23" s="124"/>
      <c r="H23" s="124"/>
      <c r="I23" s="124"/>
      <c r="J23" s="410"/>
      <c r="K23" s="124"/>
      <c r="L23" s="449"/>
      <c r="M23" s="124"/>
    </row>
    <row r="24" spans="1:14" x14ac:dyDescent="0.25">
      <c r="A24" s="875"/>
      <c r="B24" s="50"/>
      <c r="J24" s="393"/>
      <c r="L24" s="163"/>
    </row>
    <row r="25" spans="1:14" x14ac:dyDescent="0.25">
      <c r="A25" s="875"/>
      <c r="B25" s="795">
        <v>2009</v>
      </c>
      <c r="C25" s="46">
        <v>2010</v>
      </c>
      <c r="D25" s="46">
        <v>2011</v>
      </c>
      <c r="E25" s="46">
        <v>2012</v>
      </c>
      <c r="F25" s="46">
        <v>2013</v>
      </c>
      <c r="G25" s="46">
        <v>2014</v>
      </c>
      <c r="H25" s="46">
        <v>2015</v>
      </c>
      <c r="I25" s="46">
        <v>2016</v>
      </c>
      <c r="J25" s="526">
        <v>2017</v>
      </c>
      <c r="K25" s="46">
        <v>2018</v>
      </c>
      <c r="L25" s="443">
        <v>2019</v>
      </c>
      <c r="M25" s="146">
        <v>2018</v>
      </c>
    </row>
    <row r="26" spans="1:14" x14ac:dyDescent="0.25">
      <c r="A26" s="851" t="s">
        <v>152</v>
      </c>
      <c r="B26" s="991">
        <f t="shared" ref="B26:M26" si="2">+B21/B60</f>
        <v>5.656502327348722</v>
      </c>
      <c r="C26" s="512">
        <f t="shared" si="2"/>
        <v>5.0064066605650854</v>
      </c>
      <c r="D26" s="512">
        <f t="shared" si="2"/>
        <v>5.1879408385567398</v>
      </c>
      <c r="E26" s="512">
        <f t="shared" si="2"/>
        <v>5.1276445393057495</v>
      </c>
      <c r="F26" s="512">
        <f t="shared" si="2"/>
        <v>5.6620292738382831</v>
      </c>
      <c r="G26" s="512">
        <f t="shared" si="2"/>
        <v>8.0677348050741262</v>
      </c>
      <c r="H26" s="512">
        <f t="shared" si="2"/>
        <v>8.4392399891037861</v>
      </c>
      <c r="I26" s="512">
        <f t="shared" si="2"/>
        <v>8.5803454997647375</v>
      </c>
      <c r="J26" s="513">
        <f t="shared" si="2"/>
        <v>9.8080564345991554</v>
      </c>
      <c r="K26" s="512">
        <f t="shared" si="2"/>
        <v>11.411948952913463</v>
      </c>
      <c r="L26" s="514">
        <f t="shared" si="2"/>
        <v>8.3638262851354774</v>
      </c>
      <c r="M26" s="8">
        <f t="shared" si="2"/>
        <v>10.626685822267092</v>
      </c>
    </row>
    <row r="27" spans="1:14" x14ac:dyDescent="0.25">
      <c r="A27" s="878"/>
      <c r="B27" s="50"/>
      <c r="J27" s="393"/>
      <c r="L27" s="163"/>
    </row>
    <row r="28" spans="1:14" x14ac:dyDescent="0.25">
      <c r="A28" s="878"/>
      <c r="B28" s="795">
        <v>2009</v>
      </c>
      <c r="C28" s="46">
        <v>2010</v>
      </c>
      <c r="D28" s="46">
        <v>2011</v>
      </c>
      <c r="E28" s="46">
        <v>2012</v>
      </c>
      <c r="F28" s="46">
        <v>2013</v>
      </c>
      <c r="G28" s="46">
        <v>2014</v>
      </c>
      <c r="H28" s="46">
        <v>2015</v>
      </c>
      <c r="I28" s="46">
        <v>2016</v>
      </c>
      <c r="J28" s="526">
        <v>2017</v>
      </c>
      <c r="K28" s="46">
        <v>2018</v>
      </c>
      <c r="L28" s="443">
        <v>2019</v>
      </c>
      <c r="M28" s="146">
        <v>2018</v>
      </c>
    </row>
    <row r="29" spans="1:14" x14ac:dyDescent="0.25">
      <c r="A29" s="851" t="s">
        <v>130</v>
      </c>
      <c r="B29" s="991">
        <f t="shared" ref="B29:M29" si="3">+B21/B65</f>
        <v>89319</v>
      </c>
      <c r="C29" s="512">
        <f t="shared" si="3"/>
        <v>90438.399999999994</v>
      </c>
      <c r="D29" s="512">
        <f t="shared" si="3"/>
        <v>89182</v>
      </c>
      <c r="E29" s="512">
        <f t="shared" si="3"/>
        <v>88889</v>
      </c>
      <c r="F29" s="512">
        <f t="shared" si="3"/>
        <v>99609.25</v>
      </c>
      <c r="G29" s="512">
        <f t="shared" si="3"/>
        <v>143256.75</v>
      </c>
      <c r="H29" s="512">
        <f t="shared" si="3"/>
        <v>134697.60869565219</v>
      </c>
      <c r="I29" s="512">
        <f t="shared" si="3"/>
        <v>127649.8</v>
      </c>
      <c r="J29" s="513">
        <f t="shared" si="3"/>
        <v>148768.6</v>
      </c>
      <c r="K29" s="512">
        <f t="shared" si="3"/>
        <v>146951.66666666666</v>
      </c>
      <c r="L29" s="514">
        <f t="shared" si="3"/>
        <v>110095.83333333333</v>
      </c>
      <c r="M29" s="1">
        <f t="shared" si="3"/>
        <v>164207.79999999999</v>
      </c>
    </row>
    <row r="30" spans="1:14" x14ac:dyDescent="0.25">
      <c r="A30" s="875"/>
      <c r="B30" s="50"/>
      <c r="J30" s="393"/>
      <c r="L30" s="163"/>
    </row>
    <row r="31" spans="1:14" x14ac:dyDescent="0.25">
      <c r="A31" s="877"/>
      <c r="B31" s="409"/>
      <c r="C31" s="124"/>
      <c r="D31" s="124"/>
      <c r="E31" s="124"/>
      <c r="F31" s="124"/>
      <c r="G31" s="124"/>
      <c r="H31" s="124"/>
      <c r="I31" s="124"/>
      <c r="J31" s="410"/>
      <c r="K31" s="124"/>
      <c r="L31" s="449"/>
      <c r="M31" s="124"/>
    </row>
    <row r="32" spans="1:14" x14ac:dyDescent="0.25">
      <c r="A32" s="877"/>
      <c r="B32" s="409"/>
      <c r="C32" s="124"/>
      <c r="D32" s="124"/>
      <c r="E32" s="124"/>
      <c r="F32" s="124"/>
      <c r="G32" s="124"/>
      <c r="H32" s="124"/>
      <c r="I32" s="124"/>
      <c r="J32" s="410"/>
      <c r="K32" s="124"/>
      <c r="L32" s="449"/>
      <c r="M32" s="124"/>
    </row>
    <row r="33" spans="1:15" x14ac:dyDescent="0.25">
      <c r="A33" s="875"/>
      <c r="J33" s="393"/>
      <c r="L33" s="163"/>
    </row>
    <row r="34" spans="1:15" x14ac:dyDescent="0.25">
      <c r="A34" s="874" t="s">
        <v>99</v>
      </c>
      <c r="B34" s="79">
        <v>0</v>
      </c>
      <c r="C34" s="79">
        <v>0</v>
      </c>
      <c r="D34" s="79">
        <v>0</v>
      </c>
      <c r="E34" s="79">
        <v>0</v>
      </c>
      <c r="F34" s="79">
        <v>0</v>
      </c>
      <c r="G34" s="79">
        <v>0</v>
      </c>
      <c r="H34" s="79">
        <v>0</v>
      </c>
      <c r="I34" s="79">
        <v>0</v>
      </c>
      <c r="J34" s="517">
        <v>0</v>
      </c>
      <c r="K34" s="79">
        <v>0</v>
      </c>
      <c r="L34" s="518">
        <v>0</v>
      </c>
      <c r="M34" s="79">
        <v>0</v>
      </c>
    </row>
    <row r="35" spans="1:15" x14ac:dyDescent="0.25">
      <c r="A35" s="874"/>
      <c r="J35" s="393"/>
      <c r="L35" s="163"/>
    </row>
    <row r="36" spans="1:15" x14ac:dyDescent="0.25">
      <c r="A36" s="992" t="s">
        <v>101</v>
      </c>
      <c r="B36" s="78">
        <f t="shared" ref="B36:M36" si="4">B12+B34</f>
        <v>1011383</v>
      </c>
      <c r="C36" s="78">
        <f t="shared" si="4"/>
        <v>289071</v>
      </c>
      <c r="D36" s="78">
        <f t="shared" si="4"/>
        <v>261258</v>
      </c>
      <c r="E36" s="78">
        <f t="shared" si="4"/>
        <v>276899</v>
      </c>
      <c r="F36" s="78">
        <f t="shared" si="4"/>
        <v>236770</v>
      </c>
      <c r="G36" s="78">
        <f t="shared" si="4"/>
        <v>200970</v>
      </c>
      <c r="H36" s="78">
        <f t="shared" si="4"/>
        <v>248919</v>
      </c>
      <c r="I36" s="78">
        <f t="shared" si="4"/>
        <v>942006</v>
      </c>
      <c r="J36" s="998">
        <f t="shared" si="4"/>
        <v>951729</v>
      </c>
      <c r="K36" s="78">
        <f t="shared" si="4"/>
        <v>787600</v>
      </c>
      <c r="L36" s="1000">
        <f t="shared" si="4"/>
        <v>808497</v>
      </c>
      <c r="M36" s="78">
        <f t="shared" si="4"/>
        <v>787600</v>
      </c>
    </row>
    <row r="37" spans="1:15" x14ac:dyDescent="0.25">
      <c r="A37" s="875"/>
      <c r="B37" s="1"/>
      <c r="C37" s="1"/>
      <c r="D37" s="1"/>
      <c r="E37" s="1"/>
      <c r="F37" s="1"/>
      <c r="G37" s="1"/>
      <c r="H37" s="1"/>
      <c r="I37" s="1"/>
      <c r="J37" s="385"/>
      <c r="K37" s="1"/>
      <c r="L37" s="446"/>
      <c r="M37" s="1"/>
    </row>
    <row r="38" spans="1:15" x14ac:dyDescent="0.25">
      <c r="A38" s="993"/>
      <c r="B38" s="90"/>
      <c r="C38" s="90"/>
      <c r="D38" s="90"/>
      <c r="E38" s="90"/>
      <c r="F38" s="90"/>
      <c r="G38" s="90"/>
      <c r="H38" s="90"/>
      <c r="I38" s="90"/>
      <c r="J38" s="533"/>
      <c r="K38" s="90"/>
      <c r="L38" s="543"/>
      <c r="M38" s="90"/>
    </row>
    <row r="39" spans="1:15" ht="18.75" x14ac:dyDescent="0.3">
      <c r="A39" s="859" t="s">
        <v>68</v>
      </c>
      <c r="B39" s="1"/>
      <c r="C39" s="1"/>
      <c r="D39" s="1"/>
      <c r="E39" s="1"/>
      <c r="F39" s="1"/>
      <c r="G39" s="1"/>
      <c r="H39" s="1"/>
      <c r="I39" s="1"/>
      <c r="J39" s="385"/>
      <c r="K39" s="1"/>
      <c r="L39" s="446"/>
      <c r="M39" s="1"/>
    </row>
    <row r="40" spans="1:15" x14ac:dyDescent="0.25">
      <c r="A40" s="851" t="s">
        <v>92</v>
      </c>
      <c r="B40" s="1"/>
      <c r="C40" s="1"/>
      <c r="D40" s="1"/>
      <c r="E40" s="1"/>
      <c r="F40" s="1"/>
      <c r="G40" s="1"/>
      <c r="H40" s="1"/>
      <c r="I40" s="1"/>
      <c r="J40" s="385"/>
      <c r="K40" s="1"/>
      <c r="L40" s="446"/>
      <c r="M40" s="1"/>
    </row>
    <row r="41" spans="1:15" ht="16.5" thickBot="1" x14ac:dyDescent="0.3">
      <c r="A41" s="994" t="s">
        <v>54</v>
      </c>
      <c r="B41" s="56">
        <v>357276</v>
      </c>
      <c r="C41" s="56">
        <v>339144</v>
      </c>
      <c r="D41" s="56">
        <v>356728</v>
      </c>
      <c r="E41" s="56">
        <v>355556</v>
      </c>
      <c r="F41" s="56">
        <v>398437</v>
      </c>
      <c r="G41" s="56">
        <v>573027</v>
      </c>
      <c r="H41" s="56">
        <v>619609</v>
      </c>
      <c r="I41" s="56">
        <v>638249</v>
      </c>
      <c r="J41" s="999">
        <v>743843</v>
      </c>
      <c r="K41" s="297">
        <v>881710</v>
      </c>
      <c r="L41" s="1001">
        <v>660575</v>
      </c>
      <c r="M41" s="56">
        <v>821039</v>
      </c>
    </row>
    <row r="42" spans="1:15" x14ac:dyDescent="0.25">
      <c r="A42" s="978" t="s">
        <v>105</v>
      </c>
      <c r="B42" s="1">
        <f t="shared" ref="B42:M43" si="5">SUM(B41:B41)</f>
        <v>357276</v>
      </c>
      <c r="C42" s="1">
        <f t="shared" si="5"/>
        <v>339144</v>
      </c>
      <c r="D42" s="1">
        <f t="shared" si="5"/>
        <v>356728</v>
      </c>
      <c r="E42" s="1">
        <f t="shared" si="5"/>
        <v>355556</v>
      </c>
      <c r="F42" s="1">
        <f t="shared" si="5"/>
        <v>398437</v>
      </c>
      <c r="G42" s="26">
        <f t="shared" si="5"/>
        <v>573027</v>
      </c>
      <c r="H42" s="1">
        <f t="shared" si="5"/>
        <v>619609</v>
      </c>
      <c r="I42" s="1">
        <f t="shared" si="5"/>
        <v>638249</v>
      </c>
      <c r="J42" s="417">
        <f t="shared" si="5"/>
        <v>743843</v>
      </c>
      <c r="K42" s="26">
        <f t="shared" ref="K42" si="6">SUM(K41:K41)</f>
        <v>881710</v>
      </c>
      <c r="L42" s="109">
        <f>SUM(L41:L41)</f>
        <v>660575</v>
      </c>
      <c r="M42" s="26">
        <f t="shared" si="5"/>
        <v>821039</v>
      </c>
      <c r="N42" s="120"/>
      <c r="O42" s="1"/>
    </row>
    <row r="43" spans="1:15" x14ac:dyDescent="0.25">
      <c r="A43" s="978" t="s">
        <v>106</v>
      </c>
      <c r="B43" s="1">
        <f t="shared" si="5"/>
        <v>357276</v>
      </c>
      <c r="C43" s="1">
        <f t="shared" si="5"/>
        <v>339144</v>
      </c>
      <c r="D43" s="1">
        <f t="shared" si="5"/>
        <v>356728</v>
      </c>
      <c r="E43" s="1">
        <f t="shared" si="5"/>
        <v>355556</v>
      </c>
      <c r="F43" s="1">
        <f t="shared" si="5"/>
        <v>398437</v>
      </c>
      <c r="G43" s="5">
        <f t="shared" si="5"/>
        <v>573027</v>
      </c>
      <c r="H43" s="1">
        <f t="shared" si="5"/>
        <v>619609</v>
      </c>
      <c r="I43" s="1">
        <f t="shared" si="5"/>
        <v>638249</v>
      </c>
      <c r="J43" s="385">
        <f t="shared" si="5"/>
        <v>743843</v>
      </c>
      <c r="K43" s="5">
        <f t="shared" ref="K43" si="7">SUM(K42:K42)</f>
        <v>881710</v>
      </c>
      <c r="L43" s="539">
        <f>SUM(L42:L42)</f>
        <v>660575</v>
      </c>
      <c r="M43" s="1">
        <f t="shared" si="5"/>
        <v>821039</v>
      </c>
      <c r="N43" s="120"/>
      <c r="O43" s="1"/>
    </row>
    <row r="44" spans="1:15" x14ac:dyDescent="0.25">
      <c r="A44" s="978" t="s">
        <v>67</v>
      </c>
      <c r="B44" s="1"/>
      <c r="C44" s="7">
        <f t="shared" ref="C44:J44" si="8">(C42/B42)-1</f>
        <v>-5.0750680146441352E-2</v>
      </c>
      <c r="D44" s="7">
        <f t="shared" si="8"/>
        <v>5.1848182482957084E-2</v>
      </c>
      <c r="E44" s="7">
        <f t="shared" si="8"/>
        <v>-3.2854163396200953E-3</v>
      </c>
      <c r="F44" s="7">
        <f t="shared" si="8"/>
        <v>0.12060266174667289</v>
      </c>
      <c r="G44" s="7">
        <f t="shared" si="8"/>
        <v>0.43818721654866399</v>
      </c>
      <c r="H44" s="7">
        <f t="shared" si="8"/>
        <v>8.129110844689702E-2</v>
      </c>
      <c r="I44" s="7">
        <f t="shared" si="8"/>
        <v>3.0083488135259406E-2</v>
      </c>
      <c r="J44" s="531">
        <f t="shared" si="8"/>
        <v>0.16544326743951032</v>
      </c>
      <c r="K44" s="7">
        <f>(K42/L42)-1</f>
        <v>0.3347613821292057</v>
      </c>
      <c r="L44" s="540">
        <f>(L42/M42)-1</f>
        <v>-0.19544016788483864</v>
      </c>
      <c r="M44" s="7">
        <f>(M42/J42)-1</f>
        <v>0.1037799643204278</v>
      </c>
      <c r="N44" s="120"/>
      <c r="O44" s="1"/>
    </row>
    <row r="45" spans="1:15" x14ac:dyDescent="0.25">
      <c r="A45" s="995" t="s">
        <v>69</v>
      </c>
      <c r="B45" s="1"/>
      <c r="C45" s="1"/>
      <c r="D45" s="1"/>
      <c r="E45" s="1"/>
      <c r="F45" s="1"/>
      <c r="G45" s="1"/>
      <c r="H45" s="1"/>
      <c r="I45" s="1"/>
      <c r="J45" s="385"/>
      <c r="K45" s="23"/>
      <c r="L45" s="541"/>
      <c r="M45" s="1"/>
      <c r="N45" s="120"/>
      <c r="O45" s="1"/>
    </row>
    <row r="46" spans="1:15" s="19" customFormat="1" x14ac:dyDescent="0.25">
      <c r="A46" s="875"/>
      <c r="B46" s="1"/>
      <c r="C46" s="1"/>
      <c r="D46" s="1"/>
      <c r="E46" s="1"/>
      <c r="F46" s="1"/>
      <c r="G46" s="1"/>
      <c r="H46" s="1"/>
      <c r="I46" s="1"/>
      <c r="J46" s="385"/>
      <c r="K46" s="1"/>
      <c r="L46" s="446"/>
      <c r="M46" s="1"/>
      <c r="N46" s="124"/>
    </row>
    <row r="47" spans="1:15" x14ac:dyDescent="0.25">
      <c r="A47" s="996" t="s">
        <v>110</v>
      </c>
      <c r="B47" s="60"/>
      <c r="C47" s="60"/>
      <c r="D47" s="60"/>
      <c r="E47" s="60"/>
      <c r="F47" s="60"/>
      <c r="G47" s="60"/>
      <c r="H47" s="60"/>
      <c r="I47" s="60"/>
      <c r="J47" s="811"/>
      <c r="K47" s="60"/>
      <c r="L47" s="813"/>
      <c r="M47" s="60"/>
    </row>
    <row r="48" spans="1:15" x14ac:dyDescent="0.25">
      <c r="A48" s="851" t="s">
        <v>92</v>
      </c>
      <c r="B48" s="1">
        <f t="shared" ref="B48:M48" si="9">B43</f>
        <v>357276</v>
      </c>
      <c r="C48" s="1">
        <f t="shared" si="9"/>
        <v>339144</v>
      </c>
      <c r="D48" s="1">
        <f t="shared" si="9"/>
        <v>356728</v>
      </c>
      <c r="E48" s="1">
        <f t="shared" si="9"/>
        <v>355556</v>
      </c>
      <c r="F48" s="1">
        <f t="shared" si="9"/>
        <v>398437</v>
      </c>
      <c r="G48" s="1">
        <f t="shared" si="9"/>
        <v>573027</v>
      </c>
      <c r="H48" s="1">
        <f t="shared" si="9"/>
        <v>619609</v>
      </c>
      <c r="I48" s="1">
        <f t="shared" si="9"/>
        <v>638249</v>
      </c>
      <c r="J48" s="385">
        <f t="shared" si="9"/>
        <v>743843</v>
      </c>
      <c r="K48" s="1">
        <f t="shared" ref="K48" si="10">K43</f>
        <v>881710</v>
      </c>
      <c r="L48" s="446">
        <f>L43</f>
        <v>660575</v>
      </c>
      <c r="M48" s="1">
        <f t="shared" si="9"/>
        <v>821039</v>
      </c>
    </row>
    <row r="49" spans="1:15" ht="16.5" thickBot="1" x14ac:dyDescent="0.3">
      <c r="A49" s="856"/>
      <c r="B49" s="59">
        <v>0</v>
      </c>
      <c r="C49" s="59">
        <v>0</v>
      </c>
      <c r="D49" s="59">
        <v>0</v>
      </c>
      <c r="E49" s="59">
        <v>0</v>
      </c>
      <c r="F49" s="59">
        <v>0</v>
      </c>
      <c r="G49" s="59">
        <v>0</v>
      </c>
      <c r="H49" s="59">
        <v>0</v>
      </c>
      <c r="I49" s="59">
        <v>0</v>
      </c>
      <c r="J49" s="668">
        <v>0</v>
      </c>
      <c r="K49" s="59">
        <v>0</v>
      </c>
      <c r="L49" s="119">
        <v>0</v>
      </c>
      <c r="M49" s="59">
        <v>0</v>
      </c>
    </row>
    <row r="50" spans="1:15" x14ac:dyDescent="0.25">
      <c r="A50" s="988" t="s">
        <v>109</v>
      </c>
      <c r="B50" s="1">
        <f t="shared" ref="B50:M50" si="11">SUM(B48:B49)</f>
        <v>357276</v>
      </c>
      <c r="C50" s="1">
        <f t="shared" si="11"/>
        <v>339144</v>
      </c>
      <c r="D50" s="1">
        <f t="shared" si="11"/>
        <v>356728</v>
      </c>
      <c r="E50" s="1">
        <f t="shared" si="11"/>
        <v>355556</v>
      </c>
      <c r="F50" s="1">
        <f t="shared" si="11"/>
        <v>398437</v>
      </c>
      <c r="G50" s="1">
        <f t="shared" si="11"/>
        <v>573027</v>
      </c>
      <c r="H50" s="1">
        <f t="shared" si="11"/>
        <v>619609</v>
      </c>
      <c r="I50" s="1">
        <f t="shared" si="11"/>
        <v>638249</v>
      </c>
      <c r="J50" s="385">
        <f t="shared" si="11"/>
        <v>743843</v>
      </c>
      <c r="K50" s="1">
        <f t="shared" ref="K50" si="12">SUM(K48:K49)</f>
        <v>881710</v>
      </c>
      <c r="L50" s="446">
        <f>SUM(L48:L49)</f>
        <v>660575</v>
      </c>
      <c r="M50" s="1">
        <f t="shared" si="11"/>
        <v>821039</v>
      </c>
    </row>
    <row r="51" spans="1:15" s="9" customFormat="1" x14ac:dyDescent="0.25">
      <c r="A51" s="875"/>
      <c r="B51"/>
      <c r="C51"/>
      <c r="D51"/>
      <c r="E51"/>
      <c r="F51"/>
      <c r="G51"/>
      <c r="H51"/>
      <c r="I51"/>
      <c r="J51" s="393"/>
      <c r="K51" s="278"/>
      <c r="L51" s="163"/>
      <c r="M51"/>
      <c r="N51" s="129"/>
    </row>
    <row r="52" spans="1:15" x14ac:dyDescent="0.25">
      <c r="A52" s="997" t="s">
        <v>111</v>
      </c>
      <c r="B52" s="95">
        <f t="shared" ref="B52:M52" si="13">B12-B50</f>
        <v>654107</v>
      </c>
      <c r="C52" s="95">
        <f t="shared" si="13"/>
        <v>-50073</v>
      </c>
      <c r="D52" s="95">
        <f t="shared" si="13"/>
        <v>-95470</v>
      </c>
      <c r="E52" s="95">
        <f t="shared" si="13"/>
        <v>-78657</v>
      </c>
      <c r="F52" s="95">
        <f t="shared" si="13"/>
        <v>-161667</v>
      </c>
      <c r="G52" s="95">
        <f t="shared" si="13"/>
        <v>-372057</v>
      </c>
      <c r="H52" s="95">
        <f t="shared" si="13"/>
        <v>-370690</v>
      </c>
      <c r="I52" s="95">
        <f t="shared" si="13"/>
        <v>303757</v>
      </c>
      <c r="J52" s="532">
        <f t="shared" si="13"/>
        <v>207886</v>
      </c>
      <c r="K52" s="96">
        <f t="shared" si="13"/>
        <v>-94110</v>
      </c>
      <c r="L52" s="542">
        <f t="shared" si="13"/>
        <v>147922</v>
      </c>
      <c r="M52" s="95">
        <f t="shared" si="13"/>
        <v>-33439</v>
      </c>
    </row>
    <row r="53" spans="1:15" x14ac:dyDescent="0.25">
      <c r="A53" s="875"/>
      <c r="J53" s="393"/>
      <c r="L53" s="163"/>
    </row>
    <row r="54" spans="1:15" x14ac:dyDescent="0.25">
      <c r="A54" s="874" t="s">
        <v>99</v>
      </c>
      <c r="B54" s="79">
        <v>0</v>
      </c>
      <c r="C54" s="79">
        <v>0</v>
      </c>
      <c r="D54" s="79">
        <v>0</v>
      </c>
      <c r="E54" s="79">
        <v>0</v>
      </c>
      <c r="F54" s="79">
        <v>0</v>
      </c>
      <c r="G54" s="79">
        <v>0</v>
      </c>
      <c r="H54" s="79">
        <v>0</v>
      </c>
      <c r="I54" s="79">
        <v>0</v>
      </c>
      <c r="J54" s="517">
        <v>0</v>
      </c>
      <c r="K54" s="79"/>
      <c r="L54" s="518">
        <v>0</v>
      </c>
      <c r="M54" s="79">
        <v>0</v>
      </c>
      <c r="N54" s="120"/>
      <c r="O54" s="1"/>
    </row>
    <row r="55" spans="1:15" x14ac:dyDescent="0.25">
      <c r="A55" s="874"/>
      <c r="B55" s="146">
        <v>2009</v>
      </c>
      <c r="C55" s="146">
        <v>2010</v>
      </c>
      <c r="D55" s="146">
        <v>2011</v>
      </c>
      <c r="E55" s="146">
        <v>2012</v>
      </c>
      <c r="F55" s="146">
        <v>2013</v>
      </c>
      <c r="G55" s="146">
        <v>2014</v>
      </c>
      <c r="H55" s="146">
        <v>2015</v>
      </c>
      <c r="I55" s="146">
        <v>2016</v>
      </c>
      <c r="J55" s="482">
        <v>2017</v>
      </c>
      <c r="K55" s="146">
        <v>2018</v>
      </c>
      <c r="L55" s="485">
        <v>2019</v>
      </c>
      <c r="M55" s="146">
        <v>2018</v>
      </c>
      <c r="N55" s="120"/>
      <c r="O55" s="1"/>
    </row>
    <row r="56" spans="1:15" x14ac:dyDescent="0.25">
      <c r="A56" s="874" t="s">
        <v>131</v>
      </c>
      <c r="B56" s="26">
        <v>13804</v>
      </c>
      <c r="C56" s="26">
        <v>0</v>
      </c>
      <c r="D56" s="26">
        <v>0</v>
      </c>
      <c r="E56" s="26">
        <v>0</v>
      </c>
      <c r="F56" s="26">
        <v>0</v>
      </c>
      <c r="G56" s="26">
        <v>0</v>
      </c>
      <c r="H56" s="26">
        <v>0</v>
      </c>
      <c r="I56" s="26">
        <v>0</v>
      </c>
      <c r="J56" s="417">
        <v>0</v>
      </c>
      <c r="K56" s="26">
        <v>0</v>
      </c>
      <c r="L56" s="109">
        <v>0</v>
      </c>
      <c r="M56" s="26">
        <v>0</v>
      </c>
      <c r="N56" s="120"/>
      <c r="O56" s="1"/>
    </row>
    <row r="57" spans="1:15" x14ac:dyDescent="0.25">
      <c r="A57" s="874" t="s">
        <v>132</v>
      </c>
      <c r="B57" s="26">
        <f t="shared" ref="B57:G57" si="14">B50-B56</f>
        <v>343472</v>
      </c>
      <c r="C57" s="26">
        <f t="shared" si="14"/>
        <v>339144</v>
      </c>
      <c r="D57" s="26">
        <f t="shared" si="14"/>
        <v>356728</v>
      </c>
      <c r="E57" s="26">
        <f t="shared" si="14"/>
        <v>355556</v>
      </c>
      <c r="F57" s="26">
        <f t="shared" si="14"/>
        <v>398437</v>
      </c>
      <c r="G57" s="26">
        <f t="shared" si="14"/>
        <v>573027</v>
      </c>
      <c r="H57" s="26">
        <f t="shared" ref="H57:M57" si="15">H50-H56</f>
        <v>619609</v>
      </c>
      <c r="I57" s="26">
        <f t="shared" si="15"/>
        <v>638249</v>
      </c>
      <c r="J57" s="417">
        <f t="shared" si="15"/>
        <v>743843</v>
      </c>
      <c r="K57" s="26">
        <f>K50-K56</f>
        <v>881710</v>
      </c>
      <c r="L57" s="109">
        <f>L50-L56</f>
        <v>660575</v>
      </c>
      <c r="M57" s="26">
        <f t="shared" si="15"/>
        <v>821039</v>
      </c>
      <c r="N57" s="120"/>
      <c r="O57" s="1"/>
    </row>
    <row r="58" spans="1:15" x14ac:dyDescent="0.25">
      <c r="A58" s="875"/>
      <c r="B58" s="1"/>
      <c r="C58" s="1"/>
      <c r="D58" s="1"/>
      <c r="E58" s="1"/>
      <c r="F58" s="1"/>
      <c r="G58" s="1"/>
      <c r="H58" s="1"/>
      <c r="I58" s="1"/>
      <c r="J58" s="385"/>
      <c r="K58" s="1"/>
      <c r="L58" s="446"/>
      <c r="M58" s="1"/>
      <c r="N58" s="120"/>
      <c r="O58" s="1"/>
    </row>
    <row r="59" spans="1:15" x14ac:dyDescent="0.25">
      <c r="A59" s="993"/>
      <c r="B59" s="90"/>
      <c r="C59" s="90"/>
      <c r="D59" s="90"/>
      <c r="E59" s="90"/>
      <c r="F59" s="90"/>
      <c r="G59" s="90"/>
      <c r="H59" s="90"/>
      <c r="I59" s="90"/>
      <c r="J59" s="533"/>
      <c r="K59" s="90"/>
      <c r="L59" s="543"/>
      <c r="M59" s="90"/>
      <c r="N59" s="120"/>
      <c r="O59" s="1"/>
    </row>
    <row r="60" spans="1:15" x14ac:dyDescent="0.25">
      <c r="A60" s="878" t="s">
        <v>21</v>
      </c>
      <c r="B60" s="12">
        <f>Stats!D4</f>
        <v>63162</v>
      </c>
      <c r="C60" s="12">
        <f>Stats!E4</f>
        <v>67742</v>
      </c>
      <c r="D60" s="12">
        <f>Stats!F4</f>
        <v>68761</v>
      </c>
      <c r="E60" s="12">
        <f>Stats!G4</f>
        <v>69341</v>
      </c>
      <c r="F60" s="12">
        <f>Stats!H4</f>
        <v>70370</v>
      </c>
      <c r="G60" s="12">
        <f>Stats!I4</f>
        <v>71027</v>
      </c>
      <c r="H60" s="12">
        <f>Stats!J4</f>
        <v>73420</v>
      </c>
      <c r="I60" s="12">
        <f>Stats!K4</f>
        <v>74385</v>
      </c>
      <c r="J60" s="391">
        <f>Stats!L4</f>
        <v>75840</v>
      </c>
      <c r="K60" s="12">
        <f>Stats!M4</f>
        <v>77262</v>
      </c>
      <c r="L60" s="160">
        <f>Stats!N4</f>
        <v>78980</v>
      </c>
      <c r="M60" s="12">
        <f>Stats!M4</f>
        <v>77262</v>
      </c>
      <c r="N60" s="26"/>
      <c r="O60" s="1"/>
    </row>
    <row r="61" spans="1:15" x14ac:dyDescent="0.25">
      <c r="A61" s="878" t="s">
        <v>23</v>
      </c>
      <c r="J61" s="393"/>
      <c r="L61" s="163"/>
      <c r="N61" s="26"/>
      <c r="O61" s="1"/>
    </row>
    <row r="62" spans="1:15" x14ac:dyDescent="0.25">
      <c r="A62" s="878" t="s">
        <v>22</v>
      </c>
      <c r="B62" s="1"/>
      <c r="C62" s="1"/>
      <c r="D62" s="1"/>
      <c r="E62" s="1"/>
      <c r="F62" s="1"/>
      <c r="G62" s="1"/>
      <c r="H62" s="1"/>
      <c r="I62" s="1"/>
      <c r="J62" s="385"/>
      <c r="K62" s="1"/>
      <c r="L62" s="446"/>
      <c r="M62" s="1"/>
      <c r="N62" s="26"/>
      <c r="O62" s="1"/>
    </row>
    <row r="63" spans="1:15" x14ac:dyDescent="0.25">
      <c r="A63" s="878" t="s">
        <v>60</v>
      </c>
      <c r="B63" s="15"/>
      <c r="C63" s="15"/>
      <c r="D63" s="15"/>
      <c r="E63" s="15"/>
      <c r="F63" s="15"/>
      <c r="G63" s="15"/>
      <c r="H63" s="15"/>
      <c r="I63" s="15"/>
      <c r="J63" s="415"/>
      <c r="K63" s="15"/>
      <c r="L63" s="451"/>
      <c r="M63" s="15"/>
      <c r="N63" s="26"/>
      <c r="O63" s="1"/>
    </row>
    <row r="64" spans="1:15" ht="16.5" thickBot="1" x14ac:dyDescent="0.3">
      <c r="A64" s="879" t="s">
        <v>54</v>
      </c>
      <c r="B64" s="799">
        <v>4</v>
      </c>
      <c r="C64" s="799">
        <v>3.75</v>
      </c>
      <c r="D64" s="799">
        <v>4</v>
      </c>
      <c r="E64" s="799">
        <v>4</v>
      </c>
      <c r="F64" s="799">
        <v>4</v>
      </c>
      <c r="G64" s="799">
        <v>4</v>
      </c>
      <c r="H64" s="799">
        <v>4.5999999999999996</v>
      </c>
      <c r="I64" s="799">
        <v>5</v>
      </c>
      <c r="J64" s="939">
        <v>5</v>
      </c>
      <c r="K64" s="799">
        <v>6</v>
      </c>
      <c r="L64" s="940">
        <v>6</v>
      </c>
      <c r="M64" s="34">
        <v>5</v>
      </c>
      <c r="N64" s="26"/>
      <c r="O64" s="1"/>
    </row>
    <row r="65" spans="1:15" x14ac:dyDescent="0.25">
      <c r="A65" s="880" t="s">
        <v>335</v>
      </c>
      <c r="B65" s="619">
        <f t="shared" ref="B65:M65" si="16">SUM(B64:B64)</f>
        <v>4</v>
      </c>
      <c r="C65" s="619">
        <f t="shared" si="16"/>
        <v>3.75</v>
      </c>
      <c r="D65" s="619">
        <f t="shared" si="16"/>
        <v>4</v>
      </c>
      <c r="E65" s="619">
        <f t="shared" si="16"/>
        <v>4</v>
      </c>
      <c r="F65" s="619">
        <f t="shared" si="16"/>
        <v>4</v>
      </c>
      <c r="G65" s="619">
        <f t="shared" si="16"/>
        <v>4</v>
      </c>
      <c r="H65" s="619">
        <f t="shared" si="16"/>
        <v>4.5999999999999996</v>
      </c>
      <c r="I65" s="619">
        <f t="shared" si="16"/>
        <v>5</v>
      </c>
      <c r="J65" s="620">
        <f t="shared" si="16"/>
        <v>5</v>
      </c>
      <c r="K65" s="619">
        <f t="shared" ref="K65" si="17">SUM(K64:K64)</f>
        <v>6</v>
      </c>
      <c r="L65" s="621">
        <f>SUM(L64:L64)</f>
        <v>6</v>
      </c>
      <c r="M65" s="302">
        <f t="shared" si="16"/>
        <v>5</v>
      </c>
      <c r="N65" s="26"/>
      <c r="O65" s="1"/>
    </row>
    <row r="66" spans="1:15" x14ac:dyDescent="0.25">
      <c r="A66" s="978" t="s">
        <v>365</v>
      </c>
      <c r="B66" s="290" t="s">
        <v>348</v>
      </c>
      <c r="C66" s="947">
        <f>C65/B65</f>
        <v>0.9375</v>
      </c>
      <c r="D66" s="947">
        <f t="shared" ref="D66:J66" si="18">D65/C65</f>
        <v>1.0666666666666667</v>
      </c>
      <c r="E66" s="947">
        <f t="shared" si="18"/>
        <v>1</v>
      </c>
      <c r="F66" s="947">
        <f t="shared" si="18"/>
        <v>1</v>
      </c>
      <c r="G66" s="947">
        <f t="shared" si="18"/>
        <v>1</v>
      </c>
      <c r="H66" s="947">
        <f t="shared" si="18"/>
        <v>1.1499999999999999</v>
      </c>
      <c r="I66" s="947">
        <f t="shared" si="18"/>
        <v>1.0869565217391306</v>
      </c>
      <c r="J66" s="948">
        <f t="shared" si="18"/>
        <v>1</v>
      </c>
      <c r="K66" s="947">
        <f>K65/L65</f>
        <v>1</v>
      </c>
      <c r="L66" s="949">
        <f>L65/M65</f>
        <v>1.2</v>
      </c>
      <c r="M66" s="35">
        <f>M65/J65</f>
        <v>1</v>
      </c>
      <c r="N66" s="19"/>
    </row>
    <row r="67" spans="1:15" x14ac:dyDescent="0.25">
      <c r="A67" s="897"/>
      <c r="B67" s="15"/>
      <c r="C67" s="35"/>
      <c r="D67" s="35"/>
      <c r="E67" s="35"/>
      <c r="F67" s="35"/>
      <c r="G67" s="35"/>
      <c r="H67" s="35"/>
      <c r="I67" s="35"/>
      <c r="J67" s="500"/>
      <c r="K67" s="35"/>
      <c r="L67" s="493"/>
      <c r="M67" s="35"/>
      <c r="N67" s="26"/>
      <c r="O67" s="1"/>
    </row>
    <row r="68" spans="1:15" x14ac:dyDescent="0.25">
      <c r="A68" s="875"/>
      <c r="B68" s="1"/>
      <c r="C68" s="1"/>
      <c r="D68" s="1"/>
      <c r="E68" s="1"/>
      <c r="F68" s="1"/>
      <c r="G68" s="1"/>
      <c r="H68" s="1"/>
      <c r="I68" s="1"/>
      <c r="J68" s="385"/>
      <c r="K68" s="1"/>
      <c r="L68" s="446"/>
      <c r="M68" s="1"/>
      <c r="N68" s="19"/>
    </row>
    <row r="69" spans="1:15" ht="18.75" x14ac:dyDescent="0.3">
      <c r="A69" s="876" t="s">
        <v>26</v>
      </c>
      <c r="B69" s="46">
        <v>2009</v>
      </c>
      <c r="C69" s="46">
        <v>2010</v>
      </c>
      <c r="D69" s="46">
        <v>2011</v>
      </c>
      <c r="E69" s="46">
        <v>2012</v>
      </c>
      <c r="F69" s="46">
        <v>2013</v>
      </c>
      <c r="G69" s="46">
        <v>2014</v>
      </c>
      <c r="H69" s="46">
        <v>2015</v>
      </c>
      <c r="I69" s="46">
        <v>2016</v>
      </c>
      <c r="J69" s="526">
        <v>2017</v>
      </c>
      <c r="K69" s="46">
        <v>2018</v>
      </c>
      <c r="L69" s="443">
        <v>2019</v>
      </c>
      <c r="M69" s="146">
        <v>2018</v>
      </c>
      <c r="N69" s="26"/>
      <c r="O69" s="1"/>
    </row>
    <row r="70" spans="1:15" x14ac:dyDescent="0.25">
      <c r="A70" s="858" t="s">
        <v>362</v>
      </c>
      <c r="B70" s="8">
        <f t="shared" ref="B70:M70" si="19">B42/B60</f>
        <v>5.656502327348722</v>
      </c>
      <c r="C70" s="8">
        <f t="shared" si="19"/>
        <v>5.0064066605650854</v>
      </c>
      <c r="D70" s="8">
        <f t="shared" si="19"/>
        <v>5.1879408385567398</v>
      </c>
      <c r="E70" s="8">
        <f t="shared" si="19"/>
        <v>5.1276445393057495</v>
      </c>
      <c r="F70" s="8">
        <f t="shared" si="19"/>
        <v>5.6620292738382831</v>
      </c>
      <c r="G70" s="8">
        <f t="shared" si="19"/>
        <v>8.0677348050741262</v>
      </c>
      <c r="H70" s="8">
        <f t="shared" si="19"/>
        <v>8.4392399891037861</v>
      </c>
      <c r="I70" s="8">
        <f t="shared" si="19"/>
        <v>8.5803454997647375</v>
      </c>
      <c r="J70" s="389">
        <f t="shared" si="19"/>
        <v>9.8080564345991554</v>
      </c>
      <c r="K70" s="8">
        <f t="shared" ref="K70" si="20">K42/K60</f>
        <v>11.411948952913463</v>
      </c>
      <c r="L70" s="448">
        <f>L42/L60</f>
        <v>8.3638262851354774</v>
      </c>
      <c r="M70" s="8">
        <f t="shared" si="19"/>
        <v>10.626685822267092</v>
      </c>
      <c r="N70" s="26"/>
      <c r="O70" s="1"/>
    </row>
    <row r="71" spans="1:15" x14ac:dyDescent="0.25">
      <c r="A71" s="875"/>
      <c r="B71" s="1"/>
      <c r="C71" s="1"/>
      <c r="D71" s="1"/>
      <c r="E71" s="1"/>
      <c r="F71" s="1"/>
      <c r="G71" s="1"/>
      <c r="H71" s="1"/>
      <c r="I71" s="1"/>
      <c r="J71" s="385"/>
      <c r="K71" s="1"/>
      <c r="L71" s="446"/>
      <c r="M71" s="1"/>
      <c r="N71" s="26"/>
      <c r="O71" s="1"/>
    </row>
    <row r="72" spans="1:15" x14ac:dyDescent="0.25">
      <c r="A72" s="878" t="s">
        <v>130</v>
      </c>
      <c r="B72" s="1"/>
      <c r="C72" s="1"/>
      <c r="D72" s="1"/>
      <c r="E72" s="1"/>
      <c r="F72" s="1"/>
      <c r="G72" s="1"/>
      <c r="H72" s="1"/>
      <c r="I72" s="1"/>
      <c r="J72" s="385"/>
      <c r="K72" s="1"/>
      <c r="L72" s="446"/>
      <c r="M72" s="1"/>
      <c r="N72" s="26"/>
      <c r="O72" s="1"/>
    </row>
    <row r="73" spans="1:15" ht="16.5" thickBot="1" x14ac:dyDescent="0.3">
      <c r="A73" s="879" t="s">
        <v>54</v>
      </c>
      <c r="B73" s="37">
        <f>B50/B64</f>
        <v>89319</v>
      </c>
      <c r="C73" s="37">
        <f t="shared" ref="C73:M73" si="21">C50/C64</f>
        <v>90438.399999999994</v>
      </c>
      <c r="D73" s="37">
        <f t="shared" si="21"/>
        <v>89182</v>
      </c>
      <c r="E73" s="37">
        <f t="shared" si="21"/>
        <v>88889</v>
      </c>
      <c r="F73" s="37">
        <f t="shared" si="21"/>
        <v>99609.25</v>
      </c>
      <c r="G73" s="37">
        <f t="shared" si="21"/>
        <v>143256.75</v>
      </c>
      <c r="H73" s="37">
        <f t="shared" si="21"/>
        <v>134697.60869565219</v>
      </c>
      <c r="I73" s="37">
        <f t="shared" si="21"/>
        <v>127649.8</v>
      </c>
      <c r="J73" s="921">
        <f t="shared" si="21"/>
        <v>148768.6</v>
      </c>
      <c r="K73" s="37">
        <f t="shared" ref="K73" si="22">K50/K64</f>
        <v>146951.66666666666</v>
      </c>
      <c r="L73" s="925">
        <f>L50/L64</f>
        <v>110095.83333333333</v>
      </c>
      <c r="M73" s="37">
        <f t="shared" si="21"/>
        <v>164207.79999999999</v>
      </c>
      <c r="N73" s="26"/>
      <c r="O73" s="1"/>
    </row>
    <row r="74" spans="1:15" x14ac:dyDescent="0.25">
      <c r="A74" s="878" t="s">
        <v>63</v>
      </c>
      <c r="B74" s="1">
        <f t="shared" ref="B74:M74" si="23">B42/B65</f>
        <v>89319</v>
      </c>
      <c r="C74" s="1">
        <f t="shared" si="23"/>
        <v>90438.399999999994</v>
      </c>
      <c r="D74" s="1">
        <f t="shared" si="23"/>
        <v>89182</v>
      </c>
      <c r="E74" s="1">
        <f t="shared" si="23"/>
        <v>88889</v>
      </c>
      <c r="F74" s="1">
        <f t="shared" si="23"/>
        <v>99609.25</v>
      </c>
      <c r="G74" s="1">
        <f t="shared" si="23"/>
        <v>143256.75</v>
      </c>
      <c r="H74" s="1">
        <f t="shared" si="23"/>
        <v>134697.60869565219</v>
      </c>
      <c r="I74" s="1">
        <f t="shared" si="23"/>
        <v>127649.8</v>
      </c>
      <c r="J74" s="385">
        <f t="shared" si="23"/>
        <v>148768.6</v>
      </c>
      <c r="K74" s="1">
        <f t="shared" ref="K74" si="24">K42/K65</f>
        <v>146951.66666666666</v>
      </c>
      <c r="L74" s="446">
        <f>L42/L65</f>
        <v>110095.83333333333</v>
      </c>
      <c r="M74" s="1">
        <f t="shared" si="23"/>
        <v>164207.79999999999</v>
      </c>
      <c r="N74" s="26"/>
      <c r="O74" s="1"/>
    </row>
    <row r="75" spans="1:15" x14ac:dyDescent="0.25">
      <c r="A75" s="875"/>
      <c r="B75" s="1"/>
      <c r="C75" s="1"/>
      <c r="D75" s="1"/>
      <c r="E75" s="1"/>
      <c r="F75" s="1"/>
      <c r="G75" s="1"/>
      <c r="H75" s="1"/>
      <c r="I75" s="1"/>
      <c r="J75" s="385"/>
      <c r="K75" s="1"/>
      <c r="L75" s="446"/>
      <c r="M75" s="1"/>
      <c r="N75" s="26"/>
      <c r="O75" s="1"/>
    </row>
    <row r="76" spans="1:15" x14ac:dyDescent="0.25">
      <c r="A76" s="875"/>
      <c r="B76" s="46">
        <v>2009</v>
      </c>
      <c r="C76" s="46">
        <v>2010</v>
      </c>
      <c r="D76" s="46">
        <v>2011</v>
      </c>
      <c r="E76" s="46">
        <v>2012</v>
      </c>
      <c r="F76" s="46">
        <v>2013</v>
      </c>
      <c r="G76" s="46">
        <v>2014</v>
      </c>
      <c r="H76" s="46">
        <v>2015</v>
      </c>
      <c r="I76" s="46">
        <v>2016</v>
      </c>
      <c r="J76" s="526">
        <v>2017</v>
      </c>
      <c r="K76" s="46">
        <v>2018</v>
      </c>
      <c r="L76" s="443">
        <v>2019</v>
      </c>
      <c r="M76" s="146">
        <v>2018</v>
      </c>
      <c r="N76" s="19"/>
    </row>
    <row r="77" spans="1:15" x14ac:dyDescent="0.25">
      <c r="A77" s="875" t="s">
        <v>65</v>
      </c>
      <c r="B77" s="14">
        <f>B64/(B60/1000)</f>
        <v>6.3329216934232616E-2</v>
      </c>
      <c r="C77" s="14">
        <f t="shared" ref="C77:M77" si="25">C64/(C60/1000)</f>
        <v>5.5357090136104625E-2</v>
      </c>
      <c r="D77" s="14">
        <f t="shared" si="25"/>
        <v>5.8172510580125368E-2</v>
      </c>
      <c r="E77" s="14">
        <f t="shared" si="25"/>
        <v>5.768592895977849E-2</v>
      </c>
      <c r="F77" s="14">
        <f t="shared" si="25"/>
        <v>5.6842404433707541E-2</v>
      </c>
      <c r="G77" s="14">
        <f t="shared" si="25"/>
        <v>5.6316611992622521E-2</v>
      </c>
      <c r="H77" s="14">
        <f t="shared" si="25"/>
        <v>6.2653228003268863E-2</v>
      </c>
      <c r="I77" s="14">
        <f t="shared" si="25"/>
        <v>6.7217853061773206E-2</v>
      </c>
      <c r="J77" s="534">
        <f t="shared" si="25"/>
        <v>6.5928270042194093E-2</v>
      </c>
      <c r="K77" s="14">
        <f t="shared" ref="K77" si="26">K64/(K60/1000)</f>
        <v>7.7657839558903471E-2</v>
      </c>
      <c r="L77" s="545">
        <f>L64/(L60/1000)</f>
        <v>7.5968599645479862E-2</v>
      </c>
      <c r="M77" s="14">
        <f t="shared" si="25"/>
        <v>6.4714866299086224E-2</v>
      </c>
      <c r="N77" s="26"/>
      <c r="O77" s="1"/>
    </row>
    <row r="78" spans="1:15" x14ac:dyDescent="0.25">
      <c r="A78" s="875" t="s">
        <v>64</v>
      </c>
      <c r="B78" s="14">
        <f t="shared" ref="B78:M78" si="27">B65/(B60/1000)</f>
        <v>6.3329216934232616E-2</v>
      </c>
      <c r="C78" s="14">
        <f t="shared" si="27"/>
        <v>5.5357090136104625E-2</v>
      </c>
      <c r="D78" s="14">
        <f t="shared" si="27"/>
        <v>5.8172510580125368E-2</v>
      </c>
      <c r="E78" s="14">
        <f t="shared" si="27"/>
        <v>5.768592895977849E-2</v>
      </c>
      <c r="F78" s="14">
        <f t="shared" si="27"/>
        <v>5.6842404433707541E-2</v>
      </c>
      <c r="G78" s="14">
        <f t="shared" si="27"/>
        <v>5.6316611992622521E-2</v>
      </c>
      <c r="H78" s="14">
        <f t="shared" si="27"/>
        <v>6.2653228003268863E-2</v>
      </c>
      <c r="I78" s="14">
        <f t="shared" si="27"/>
        <v>6.7217853061773206E-2</v>
      </c>
      <c r="J78" s="534">
        <f t="shared" si="27"/>
        <v>6.5928270042194093E-2</v>
      </c>
      <c r="K78" s="14">
        <f t="shared" ref="K78" si="28">K65/(K60/1000)</f>
        <v>7.7657839558903471E-2</v>
      </c>
      <c r="L78" s="545">
        <f>L65/(L60/1000)</f>
        <v>7.5968599645479862E-2</v>
      </c>
      <c r="M78" s="14">
        <f t="shared" si="27"/>
        <v>6.4714866299086224E-2</v>
      </c>
      <c r="N78" s="26"/>
      <c r="O78" s="1"/>
    </row>
    <row r="79" spans="1:15" x14ac:dyDescent="0.25">
      <c r="A79" s="875"/>
      <c r="J79" s="393"/>
      <c r="L79" s="163"/>
      <c r="N79" s="26"/>
      <c r="O79" s="1"/>
    </row>
    <row r="80" spans="1:15" s="17" customFormat="1" x14ac:dyDescent="0.25">
      <c r="A80" s="875"/>
      <c r="B80"/>
      <c r="C80"/>
      <c r="D80"/>
      <c r="E80"/>
      <c r="F80"/>
      <c r="G80"/>
      <c r="H80"/>
      <c r="I80"/>
      <c r="J80" s="393"/>
      <c r="K80" s="278"/>
      <c r="L80" s="163"/>
      <c r="M80"/>
      <c r="N80" s="68"/>
      <c r="O80" s="32"/>
    </row>
    <row r="81" spans="1:15" x14ac:dyDescent="0.25">
      <c r="A81" s="875"/>
      <c r="J81" s="393"/>
      <c r="L81" s="163"/>
      <c r="N81" s="26"/>
      <c r="O81" s="1"/>
    </row>
    <row r="82" spans="1:15" x14ac:dyDescent="0.25">
      <c r="N82" s="26"/>
      <c r="O82" s="1"/>
    </row>
    <row r="83" spans="1:15" x14ac:dyDescent="0.25">
      <c r="N83" s="26"/>
      <c r="O83" s="1"/>
    </row>
    <row r="84" spans="1:15" x14ac:dyDescent="0.25">
      <c r="N84" s="26"/>
      <c r="O84" s="1"/>
    </row>
    <row r="85" spans="1:15" x14ac:dyDescent="0.25">
      <c r="N85" s="26"/>
      <c r="O85" s="1"/>
    </row>
    <row r="86" spans="1:15" x14ac:dyDescent="0.25">
      <c r="N86" s="26"/>
      <c r="O86" s="1"/>
    </row>
    <row r="87" spans="1:15" x14ac:dyDescent="0.25">
      <c r="N87" s="26"/>
      <c r="O87" s="1"/>
    </row>
    <row r="88" spans="1:15" x14ac:dyDescent="0.25">
      <c r="N88" s="26"/>
      <c r="O88" s="1"/>
    </row>
    <row r="89" spans="1:15" x14ac:dyDescent="0.25">
      <c r="N89" s="26"/>
      <c r="O89" s="1"/>
    </row>
    <row r="90" spans="1:15" x14ac:dyDescent="0.25">
      <c r="N90" s="26"/>
      <c r="O90" s="1"/>
    </row>
    <row r="91" spans="1:15" x14ac:dyDescent="0.25">
      <c r="N91" s="26"/>
      <c r="O91" s="1"/>
    </row>
    <row r="92" spans="1:15" x14ac:dyDescent="0.25">
      <c r="N92" s="26"/>
      <c r="O92" s="1"/>
    </row>
    <row r="93" spans="1:15" x14ac:dyDescent="0.25">
      <c r="N93" s="26"/>
      <c r="O93" s="1"/>
    </row>
    <row r="94" spans="1:15" x14ac:dyDescent="0.25">
      <c r="N94" s="19"/>
    </row>
    <row r="95" spans="1:15" x14ac:dyDescent="0.25">
      <c r="N95" s="19"/>
    </row>
    <row r="96" spans="1:15" x14ac:dyDescent="0.25">
      <c r="N96" s="19"/>
    </row>
    <row r="97" spans="14:14" x14ac:dyDescent="0.25">
      <c r="N97" s="19"/>
    </row>
    <row r="98" spans="14:14" x14ac:dyDescent="0.25">
      <c r="N98" s="19"/>
    </row>
    <row r="99" spans="14:14" x14ac:dyDescent="0.25">
      <c r="N99" s="19"/>
    </row>
    <row r="100" spans="14:14" x14ac:dyDescent="0.25">
      <c r="N100" s="19"/>
    </row>
    <row r="101" spans="14:14" x14ac:dyDescent="0.25">
      <c r="N101" s="19"/>
    </row>
    <row r="102" spans="14:14" x14ac:dyDescent="0.25">
      <c r="N102" s="19"/>
    </row>
    <row r="103" spans="14:14" x14ac:dyDescent="0.25">
      <c r="N103" s="19"/>
    </row>
    <row r="104" spans="14:14" x14ac:dyDescent="0.25">
      <c r="N104" s="19"/>
    </row>
    <row r="105" spans="14:14" x14ac:dyDescent="0.25">
      <c r="N105" s="19"/>
    </row>
    <row r="106" spans="14:14" x14ac:dyDescent="0.25">
      <c r="N106" s="19"/>
    </row>
    <row r="107" spans="14:14" x14ac:dyDescent="0.25">
      <c r="N107" s="19"/>
    </row>
    <row r="108" spans="14:14" x14ac:dyDescent="0.25">
      <c r="N108" s="19"/>
    </row>
    <row r="109" spans="14:14" x14ac:dyDescent="0.25">
      <c r="N109" s="19"/>
    </row>
    <row r="110" spans="14:14" x14ac:dyDescent="0.25">
      <c r="N110" s="19"/>
    </row>
    <row r="111" spans="14:14" x14ac:dyDescent="0.25">
      <c r="N111" s="19"/>
    </row>
    <row r="112" spans="14:14" x14ac:dyDescent="0.25">
      <c r="N112" s="19"/>
    </row>
    <row r="113" spans="14:14" x14ac:dyDescent="0.25">
      <c r="N113" s="19"/>
    </row>
    <row r="114" spans="14:14" x14ac:dyDescent="0.25">
      <c r="N114" s="19"/>
    </row>
    <row r="115" spans="14:14" x14ac:dyDescent="0.25">
      <c r="N115" s="19"/>
    </row>
    <row r="116" spans="14:14" x14ac:dyDescent="0.25">
      <c r="N116" s="19"/>
    </row>
    <row r="117" spans="14:14" x14ac:dyDescent="0.25">
      <c r="N117" s="19"/>
    </row>
    <row r="118" spans="14:14" x14ac:dyDescent="0.25">
      <c r="N118" s="19"/>
    </row>
    <row r="119" spans="14:14" x14ac:dyDescent="0.25">
      <c r="N119" s="19"/>
    </row>
    <row r="120" spans="14:14" x14ac:dyDescent="0.25">
      <c r="N120" s="19"/>
    </row>
    <row r="121" spans="14:14" x14ac:dyDescent="0.25">
      <c r="N121" s="19"/>
    </row>
    <row r="122" spans="14:14" x14ac:dyDescent="0.25">
      <c r="N122" s="19"/>
    </row>
    <row r="123" spans="14:14" x14ac:dyDescent="0.25">
      <c r="N123" s="19"/>
    </row>
    <row r="124" spans="14:14" x14ac:dyDescent="0.25">
      <c r="N124" s="19"/>
    </row>
    <row r="125" spans="14:14" x14ac:dyDescent="0.25">
      <c r="N125" s="19"/>
    </row>
    <row r="126" spans="14:14" x14ac:dyDescent="0.25">
      <c r="N126" s="19"/>
    </row>
    <row r="127" spans="14:14" x14ac:dyDescent="0.25">
      <c r="N127" s="19"/>
    </row>
    <row r="128" spans="14:14" x14ac:dyDescent="0.25">
      <c r="N128" s="19"/>
    </row>
    <row r="129" spans="14:14" x14ac:dyDescent="0.25">
      <c r="N129" s="19"/>
    </row>
    <row r="130" spans="14:14" x14ac:dyDescent="0.25">
      <c r="N130" s="19"/>
    </row>
    <row r="131" spans="14:14" x14ac:dyDescent="0.25">
      <c r="N131" s="19"/>
    </row>
    <row r="132" spans="14:14" x14ac:dyDescent="0.25">
      <c r="N132" s="19"/>
    </row>
    <row r="133" spans="14:14" x14ac:dyDescent="0.25">
      <c r="N133" s="19"/>
    </row>
    <row r="134" spans="14:14" x14ac:dyDescent="0.25">
      <c r="N134" s="19"/>
    </row>
    <row r="135" spans="14:14" x14ac:dyDescent="0.25">
      <c r="N135" s="19"/>
    </row>
    <row r="136" spans="14:14" x14ac:dyDescent="0.25">
      <c r="N136" s="19"/>
    </row>
    <row r="137" spans="14:14" x14ac:dyDescent="0.25">
      <c r="N137" s="19"/>
    </row>
    <row r="138" spans="14:14" x14ac:dyDescent="0.25">
      <c r="N138" s="19"/>
    </row>
    <row r="139" spans="14:14" x14ac:dyDescent="0.25">
      <c r="N139" s="19"/>
    </row>
    <row r="140" spans="14:14" x14ac:dyDescent="0.25">
      <c r="N140" s="19"/>
    </row>
    <row r="141" spans="14:14" x14ac:dyDescent="0.25">
      <c r="N141" s="19"/>
    </row>
    <row r="142" spans="14:14" x14ac:dyDescent="0.25">
      <c r="N142" s="19"/>
    </row>
    <row r="143" spans="14:14" x14ac:dyDescent="0.25">
      <c r="N143" s="19"/>
    </row>
    <row r="144" spans="14:14" x14ac:dyDescent="0.25">
      <c r="N144" s="19"/>
    </row>
    <row r="145" spans="14:14" x14ac:dyDescent="0.25">
      <c r="N145" s="19"/>
    </row>
    <row r="146" spans="14:14" x14ac:dyDescent="0.25">
      <c r="N146" s="19"/>
    </row>
    <row r="147" spans="14:14" x14ac:dyDescent="0.25">
      <c r="N147" s="19"/>
    </row>
    <row r="148" spans="14:14" x14ac:dyDescent="0.25">
      <c r="N148" s="19"/>
    </row>
    <row r="149" spans="14:14" x14ac:dyDescent="0.25">
      <c r="N149" s="19"/>
    </row>
    <row r="150" spans="14:14" x14ac:dyDescent="0.25">
      <c r="N150" s="19"/>
    </row>
    <row r="151" spans="14:14" x14ac:dyDescent="0.25">
      <c r="N151" s="19"/>
    </row>
    <row r="152" spans="14:14" x14ac:dyDescent="0.25">
      <c r="N152" s="19"/>
    </row>
    <row r="153" spans="14:14" x14ac:dyDescent="0.25">
      <c r="N153" s="19"/>
    </row>
    <row r="154" spans="14:14" x14ac:dyDescent="0.25">
      <c r="N154" s="19"/>
    </row>
    <row r="155" spans="14:14" x14ac:dyDescent="0.25">
      <c r="N155" s="19"/>
    </row>
    <row r="156" spans="14:14" x14ac:dyDescent="0.25">
      <c r="N156" s="19"/>
    </row>
    <row r="157" spans="14:14" x14ac:dyDescent="0.25">
      <c r="N157" s="19"/>
    </row>
    <row r="158" spans="14:14" x14ac:dyDescent="0.25">
      <c r="N158" s="19"/>
    </row>
    <row r="159" spans="14:14" x14ac:dyDescent="0.25">
      <c r="N159" s="19"/>
    </row>
    <row r="160" spans="14:14" x14ac:dyDescent="0.25">
      <c r="N160" s="19"/>
    </row>
    <row r="161" spans="14:14" x14ac:dyDescent="0.25">
      <c r="N161" s="19"/>
    </row>
    <row r="162" spans="14:14" x14ac:dyDescent="0.25">
      <c r="N162" s="19"/>
    </row>
    <row r="163" spans="14:14" x14ac:dyDescent="0.25">
      <c r="N163" s="19"/>
    </row>
    <row r="164" spans="14:14" x14ac:dyDescent="0.25">
      <c r="N164" s="19"/>
    </row>
    <row r="165" spans="14:14" x14ac:dyDescent="0.25">
      <c r="N165" s="19"/>
    </row>
    <row r="166" spans="14:14" x14ac:dyDescent="0.25">
      <c r="N166" s="19"/>
    </row>
    <row r="167" spans="14:14" x14ac:dyDescent="0.25">
      <c r="N167" s="19"/>
    </row>
    <row r="168" spans="14:14" x14ac:dyDescent="0.25">
      <c r="N168" s="19"/>
    </row>
    <row r="169" spans="14:14" x14ac:dyDescent="0.25">
      <c r="N169" s="19"/>
    </row>
    <row r="170" spans="14:14" x14ac:dyDescent="0.25">
      <c r="N170" s="19"/>
    </row>
    <row r="171" spans="14:14" x14ac:dyDescent="0.25">
      <c r="N171" s="19"/>
    </row>
    <row r="172" spans="14:14" x14ac:dyDescent="0.25">
      <c r="N172" s="19"/>
    </row>
    <row r="173" spans="14:14" x14ac:dyDescent="0.25">
      <c r="N173" s="19"/>
    </row>
    <row r="174" spans="14:14" x14ac:dyDescent="0.25">
      <c r="N174" s="19"/>
    </row>
    <row r="175" spans="14:14" x14ac:dyDescent="0.25">
      <c r="N175" s="19"/>
    </row>
    <row r="176" spans="14:14" x14ac:dyDescent="0.25">
      <c r="N176" s="19"/>
    </row>
    <row r="177" spans="14:14" x14ac:dyDescent="0.25">
      <c r="N177" s="19"/>
    </row>
    <row r="178" spans="14:14" x14ac:dyDescent="0.25">
      <c r="N178" s="19"/>
    </row>
    <row r="179" spans="14:14" x14ac:dyDescent="0.25">
      <c r="N179" s="19"/>
    </row>
    <row r="180" spans="14:14" x14ac:dyDescent="0.25">
      <c r="N180" s="19"/>
    </row>
    <row r="181" spans="14:14" x14ac:dyDescent="0.25">
      <c r="N181" s="19"/>
    </row>
    <row r="182" spans="14:14" x14ac:dyDescent="0.25">
      <c r="N182" s="19"/>
    </row>
    <row r="183" spans="14:14" x14ac:dyDescent="0.25">
      <c r="N183" s="19"/>
    </row>
    <row r="184" spans="14:14" x14ac:dyDescent="0.25">
      <c r="N184" s="19"/>
    </row>
    <row r="185" spans="14:14" x14ac:dyDescent="0.25">
      <c r="N185" s="19"/>
    </row>
    <row r="186" spans="14:14" x14ac:dyDescent="0.25">
      <c r="N186" s="19"/>
    </row>
    <row r="187" spans="14:14" x14ac:dyDescent="0.25">
      <c r="N187" s="19"/>
    </row>
    <row r="188" spans="14:14" x14ac:dyDescent="0.25">
      <c r="N188" s="19"/>
    </row>
    <row r="189" spans="14:14" x14ac:dyDescent="0.25">
      <c r="N189" s="19"/>
    </row>
    <row r="190" spans="14:14" x14ac:dyDescent="0.25">
      <c r="N190" s="19"/>
    </row>
    <row r="191" spans="14:14" x14ac:dyDescent="0.25">
      <c r="N191" s="19"/>
    </row>
    <row r="192" spans="14:14" x14ac:dyDescent="0.25">
      <c r="N192" s="19"/>
    </row>
    <row r="193" spans="14:14" x14ac:dyDescent="0.25">
      <c r="N193" s="19"/>
    </row>
    <row r="194" spans="14:14" x14ac:dyDescent="0.25">
      <c r="N194" s="19"/>
    </row>
    <row r="195" spans="14:14" x14ac:dyDescent="0.25">
      <c r="N195" s="19"/>
    </row>
    <row r="196" spans="14:14" x14ac:dyDescent="0.25">
      <c r="N196" s="19"/>
    </row>
    <row r="197" spans="14:14" x14ac:dyDescent="0.25">
      <c r="N197" s="19"/>
    </row>
    <row r="198" spans="14:14" x14ac:dyDescent="0.25">
      <c r="N198" s="19"/>
    </row>
    <row r="199" spans="14:14" x14ac:dyDescent="0.25">
      <c r="N199" s="19"/>
    </row>
    <row r="200" spans="14:14" x14ac:dyDescent="0.25">
      <c r="N200" s="19"/>
    </row>
    <row r="201" spans="14:14" x14ac:dyDescent="0.25">
      <c r="N201" s="19"/>
    </row>
    <row r="202" spans="14:14" x14ac:dyDescent="0.25">
      <c r="N202" s="19"/>
    </row>
    <row r="203" spans="14:14" x14ac:dyDescent="0.25">
      <c r="N203" s="19"/>
    </row>
    <row r="204" spans="14:14" x14ac:dyDescent="0.25">
      <c r="N204" s="19"/>
    </row>
    <row r="205" spans="14:14" x14ac:dyDescent="0.25">
      <c r="N205" s="19"/>
    </row>
    <row r="206" spans="14:14" x14ac:dyDescent="0.25">
      <c r="N206" s="19"/>
    </row>
    <row r="207" spans="14:14" x14ac:dyDescent="0.25">
      <c r="N207" s="19"/>
    </row>
    <row r="208" spans="14:14" x14ac:dyDescent="0.25">
      <c r="N208" s="19"/>
    </row>
    <row r="209" spans="14:14" x14ac:dyDescent="0.25">
      <c r="N209" s="19"/>
    </row>
    <row r="210" spans="14:14" x14ac:dyDescent="0.25">
      <c r="N210" s="19"/>
    </row>
    <row r="211" spans="14:14" x14ac:dyDescent="0.25">
      <c r="N211" s="19"/>
    </row>
    <row r="212" spans="14:14" x14ac:dyDescent="0.25">
      <c r="N212" s="19"/>
    </row>
    <row r="213" spans="14:14" x14ac:dyDescent="0.25">
      <c r="N213" s="19"/>
    </row>
    <row r="214" spans="14:14" x14ac:dyDescent="0.25">
      <c r="N214" s="19"/>
    </row>
    <row r="215" spans="14:14" x14ac:dyDescent="0.25">
      <c r="N215" s="19"/>
    </row>
    <row r="216" spans="14:14" x14ac:dyDescent="0.25">
      <c r="N216" s="19"/>
    </row>
    <row r="217" spans="14:14" x14ac:dyDescent="0.25">
      <c r="N217" s="19"/>
    </row>
    <row r="218" spans="14:14" x14ac:dyDescent="0.25">
      <c r="N218" s="19"/>
    </row>
    <row r="219" spans="14:14" x14ac:dyDescent="0.25">
      <c r="N219" s="19"/>
    </row>
    <row r="220" spans="14:14" x14ac:dyDescent="0.25">
      <c r="N220" s="19"/>
    </row>
    <row r="221" spans="14:14" x14ac:dyDescent="0.25">
      <c r="N221" s="19"/>
    </row>
    <row r="222" spans="14:14" x14ac:dyDescent="0.25">
      <c r="N222" s="19"/>
    </row>
    <row r="223" spans="14:14" x14ac:dyDescent="0.25">
      <c r="N223" s="19"/>
    </row>
    <row r="224" spans="14:14" x14ac:dyDescent="0.25">
      <c r="N224" s="19"/>
    </row>
    <row r="225" spans="14:14" x14ac:dyDescent="0.25">
      <c r="N225" s="19"/>
    </row>
    <row r="226" spans="14:14" x14ac:dyDescent="0.25">
      <c r="N226" s="19"/>
    </row>
    <row r="227" spans="14:14" x14ac:dyDescent="0.25">
      <c r="N227" s="19"/>
    </row>
    <row r="228" spans="14:14" x14ac:dyDescent="0.25">
      <c r="N228" s="19"/>
    </row>
    <row r="229" spans="14:14" x14ac:dyDescent="0.25">
      <c r="N229" s="19"/>
    </row>
    <row r="230" spans="14:14" x14ac:dyDescent="0.25">
      <c r="N230" s="19"/>
    </row>
    <row r="231" spans="14:14" x14ac:dyDescent="0.25">
      <c r="N231" s="19"/>
    </row>
    <row r="232" spans="14:14" x14ac:dyDescent="0.25">
      <c r="N232" s="19"/>
    </row>
    <row r="233" spans="14:14" x14ac:dyDescent="0.25">
      <c r="N233" s="19"/>
    </row>
    <row r="234" spans="14:14" x14ac:dyDescent="0.25">
      <c r="N234" s="19"/>
    </row>
    <row r="235" spans="14:14" x14ac:dyDescent="0.25">
      <c r="N235" s="19"/>
    </row>
    <row r="236" spans="14:14" x14ac:dyDescent="0.25">
      <c r="N236" s="19"/>
    </row>
    <row r="237" spans="14:14" x14ac:dyDescent="0.25">
      <c r="N237" s="19"/>
    </row>
    <row r="238" spans="14:14" x14ac:dyDescent="0.25">
      <c r="N238" s="19"/>
    </row>
    <row r="239" spans="14:14" x14ac:dyDescent="0.25">
      <c r="N239" s="19"/>
    </row>
    <row r="240" spans="14:14" x14ac:dyDescent="0.25">
      <c r="N240" s="19"/>
    </row>
    <row r="241" spans="14:14" x14ac:dyDescent="0.25">
      <c r="N241" s="19"/>
    </row>
    <row r="242" spans="14:14" x14ac:dyDescent="0.25">
      <c r="N242" s="19"/>
    </row>
    <row r="243" spans="14:14" x14ac:dyDescent="0.25">
      <c r="N243" s="19"/>
    </row>
    <row r="244" spans="14:14" x14ac:dyDescent="0.25">
      <c r="N244" s="19"/>
    </row>
    <row r="245" spans="14:14" x14ac:dyDescent="0.25">
      <c r="N245" s="19"/>
    </row>
    <row r="246" spans="14:14" x14ac:dyDescent="0.25">
      <c r="N246" s="19"/>
    </row>
    <row r="247" spans="14:14" x14ac:dyDescent="0.25">
      <c r="N247" s="19"/>
    </row>
    <row r="248" spans="14:14" x14ac:dyDescent="0.25">
      <c r="N248" s="19"/>
    </row>
    <row r="249" spans="14:14" x14ac:dyDescent="0.25">
      <c r="N249" s="19"/>
    </row>
    <row r="250" spans="14:14" x14ac:dyDescent="0.25">
      <c r="N250" s="19"/>
    </row>
    <row r="251" spans="14:14" x14ac:dyDescent="0.25">
      <c r="N251" s="19"/>
    </row>
    <row r="252" spans="14:14" x14ac:dyDescent="0.25">
      <c r="N252" s="19"/>
    </row>
    <row r="253" spans="14:14" x14ac:dyDescent="0.25">
      <c r="N253" s="19"/>
    </row>
    <row r="254" spans="14:14" x14ac:dyDescent="0.25">
      <c r="N254" s="19"/>
    </row>
    <row r="255" spans="14:14" x14ac:dyDescent="0.25">
      <c r="N255" s="19"/>
    </row>
    <row r="256" spans="14:14" x14ac:dyDescent="0.25">
      <c r="N256" s="19"/>
    </row>
    <row r="257" spans="14:14" x14ac:dyDescent="0.25">
      <c r="N257" s="19"/>
    </row>
    <row r="258" spans="14:14" x14ac:dyDescent="0.25">
      <c r="N258" s="19"/>
    </row>
    <row r="259" spans="14:14" x14ac:dyDescent="0.25">
      <c r="N259" s="19"/>
    </row>
    <row r="260" spans="14:14" x14ac:dyDescent="0.25">
      <c r="N260" s="19"/>
    </row>
    <row r="261" spans="14:14" x14ac:dyDescent="0.25">
      <c r="N261" s="19"/>
    </row>
    <row r="262" spans="14:14" x14ac:dyDescent="0.25">
      <c r="N262" s="19"/>
    </row>
    <row r="263" spans="14:14" x14ac:dyDescent="0.25">
      <c r="N263" s="19"/>
    </row>
    <row r="264" spans="14:14" x14ac:dyDescent="0.25">
      <c r="N264" s="19"/>
    </row>
    <row r="265" spans="14:14" x14ac:dyDescent="0.25">
      <c r="N265" s="19"/>
    </row>
    <row r="266" spans="14:14" x14ac:dyDescent="0.25">
      <c r="N266" s="19"/>
    </row>
    <row r="267" spans="14:14" x14ac:dyDescent="0.25">
      <c r="N267" s="19"/>
    </row>
    <row r="268" spans="14:14" x14ac:dyDescent="0.25">
      <c r="N268" s="19"/>
    </row>
    <row r="269" spans="14:14" x14ac:dyDescent="0.25">
      <c r="N269" s="19"/>
    </row>
    <row r="270" spans="14:14" x14ac:dyDescent="0.25">
      <c r="N270" s="19"/>
    </row>
    <row r="271" spans="14:14" x14ac:dyDescent="0.25">
      <c r="N271" s="19"/>
    </row>
    <row r="272" spans="14:14" x14ac:dyDescent="0.25">
      <c r="N272" s="19"/>
    </row>
    <row r="273" spans="14:14" x14ac:dyDescent="0.25">
      <c r="N273" s="19"/>
    </row>
    <row r="274" spans="14:14" x14ac:dyDescent="0.25">
      <c r="N274" s="19"/>
    </row>
    <row r="275" spans="14:14" x14ac:dyDescent="0.25">
      <c r="N275" s="19"/>
    </row>
    <row r="276" spans="14:14" x14ac:dyDescent="0.25">
      <c r="N276" s="19"/>
    </row>
    <row r="277" spans="14:14" x14ac:dyDescent="0.25">
      <c r="N277" s="19"/>
    </row>
    <row r="278" spans="14:14" x14ac:dyDescent="0.25">
      <c r="N278" s="19"/>
    </row>
    <row r="279" spans="14:14" x14ac:dyDescent="0.25">
      <c r="N279" s="19"/>
    </row>
    <row r="280" spans="14:14" x14ac:dyDescent="0.25">
      <c r="N280" s="19"/>
    </row>
    <row r="281" spans="14:14" x14ac:dyDescent="0.25">
      <c r="N281" s="19"/>
    </row>
    <row r="282" spans="14:14" x14ac:dyDescent="0.25">
      <c r="N282" s="19"/>
    </row>
    <row r="283" spans="14:14" x14ac:dyDescent="0.25">
      <c r="N283" s="19"/>
    </row>
    <row r="284" spans="14:14" x14ac:dyDescent="0.25">
      <c r="N284" s="19"/>
    </row>
    <row r="285" spans="14:14" x14ac:dyDescent="0.25">
      <c r="N285" s="19"/>
    </row>
    <row r="286" spans="14:14" x14ac:dyDescent="0.25">
      <c r="N286" s="19"/>
    </row>
    <row r="287" spans="14:14" x14ac:dyDescent="0.25">
      <c r="N287" s="19"/>
    </row>
    <row r="288" spans="14:14" x14ac:dyDescent="0.25">
      <c r="N288" s="19"/>
    </row>
    <row r="289" spans="14:14" x14ac:dyDescent="0.25">
      <c r="N289" s="19"/>
    </row>
    <row r="290" spans="14:14" x14ac:dyDescent="0.25">
      <c r="N290" s="19"/>
    </row>
    <row r="291" spans="14:14" x14ac:dyDescent="0.25">
      <c r="N291" s="19"/>
    </row>
    <row r="292" spans="14:14" x14ac:dyDescent="0.25">
      <c r="N292" s="19"/>
    </row>
    <row r="293" spans="14:14" x14ac:dyDescent="0.25">
      <c r="N293" s="19"/>
    </row>
    <row r="294" spans="14:14" x14ac:dyDescent="0.25">
      <c r="N294" s="19"/>
    </row>
    <row r="295" spans="14:14" x14ac:dyDescent="0.25">
      <c r="N295" s="19"/>
    </row>
    <row r="296" spans="14:14" x14ac:dyDescent="0.25">
      <c r="N296" s="19"/>
    </row>
    <row r="297" spans="14:14" x14ac:dyDescent="0.25">
      <c r="N297" s="19"/>
    </row>
    <row r="298" spans="14:14" x14ac:dyDescent="0.25">
      <c r="N298" s="19"/>
    </row>
    <row r="299" spans="14:14" x14ac:dyDescent="0.25">
      <c r="N299" s="19"/>
    </row>
    <row r="300" spans="14:14" x14ac:dyDescent="0.25">
      <c r="N300" s="19"/>
    </row>
    <row r="301" spans="14:14" x14ac:dyDescent="0.25">
      <c r="N301" s="19"/>
    </row>
    <row r="302" spans="14:14" x14ac:dyDescent="0.25">
      <c r="N302" s="19"/>
    </row>
    <row r="303" spans="14:14" x14ac:dyDescent="0.25">
      <c r="N303" s="19"/>
    </row>
    <row r="304" spans="14:14" x14ac:dyDescent="0.25">
      <c r="N304" s="19"/>
    </row>
    <row r="305" spans="14:14" x14ac:dyDescent="0.25">
      <c r="N305" s="19"/>
    </row>
    <row r="306" spans="14:14" x14ac:dyDescent="0.25">
      <c r="N306" s="19"/>
    </row>
    <row r="307" spans="14:14" x14ac:dyDescent="0.25">
      <c r="N307" s="19"/>
    </row>
    <row r="308" spans="14:14" x14ac:dyDescent="0.25">
      <c r="N308" s="19"/>
    </row>
    <row r="309" spans="14:14" x14ac:dyDescent="0.25">
      <c r="N309" s="19"/>
    </row>
    <row r="310" spans="14:14" x14ac:dyDescent="0.25">
      <c r="N310" s="19"/>
    </row>
    <row r="311" spans="14:14" x14ac:dyDescent="0.25">
      <c r="N311" s="19"/>
    </row>
    <row r="312" spans="14:14" x14ac:dyDescent="0.25">
      <c r="N312" s="19"/>
    </row>
    <row r="313" spans="14:14" x14ac:dyDescent="0.25">
      <c r="N313" s="19"/>
    </row>
    <row r="314" spans="14:14" x14ac:dyDescent="0.25">
      <c r="N314" s="19"/>
    </row>
    <row r="315" spans="14:14" x14ac:dyDescent="0.25">
      <c r="N315" s="19"/>
    </row>
    <row r="316" spans="14:14" x14ac:dyDescent="0.25">
      <c r="N316" s="19"/>
    </row>
    <row r="317" spans="14:14" x14ac:dyDescent="0.25">
      <c r="N317" s="19"/>
    </row>
    <row r="318" spans="14:14" x14ac:dyDescent="0.25">
      <c r="N318" s="19"/>
    </row>
    <row r="319" spans="14:14" x14ac:dyDescent="0.25">
      <c r="N319" s="19"/>
    </row>
    <row r="320" spans="14:14" x14ac:dyDescent="0.25">
      <c r="N320" s="19"/>
    </row>
    <row r="321" spans="14:14" x14ac:dyDescent="0.25">
      <c r="N321" s="19"/>
    </row>
    <row r="322" spans="14:14" x14ac:dyDescent="0.25">
      <c r="N322" s="19"/>
    </row>
    <row r="323" spans="14:14" x14ac:dyDescent="0.25">
      <c r="N323" s="19"/>
    </row>
    <row r="324" spans="14:14" x14ac:dyDescent="0.25">
      <c r="N324" s="19"/>
    </row>
    <row r="325" spans="14:14" x14ac:dyDescent="0.25">
      <c r="N325" s="19"/>
    </row>
    <row r="326" spans="14:14" x14ac:dyDescent="0.25">
      <c r="N326" s="19"/>
    </row>
    <row r="327" spans="14:14" x14ac:dyDescent="0.25">
      <c r="N327" s="19"/>
    </row>
    <row r="328" spans="14:14" x14ac:dyDescent="0.25">
      <c r="N328" s="19"/>
    </row>
    <row r="329" spans="14:14" x14ac:dyDescent="0.25">
      <c r="N329" s="19"/>
    </row>
    <row r="330" spans="14:14" x14ac:dyDescent="0.25">
      <c r="N330" s="19"/>
    </row>
    <row r="331" spans="14:14" x14ac:dyDescent="0.25">
      <c r="N331" s="19"/>
    </row>
    <row r="332" spans="14:14" x14ac:dyDescent="0.25">
      <c r="N332" s="19"/>
    </row>
    <row r="333" spans="14:14" x14ac:dyDescent="0.25">
      <c r="N333" s="19"/>
    </row>
    <row r="334" spans="14:14" x14ac:dyDescent="0.25">
      <c r="N334" s="19"/>
    </row>
    <row r="335" spans="14:14" x14ac:dyDescent="0.25">
      <c r="N335" s="19"/>
    </row>
    <row r="336" spans="14:14" x14ac:dyDescent="0.25">
      <c r="N336" s="19"/>
    </row>
    <row r="337" spans="14:14" x14ac:dyDescent="0.25">
      <c r="N337" s="19"/>
    </row>
    <row r="338" spans="14:14" x14ac:dyDescent="0.25">
      <c r="N338" s="19"/>
    </row>
    <row r="339" spans="14:14" x14ac:dyDescent="0.25">
      <c r="N339" s="19"/>
    </row>
    <row r="340" spans="14:14" x14ac:dyDescent="0.25">
      <c r="N340" s="19"/>
    </row>
    <row r="341" spans="14:14" x14ac:dyDescent="0.25">
      <c r="N341" s="19"/>
    </row>
    <row r="342" spans="14:14" x14ac:dyDescent="0.25">
      <c r="N342" s="19"/>
    </row>
    <row r="343" spans="14:14" x14ac:dyDescent="0.25">
      <c r="N343" s="19"/>
    </row>
    <row r="344" spans="14:14" x14ac:dyDescent="0.25">
      <c r="N344" s="19"/>
    </row>
    <row r="345" spans="14:14" x14ac:dyDescent="0.25">
      <c r="N345" s="19"/>
    </row>
    <row r="346" spans="14:14" x14ac:dyDescent="0.25">
      <c r="N346" s="19"/>
    </row>
    <row r="347" spans="14:14" x14ac:dyDescent="0.25">
      <c r="N347" s="19"/>
    </row>
    <row r="348" spans="14:14" x14ac:dyDescent="0.25">
      <c r="N348" s="19"/>
    </row>
    <row r="349" spans="14:14" x14ac:dyDescent="0.25">
      <c r="N349" s="19"/>
    </row>
    <row r="350" spans="14:14" x14ac:dyDescent="0.25">
      <c r="N350" s="19"/>
    </row>
    <row r="351" spans="14:14" x14ac:dyDescent="0.25">
      <c r="N351" s="19"/>
    </row>
    <row r="352" spans="14:14" x14ac:dyDescent="0.25">
      <c r="N352" s="19"/>
    </row>
    <row r="353" spans="14:14" x14ac:dyDescent="0.25">
      <c r="N353" s="19"/>
    </row>
    <row r="354" spans="14:14" x14ac:dyDescent="0.25">
      <c r="N354" s="19"/>
    </row>
    <row r="355" spans="14:14" x14ac:dyDescent="0.25">
      <c r="N355" s="19"/>
    </row>
    <row r="356" spans="14:14" x14ac:dyDescent="0.25">
      <c r="N356" s="19"/>
    </row>
    <row r="357" spans="14:14" x14ac:dyDescent="0.25">
      <c r="N357" s="19"/>
    </row>
    <row r="358" spans="14:14" x14ac:dyDescent="0.25">
      <c r="N358" s="19"/>
    </row>
    <row r="359" spans="14:14" x14ac:dyDescent="0.25">
      <c r="N359" s="19"/>
    </row>
    <row r="360" spans="14:14" x14ac:dyDescent="0.25">
      <c r="N360" s="19"/>
    </row>
    <row r="361" spans="14:14" x14ac:dyDescent="0.25">
      <c r="N361" s="19"/>
    </row>
    <row r="362" spans="14:14" x14ac:dyDescent="0.25">
      <c r="N362" s="19"/>
    </row>
    <row r="363" spans="14:14" x14ac:dyDescent="0.25">
      <c r="N363" s="19"/>
    </row>
    <row r="364" spans="14:14" x14ac:dyDescent="0.25">
      <c r="N364" s="19"/>
    </row>
    <row r="365" spans="14:14" x14ac:dyDescent="0.25">
      <c r="N365" s="19"/>
    </row>
    <row r="366" spans="14:14" x14ac:dyDescent="0.25">
      <c r="N366" s="19"/>
    </row>
    <row r="367" spans="14:14" x14ac:dyDescent="0.25">
      <c r="N367" s="19"/>
    </row>
    <row r="368" spans="14:14" x14ac:dyDescent="0.25">
      <c r="N368" s="19"/>
    </row>
    <row r="369" spans="14:14" x14ac:dyDescent="0.25">
      <c r="N369" s="19"/>
    </row>
    <row r="370" spans="14:14" x14ac:dyDescent="0.25">
      <c r="N370" s="19"/>
    </row>
    <row r="371" spans="14:14" x14ac:dyDescent="0.25">
      <c r="N371" s="19"/>
    </row>
    <row r="372" spans="14:14" x14ac:dyDescent="0.25">
      <c r="N372" s="19"/>
    </row>
    <row r="373" spans="14:14" x14ac:dyDescent="0.25">
      <c r="N373" s="19"/>
    </row>
    <row r="374" spans="14:14" x14ac:dyDescent="0.25">
      <c r="N374" s="19"/>
    </row>
    <row r="375" spans="14:14" x14ac:dyDescent="0.25">
      <c r="N375" s="19"/>
    </row>
    <row r="376" spans="14:14" x14ac:dyDescent="0.25">
      <c r="N376" s="19"/>
    </row>
    <row r="377" spans="14:14" x14ac:dyDescent="0.25">
      <c r="N377" s="19"/>
    </row>
    <row r="378" spans="14:14" x14ac:dyDescent="0.25">
      <c r="N378" s="19"/>
    </row>
    <row r="379" spans="14:14" x14ac:dyDescent="0.25">
      <c r="N379" s="19"/>
    </row>
    <row r="380" spans="14:14" x14ac:dyDescent="0.25">
      <c r="N380" s="19"/>
    </row>
    <row r="381" spans="14:14" x14ac:dyDescent="0.25">
      <c r="N381" s="19"/>
    </row>
    <row r="382" spans="14:14" x14ac:dyDescent="0.25">
      <c r="N382" s="19"/>
    </row>
    <row r="383" spans="14:14" x14ac:dyDescent="0.25">
      <c r="N383" s="19"/>
    </row>
    <row r="384" spans="14:14" x14ac:dyDescent="0.25">
      <c r="N384" s="19"/>
    </row>
    <row r="385" spans="14:14" x14ac:dyDescent="0.25">
      <c r="N385" s="19"/>
    </row>
    <row r="386" spans="14:14" x14ac:dyDescent="0.25">
      <c r="N386" s="19"/>
    </row>
    <row r="387" spans="14:14" x14ac:dyDescent="0.25">
      <c r="N387" s="19"/>
    </row>
    <row r="388" spans="14:14" x14ac:dyDescent="0.25">
      <c r="N388" s="19"/>
    </row>
    <row r="389" spans="14:14" x14ac:dyDescent="0.25">
      <c r="N389" s="19"/>
    </row>
    <row r="390" spans="14:14" x14ac:dyDescent="0.25">
      <c r="N390" s="19"/>
    </row>
    <row r="391" spans="14:14" x14ac:dyDescent="0.25">
      <c r="N391" s="19"/>
    </row>
    <row r="392" spans="14:14" x14ac:dyDescent="0.25">
      <c r="N392" s="19"/>
    </row>
    <row r="393" spans="14:14" x14ac:dyDescent="0.25">
      <c r="N393" s="19"/>
    </row>
    <row r="394" spans="14:14" x14ac:dyDescent="0.25">
      <c r="N394" s="19"/>
    </row>
    <row r="395" spans="14:14" x14ac:dyDescent="0.25">
      <c r="N395" s="19"/>
    </row>
    <row r="396" spans="14:14" x14ac:dyDescent="0.25">
      <c r="N396" s="19"/>
    </row>
    <row r="397" spans="14:14" x14ac:dyDescent="0.25">
      <c r="N397" s="19"/>
    </row>
    <row r="398" spans="14:14" x14ac:dyDescent="0.25">
      <c r="N398" s="19"/>
    </row>
    <row r="399" spans="14:14" x14ac:dyDescent="0.25">
      <c r="N399" s="19"/>
    </row>
    <row r="400" spans="14:14" x14ac:dyDescent="0.25">
      <c r="N400" s="19"/>
    </row>
    <row r="401" spans="14:14" x14ac:dyDescent="0.25">
      <c r="N401" s="19"/>
    </row>
    <row r="402" spans="14:14" x14ac:dyDescent="0.25">
      <c r="N402" s="19"/>
    </row>
    <row r="403" spans="14:14" x14ac:dyDescent="0.25">
      <c r="N403" s="19"/>
    </row>
    <row r="404" spans="14:14" x14ac:dyDescent="0.25">
      <c r="N404" s="19"/>
    </row>
    <row r="405" spans="14:14" x14ac:dyDescent="0.25">
      <c r="N405" s="19"/>
    </row>
    <row r="406" spans="14:14" x14ac:dyDescent="0.25">
      <c r="N406" s="19"/>
    </row>
    <row r="407" spans="14:14" x14ac:dyDescent="0.25">
      <c r="N407" s="19"/>
    </row>
    <row r="408" spans="14:14" x14ac:dyDescent="0.25">
      <c r="N408" s="19"/>
    </row>
    <row r="409" spans="14:14" x14ac:dyDescent="0.25">
      <c r="N409" s="19"/>
    </row>
    <row r="410" spans="14:14" x14ac:dyDescent="0.25">
      <c r="N410" s="19"/>
    </row>
    <row r="411" spans="14:14" x14ac:dyDescent="0.25">
      <c r="N411" s="19"/>
    </row>
    <row r="412" spans="14:14" x14ac:dyDescent="0.25">
      <c r="N412" s="19"/>
    </row>
    <row r="413" spans="14:14" x14ac:dyDescent="0.25">
      <c r="N413" s="19"/>
    </row>
    <row r="414" spans="14:14" x14ac:dyDescent="0.25">
      <c r="N414" s="19"/>
    </row>
    <row r="415" spans="14:14" x14ac:dyDescent="0.25">
      <c r="N415" s="19"/>
    </row>
    <row r="416" spans="14:14" x14ac:dyDescent="0.25">
      <c r="N416" s="19"/>
    </row>
    <row r="417" spans="14:14" x14ac:dyDescent="0.25">
      <c r="N417" s="19"/>
    </row>
    <row r="418" spans="14:14" x14ac:dyDescent="0.25">
      <c r="N418" s="19"/>
    </row>
    <row r="419" spans="14:14" x14ac:dyDescent="0.25">
      <c r="N419" s="19"/>
    </row>
    <row r="420" spans="14:14" x14ac:dyDescent="0.25">
      <c r="N420" s="19"/>
    </row>
    <row r="421" spans="14:14" x14ac:dyDescent="0.25">
      <c r="N421" s="19"/>
    </row>
    <row r="422" spans="14:14" x14ac:dyDescent="0.25">
      <c r="N422" s="19"/>
    </row>
    <row r="423" spans="14:14" x14ac:dyDescent="0.25">
      <c r="N423" s="19"/>
    </row>
    <row r="424" spans="14:14" x14ac:dyDescent="0.25">
      <c r="N424" s="19"/>
    </row>
    <row r="425" spans="14:14" x14ac:dyDescent="0.25">
      <c r="N425" s="19"/>
    </row>
    <row r="426" spans="14:14" x14ac:dyDescent="0.25">
      <c r="N426" s="19"/>
    </row>
    <row r="427" spans="14:14" x14ac:dyDescent="0.25">
      <c r="N427" s="19"/>
    </row>
    <row r="428" spans="14:14" x14ac:dyDescent="0.25">
      <c r="N428" s="19"/>
    </row>
    <row r="429" spans="14:14" x14ac:dyDescent="0.25">
      <c r="N429" s="19"/>
    </row>
    <row r="430" spans="14:14" x14ac:dyDescent="0.25">
      <c r="N430" s="19"/>
    </row>
    <row r="431" spans="14:14" x14ac:dyDescent="0.25">
      <c r="N431" s="19"/>
    </row>
    <row r="432" spans="14:14" x14ac:dyDescent="0.25">
      <c r="N432" s="19"/>
    </row>
    <row r="433" spans="14:14" x14ac:dyDescent="0.25">
      <c r="N433" s="19"/>
    </row>
    <row r="434" spans="14:14" x14ac:dyDescent="0.25">
      <c r="N434" s="19"/>
    </row>
    <row r="435" spans="14:14" x14ac:dyDescent="0.25">
      <c r="N435" s="19"/>
    </row>
    <row r="436" spans="14:14" x14ac:dyDescent="0.25">
      <c r="N436" s="19"/>
    </row>
    <row r="437" spans="14:14" x14ac:dyDescent="0.25">
      <c r="N437" s="19"/>
    </row>
    <row r="438" spans="14:14" x14ac:dyDescent="0.25">
      <c r="N438" s="19"/>
    </row>
    <row r="439" spans="14:14" x14ac:dyDescent="0.25">
      <c r="N439" s="19"/>
    </row>
    <row r="440" spans="14:14" x14ac:dyDescent="0.25">
      <c r="N440" s="19"/>
    </row>
    <row r="441" spans="14:14" x14ac:dyDescent="0.25">
      <c r="N441" s="19"/>
    </row>
    <row r="442" spans="14:14" x14ac:dyDescent="0.25">
      <c r="N442" s="19"/>
    </row>
    <row r="443" spans="14:14" x14ac:dyDescent="0.25">
      <c r="N443" s="19"/>
    </row>
    <row r="444" spans="14:14" x14ac:dyDescent="0.25">
      <c r="N444" s="19"/>
    </row>
    <row r="445" spans="14:14" x14ac:dyDescent="0.25">
      <c r="N445" s="19"/>
    </row>
    <row r="446" spans="14:14" x14ac:dyDescent="0.25">
      <c r="N446" s="19"/>
    </row>
    <row r="447" spans="14:14" x14ac:dyDescent="0.25">
      <c r="N447" s="19"/>
    </row>
    <row r="448" spans="14:14" x14ac:dyDescent="0.25">
      <c r="N448" s="19"/>
    </row>
    <row r="449" spans="14:14" x14ac:dyDescent="0.25">
      <c r="N449" s="19"/>
    </row>
    <row r="450" spans="14:14" x14ac:dyDescent="0.25">
      <c r="N450" s="19"/>
    </row>
    <row r="451" spans="14:14" x14ac:dyDescent="0.25">
      <c r="N451" s="19"/>
    </row>
    <row r="452" spans="14:14" x14ac:dyDescent="0.25">
      <c r="N452" s="19"/>
    </row>
    <row r="453" spans="14:14" x14ac:dyDescent="0.25">
      <c r="N453" s="19"/>
    </row>
    <row r="454" spans="14:14" x14ac:dyDescent="0.25">
      <c r="N454" s="19"/>
    </row>
    <row r="455" spans="14:14" x14ac:dyDescent="0.25">
      <c r="N455" s="19"/>
    </row>
    <row r="456" spans="14:14" x14ac:dyDescent="0.25">
      <c r="N456" s="19"/>
    </row>
    <row r="457" spans="14:14" x14ac:dyDescent="0.25">
      <c r="N457" s="19"/>
    </row>
    <row r="458" spans="14:14" x14ac:dyDescent="0.25">
      <c r="N458" s="19"/>
    </row>
    <row r="459" spans="14:14" x14ac:dyDescent="0.25">
      <c r="N459" s="19"/>
    </row>
    <row r="460" spans="14:14" x14ac:dyDescent="0.25">
      <c r="N460" s="19"/>
    </row>
    <row r="461" spans="14:14" x14ac:dyDescent="0.25">
      <c r="N461" s="19"/>
    </row>
    <row r="462" spans="14:14" x14ac:dyDescent="0.25">
      <c r="N462" s="19"/>
    </row>
    <row r="463" spans="14:14" x14ac:dyDescent="0.25">
      <c r="N463" s="19"/>
    </row>
    <row r="464" spans="14:14" x14ac:dyDescent="0.25">
      <c r="N464" s="19"/>
    </row>
    <row r="465" spans="14:14" x14ac:dyDescent="0.25">
      <c r="N465" s="19"/>
    </row>
    <row r="466" spans="14:14" x14ac:dyDescent="0.25">
      <c r="N466" s="19"/>
    </row>
    <row r="467" spans="14:14" x14ac:dyDescent="0.25">
      <c r="N467" s="19"/>
    </row>
    <row r="468" spans="14:14" x14ac:dyDescent="0.25">
      <c r="N468" s="19"/>
    </row>
    <row r="469" spans="14:14" x14ac:dyDescent="0.25">
      <c r="N469" s="19"/>
    </row>
    <row r="470" spans="14:14" x14ac:dyDescent="0.25">
      <c r="N470" s="19"/>
    </row>
    <row r="471" spans="14:14" x14ac:dyDescent="0.25">
      <c r="N471" s="19"/>
    </row>
    <row r="472" spans="14:14" x14ac:dyDescent="0.25">
      <c r="N472" s="19"/>
    </row>
    <row r="473" spans="14:14" x14ac:dyDescent="0.25">
      <c r="N473" s="19"/>
    </row>
    <row r="474" spans="14:14" x14ac:dyDescent="0.25">
      <c r="N474" s="19"/>
    </row>
    <row r="475" spans="14:14" x14ac:dyDescent="0.25">
      <c r="N475" s="19"/>
    </row>
    <row r="476" spans="14:14" x14ac:dyDescent="0.25">
      <c r="N476" s="19"/>
    </row>
    <row r="477" spans="14:14" x14ac:dyDescent="0.25">
      <c r="N477" s="19"/>
    </row>
    <row r="478" spans="14:14" x14ac:dyDescent="0.25">
      <c r="N478" s="19"/>
    </row>
    <row r="479" spans="14:14" x14ac:dyDescent="0.25">
      <c r="N479" s="19"/>
    </row>
    <row r="480" spans="14:14" x14ac:dyDescent="0.25">
      <c r="N480" s="19"/>
    </row>
    <row r="481" spans="14:14" x14ac:dyDescent="0.25">
      <c r="N481" s="19"/>
    </row>
    <row r="482" spans="14:14" x14ac:dyDescent="0.25">
      <c r="N482" s="19"/>
    </row>
    <row r="483" spans="14:14" x14ac:dyDescent="0.25">
      <c r="N483" s="19"/>
    </row>
    <row r="484" spans="14:14" x14ac:dyDescent="0.25">
      <c r="N484" s="19"/>
    </row>
    <row r="485" spans="14:14" x14ac:dyDescent="0.25">
      <c r="N485" s="19"/>
    </row>
    <row r="486" spans="14:14" x14ac:dyDescent="0.25">
      <c r="N486" s="19"/>
    </row>
    <row r="487" spans="14:14" x14ac:dyDescent="0.25">
      <c r="N487" s="19"/>
    </row>
    <row r="488" spans="14:14" x14ac:dyDescent="0.25">
      <c r="N488" s="19"/>
    </row>
    <row r="489" spans="14:14" x14ac:dyDescent="0.25">
      <c r="N489" s="19"/>
    </row>
    <row r="490" spans="14:14" x14ac:dyDescent="0.25">
      <c r="N490" s="19"/>
    </row>
    <row r="491" spans="14:14" x14ac:dyDescent="0.25">
      <c r="N491" s="19"/>
    </row>
    <row r="492" spans="14:14" x14ac:dyDescent="0.25">
      <c r="N492" s="19"/>
    </row>
    <row r="493" spans="14:14" x14ac:dyDescent="0.25">
      <c r="N493" s="19"/>
    </row>
    <row r="494" spans="14:14" x14ac:dyDescent="0.25">
      <c r="N494" s="19"/>
    </row>
    <row r="495" spans="14:14" x14ac:dyDescent="0.25">
      <c r="N495" s="19"/>
    </row>
    <row r="496" spans="14:14" x14ac:dyDescent="0.25">
      <c r="N496" s="19"/>
    </row>
    <row r="497" spans="14:14" x14ac:dyDescent="0.25">
      <c r="N497" s="19"/>
    </row>
    <row r="498" spans="14:14" x14ac:dyDescent="0.25">
      <c r="N498" s="19"/>
    </row>
    <row r="499" spans="14:14" x14ac:dyDescent="0.25">
      <c r="N499" s="19"/>
    </row>
    <row r="500" spans="14:14" x14ac:dyDescent="0.25">
      <c r="N500" s="19"/>
    </row>
    <row r="501" spans="14:14" x14ac:dyDescent="0.25">
      <c r="N501" s="19"/>
    </row>
    <row r="502" spans="14:14" x14ac:dyDescent="0.25">
      <c r="N502" s="19"/>
    </row>
    <row r="503" spans="14:14" x14ac:dyDescent="0.25">
      <c r="N503" s="19"/>
    </row>
    <row r="504" spans="14:14" x14ac:dyDescent="0.25">
      <c r="N504" s="19"/>
    </row>
    <row r="505" spans="14:14" x14ac:dyDescent="0.25">
      <c r="N505" s="19"/>
    </row>
    <row r="506" spans="14:14" x14ac:dyDescent="0.25">
      <c r="N506" s="19"/>
    </row>
    <row r="507" spans="14:14" x14ac:dyDescent="0.25">
      <c r="N507" s="19"/>
    </row>
    <row r="508" spans="14:14" x14ac:dyDescent="0.25">
      <c r="N508" s="19"/>
    </row>
    <row r="509" spans="14:14" x14ac:dyDescent="0.25">
      <c r="N509" s="19"/>
    </row>
    <row r="510" spans="14:14" x14ac:dyDescent="0.25">
      <c r="N510" s="19"/>
    </row>
    <row r="511" spans="14:14" x14ac:dyDescent="0.25">
      <c r="N511" s="19"/>
    </row>
    <row r="512" spans="14:14" x14ac:dyDescent="0.25">
      <c r="N512" s="19"/>
    </row>
    <row r="513" spans="14:14" x14ac:dyDescent="0.25">
      <c r="N513" s="19"/>
    </row>
    <row r="514" spans="14:14" x14ac:dyDescent="0.25">
      <c r="N514" s="19"/>
    </row>
    <row r="515" spans="14:14" x14ac:dyDescent="0.25">
      <c r="N515" s="19"/>
    </row>
    <row r="516" spans="14:14" x14ac:dyDescent="0.25">
      <c r="N516" s="19"/>
    </row>
    <row r="517" spans="14:14" x14ac:dyDescent="0.25">
      <c r="N517" s="19"/>
    </row>
    <row r="518" spans="14:14" x14ac:dyDescent="0.25">
      <c r="N518" s="19"/>
    </row>
    <row r="519" spans="14:14" x14ac:dyDescent="0.25">
      <c r="N519" s="19"/>
    </row>
    <row r="520" spans="14:14" x14ac:dyDescent="0.25">
      <c r="N520" s="19"/>
    </row>
    <row r="521" spans="14:14" x14ac:dyDescent="0.25">
      <c r="N521" s="19"/>
    </row>
    <row r="522" spans="14:14" x14ac:dyDescent="0.25">
      <c r="N522" s="19"/>
    </row>
    <row r="523" spans="14:14" x14ac:dyDescent="0.25">
      <c r="N523" s="19"/>
    </row>
    <row r="524" spans="14:14" x14ac:dyDescent="0.25">
      <c r="N524" s="19"/>
    </row>
    <row r="525" spans="14:14" x14ac:dyDescent="0.25">
      <c r="N525" s="19"/>
    </row>
    <row r="526" spans="14:14" x14ac:dyDescent="0.25">
      <c r="N526" s="19"/>
    </row>
    <row r="527" spans="14:14" x14ac:dyDescent="0.25">
      <c r="N527" s="19"/>
    </row>
    <row r="528" spans="14:14" x14ac:dyDescent="0.25">
      <c r="N528" s="19"/>
    </row>
    <row r="529" spans="14:14" x14ac:dyDescent="0.25">
      <c r="N529" s="19"/>
    </row>
    <row r="530" spans="14:14" x14ac:dyDescent="0.25">
      <c r="N530" s="19"/>
    </row>
    <row r="531" spans="14:14" x14ac:dyDescent="0.25">
      <c r="N531" s="19"/>
    </row>
    <row r="532" spans="14:14" x14ac:dyDescent="0.25">
      <c r="N532" s="19"/>
    </row>
    <row r="533" spans="14:14" x14ac:dyDescent="0.25">
      <c r="N533" s="19"/>
    </row>
    <row r="534" spans="14:14" x14ac:dyDescent="0.25">
      <c r="N534" s="19"/>
    </row>
    <row r="535" spans="14:14" x14ac:dyDescent="0.25">
      <c r="N535" s="19"/>
    </row>
    <row r="536" spans="14:14" x14ac:dyDescent="0.25">
      <c r="N536" s="19"/>
    </row>
    <row r="537" spans="14:14" x14ac:dyDescent="0.25">
      <c r="N537" s="19"/>
    </row>
    <row r="538" spans="14:14" x14ac:dyDescent="0.25">
      <c r="N538" s="19"/>
    </row>
    <row r="539" spans="14:14" x14ac:dyDescent="0.25">
      <c r="N539" s="19"/>
    </row>
    <row r="540" spans="14:14" x14ac:dyDescent="0.25">
      <c r="N540" s="19"/>
    </row>
    <row r="541" spans="14:14" x14ac:dyDescent="0.25">
      <c r="N541" s="19"/>
    </row>
    <row r="542" spans="14:14" x14ac:dyDescent="0.25">
      <c r="N542" s="19"/>
    </row>
    <row r="543" spans="14:14" x14ac:dyDescent="0.25">
      <c r="N543" s="19"/>
    </row>
    <row r="544" spans="14:14" x14ac:dyDescent="0.25">
      <c r="N544" s="19"/>
    </row>
    <row r="545" spans="14:14" x14ac:dyDescent="0.25">
      <c r="N545" s="19"/>
    </row>
    <row r="546" spans="14:14" x14ac:dyDescent="0.25">
      <c r="N546" s="19"/>
    </row>
    <row r="547" spans="14:14" x14ac:dyDescent="0.25">
      <c r="N547" s="19"/>
    </row>
    <row r="548" spans="14:14" x14ac:dyDescent="0.25">
      <c r="N548" s="19"/>
    </row>
    <row r="549" spans="14:14" x14ac:dyDescent="0.25">
      <c r="N549" s="19"/>
    </row>
    <row r="550" spans="14:14" x14ac:dyDescent="0.25">
      <c r="N550" s="19"/>
    </row>
    <row r="551" spans="14:14" x14ac:dyDescent="0.25">
      <c r="N551" s="19"/>
    </row>
    <row r="552" spans="14:14" x14ac:dyDescent="0.25">
      <c r="N552" s="19"/>
    </row>
    <row r="553" spans="14:14" x14ac:dyDescent="0.25">
      <c r="N553" s="19"/>
    </row>
    <row r="554" spans="14:14" x14ac:dyDescent="0.25">
      <c r="N554" s="19"/>
    </row>
    <row r="555" spans="14:14" x14ac:dyDescent="0.25">
      <c r="N555" s="19"/>
    </row>
    <row r="556" spans="14:14" x14ac:dyDescent="0.25">
      <c r="N556" s="19"/>
    </row>
    <row r="557" spans="14:14" x14ac:dyDescent="0.25">
      <c r="N557" s="19"/>
    </row>
    <row r="558" spans="14:14" x14ac:dyDescent="0.25">
      <c r="N558" s="19"/>
    </row>
    <row r="559" spans="14:14" x14ac:dyDescent="0.25">
      <c r="N559" s="19"/>
    </row>
    <row r="560" spans="14:14" x14ac:dyDescent="0.25">
      <c r="N560" s="19"/>
    </row>
    <row r="561" spans="14:14" x14ac:dyDescent="0.25">
      <c r="N561" s="19"/>
    </row>
    <row r="562" spans="14:14" x14ac:dyDescent="0.25">
      <c r="N562" s="19"/>
    </row>
    <row r="563" spans="14:14" x14ac:dyDescent="0.25">
      <c r="N563" s="19"/>
    </row>
    <row r="564" spans="14:14" x14ac:dyDescent="0.25">
      <c r="N564" s="19"/>
    </row>
    <row r="565" spans="14:14" x14ac:dyDescent="0.25">
      <c r="N565" s="19"/>
    </row>
    <row r="566" spans="14:14" x14ac:dyDescent="0.25">
      <c r="N566" s="19"/>
    </row>
    <row r="567" spans="14:14" x14ac:dyDescent="0.25">
      <c r="N567" s="19"/>
    </row>
    <row r="568" spans="14:14" x14ac:dyDescent="0.25">
      <c r="N568" s="19"/>
    </row>
    <row r="569" spans="14:14" x14ac:dyDescent="0.25">
      <c r="N569" s="19"/>
    </row>
    <row r="570" spans="14:14" x14ac:dyDescent="0.25">
      <c r="N570" s="19"/>
    </row>
    <row r="571" spans="14:14" x14ac:dyDescent="0.25">
      <c r="N571" s="19"/>
    </row>
    <row r="572" spans="14:14" x14ac:dyDescent="0.25">
      <c r="N572" s="19"/>
    </row>
    <row r="573" spans="14:14" x14ac:dyDescent="0.25">
      <c r="N573" s="19"/>
    </row>
    <row r="574" spans="14:14" x14ac:dyDescent="0.25">
      <c r="N574" s="19"/>
    </row>
    <row r="575" spans="14:14" x14ac:dyDescent="0.25">
      <c r="N575" s="19"/>
    </row>
    <row r="576" spans="14:14" x14ac:dyDescent="0.25">
      <c r="N576" s="19"/>
    </row>
    <row r="577" spans="14:14" x14ac:dyDescent="0.25">
      <c r="N577" s="19"/>
    </row>
    <row r="578" spans="14:14" x14ac:dyDescent="0.25">
      <c r="N578" s="19"/>
    </row>
    <row r="579" spans="14:14" x14ac:dyDescent="0.25">
      <c r="N579" s="19"/>
    </row>
    <row r="580" spans="14:14" x14ac:dyDescent="0.25">
      <c r="N580" s="19"/>
    </row>
    <row r="581" spans="14:14" x14ac:dyDescent="0.25">
      <c r="N581" s="19"/>
    </row>
    <row r="582" spans="14:14" x14ac:dyDescent="0.25">
      <c r="N582" s="19"/>
    </row>
    <row r="583" spans="14:14" x14ac:dyDescent="0.25">
      <c r="N583" s="19"/>
    </row>
    <row r="584" spans="14:14" x14ac:dyDescent="0.25">
      <c r="N584" s="19"/>
    </row>
    <row r="585" spans="14:14" x14ac:dyDescent="0.25">
      <c r="N585" s="19"/>
    </row>
    <row r="586" spans="14:14" x14ac:dyDescent="0.25">
      <c r="N586" s="19"/>
    </row>
    <row r="587" spans="14:14" x14ac:dyDescent="0.25">
      <c r="N587" s="19"/>
    </row>
    <row r="588" spans="14:14" x14ac:dyDescent="0.25">
      <c r="N588" s="19"/>
    </row>
    <row r="589" spans="14:14" x14ac:dyDescent="0.25">
      <c r="N589" s="19"/>
    </row>
    <row r="590" spans="14:14" x14ac:dyDescent="0.25">
      <c r="N590" s="19"/>
    </row>
    <row r="591" spans="14:14" x14ac:dyDescent="0.25">
      <c r="N591" s="19"/>
    </row>
    <row r="592" spans="14:14" x14ac:dyDescent="0.25">
      <c r="N592" s="19"/>
    </row>
    <row r="593" spans="14:14" x14ac:dyDescent="0.25">
      <c r="N593" s="19"/>
    </row>
    <row r="594" spans="14:14" x14ac:dyDescent="0.25">
      <c r="N594" s="19"/>
    </row>
    <row r="595" spans="14:14" x14ac:dyDescent="0.25">
      <c r="N595" s="19"/>
    </row>
    <row r="596" spans="14:14" x14ac:dyDescent="0.25">
      <c r="N596" s="19"/>
    </row>
    <row r="597" spans="14:14" x14ac:dyDescent="0.25">
      <c r="N597" s="19"/>
    </row>
    <row r="598" spans="14:14" x14ac:dyDescent="0.25">
      <c r="N598" s="19"/>
    </row>
    <row r="599" spans="14:14" x14ac:dyDescent="0.25">
      <c r="N599" s="19"/>
    </row>
    <row r="600" spans="14:14" x14ac:dyDescent="0.25">
      <c r="N600" s="19"/>
    </row>
    <row r="601" spans="14:14" x14ac:dyDescent="0.25">
      <c r="N601" s="19"/>
    </row>
    <row r="602" spans="14:14" x14ac:dyDescent="0.25">
      <c r="N602" s="19"/>
    </row>
    <row r="603" spans="14:14" x14ac:dyDescent="0.25">
      <c r="N603" s="19"/>
    </row>
    <row r="604" spans="14:14" x14ac:dyDescent="0.25">
      <c r="N604" s="19"/>
    </row>
    <row r="605" spans="14:14" x14ac:dyDescent="0.25">
      <c r="N605" s="19"/>
    </row>
    <row r="606" spans="14:14" x14ac:dyDescent="0.25">
      <c r="N606" s="19"/>
    </row>
    <row r="607" spans="14:14" x14ac:dyDescent="0.25">
      <c r="N607" s="19"/>
    </row>
    <row r="608" spans="14:14" x14ac:dyDescent="0.25">
      <c r="N608" s="19"/>
    </row>
    <row r="609" spans="14:14" x14ac:dyDescent="0.25">
      <c r="N609" s="19"/>
    </row>
    <row r="610" spans="14:14" x14ac:dyDescent="0.25">
      <c r="N610" s="19"/>
    </row>
    <row r="611" spans="14:14" x14ac:dyDescent="0.25">
      <c r="N611" s="19"/>
    </row>
    <row r="612" spans="14:14" x14ac:dyDescent="0.25">
      <c r="N612" s="19"/>
    </row>
    <row r="613" spans="14:14" x14ac:dyDescent="0.25">
      <c r="N613" s="19"/>
    </row>
    <row r="614" spans="14:14" x14ac:dyDescent="0.25">
      <c r="N614" s="19"/>
    </row>
    <row r="615" spans="14:14" x14ac:dyDescent="0.25">
      <c r="N615" s="19"/>
    </row>
    <row r="616" spans="14:14" x14ac:dyDescent="0.25">
      <c r="N616" s="19"/>
    </row>
    <row r="617" spans="14:14" x14ac:dyDescent="0.25">
      <c r="N617" s="19"/>
    </row>
    <row r="618" spans="14:14" x14ac:dyDescent="0.25">
      <c r="N618" s="19"/>
    </row>
    <row r="619" spans="14:14" x14ac:dyDescent="0.25">
      <c r="N619" s="19"/>
    </row>
    <row r="620" spans="14:14" x14ac:dyDescent="0.25">
      <c r="N620" s="19"/>
    </row>
    <row r="621" spans="14:14" x14ac:dyDescent="0.25">
      <c r="N621" s="19"/>
    </row>
    <row r="622" spans="14:14" x14ac:dyDescent="0.25">
      <c r="N622" s="19"/>
    </row>
    <row r="623" spans="14:14" x14ac:dyDescent="0.25">
      <c r="N623" s="19"/>
    </row>
    <row r="624" spans="14:14" x14ac:dyDescent="0.25">
      <c r="N624" s="19"/>
    </row>
    <row r="625" spans="14:14" x14ac:dyDescent="0.25">
      <c r="N625" s="19"/>
    </row>
    <row r="626" spans="14:14" x14ac:dyDescent="0.25">
      <c r="N626" s="19"/>
    </row>
    <row r="627" spans="14:14" x14ac:dyDescent="0.25">
      <c r="N627" s="19"/>
    </row>
    <row r="628" spans="14:14" x14ac:dyDescent="0.25">
      <c r="N628" s="19"/>
    </row>
    <row r="629" spans="14:14" x14ac:dyDescent="0.25">
      <c r="N629" s="19"/>
    </row>
    <row r="630" spans="14:14" x14ac:dyDescent="0.25">
      <c r="N630" s="19"/>
    </row>
    <row r="631" spans="14:14" x14ac:dyDescent="0.25">
      <c r="N631" s="19"/>
    </row>
    <row r="632" spans="14:14" x14ac:dyDescent="0.25">
      <c r="N632" s="19"/>
    </row>
    <row r="633" spans="14:14" x14ac:dyDescent="0.25">
      <c r="N633" s="19"/>
    </row>
    <row r="634" spans="14:14" x14ac:dyDescent="0.25">
      <c r="N634" s="19"/>
    </row>
    <row r="635" spans="14:14" x14ac:dyDescent="0.25">
      <c r="N635" s="19"/>
    </row>
    <row r="636" spans="14:14" x14ac:dyDescent="0.25">
      <c r="N636" s="19"/>
    </row>
    <row r="637" spans="14:14" x14ac:dyDescent="0.25">
      <c r="N637" s="19"/>
    </row>
    <row r="638" spans="14:14" x14ac:dyDescent="0.25">
      <c r="N638" s="19"/>
    </row>
    <row r="639" spans="14:14" x14ac:dyDescent="0.25">
      <c r="N639" s="19"/>
    </row>
    <row r="640" spans="14:14" x14ac:dyDescent="0.25">
      <c r="N640" s="19"/>
    </row>
    <row r="641" spans="14:14" x14ac:dyDescent="0.25">
      <c r="N641" s="19"/>
    </row>
    <row r="642" spans="14:14" x14ac:dyDescent="0.25">
      <c r="N642" s="19"/>
    </row>
    <row r="643" spans="14:14" x14ac:dyDescent="0.25">
      <c r="N643" s="19"/>
    </row>
    <row r="644" spans="14:14" x14ac:dyDescent="0.25">
      <c r="N644" s="19"/>
    </row>
    <row r="645" spans="14:14" x14ac:dyDescent="0.25">
      <c r="N645" s="19"/>
    </row>
    <row r="646" spans="14:14" x14ac:dyDescent="0.25">
      <c r="N646" s="19"/>
    </row>
    <row r="647" spans="14:14" x14ac:dyDescent="0.25">
      <c r="N647" s="19"/>
    </row>
    <row r="648" spans="14:14" x14ac:dyDescent="0.25">
      <c r="N648" s="19"/>
    </row>
    <row r="649" spans="14:14" x14ac:dyDescent="0.25">
      <c r="N649" s="19"/>
    </row>
    <row r="650" spans="14:14" x14ac:dyDescent="0.25">
      <c r="N650" s="19"/>
    </row>
    <row r="651" spans="14:14" x14ac:dyDescent="0.25">
      <c r="N651" s="19"/>
    </row>
    <row r="652" spans="14:14" x14ac:dyDescent="0.25">
      <c r="N652" s="19"/>
    </row>
    <row r="653" spans="14:14" x14ac:dyDescent="0.25">
      <c r="N653" s="19"/>
    </row>
    <row r="654" spans="14:14" x14ac:dyDescent="0.25">
      <c r="N654" s="19"/>
    </row>
    <row r="655" spans="14:14" x14ac:dyDescent="0.25">
      <c r="N655" s="19"/>
    </row>
    <row r="656" spans="14:14" x14ac:dyDescent="0.25">
      <c r="N656" s="19"/>
    </row>
    <row r="657" spans="14:14" x14ac:dyDescent="0.25">
      <c r="N657" s="19"/>
    </row>
    <row r="658" spans="14:14" x14ac:dyDescent="0.25">
      <c r="N658" s="19"/>
    </row>
    <row r="659" spans="14:14" x14ac:dyDescent="0.25">
      <c r="N659" s="19"/>
    </row>
    <row r="660" spans="14:14" x14ac:dyDescent="0.25">
      <c r="N660" s="19"/>
    </row>
    <row r="661" spans="14:14" x14ac:dyDescent="0.25">
      <c r="N661" s="19"/>
    </row>
    <row r="662" spans="14:14" x14ac:dyDescent="0.25">
      <c r="N662" s="19"/>
    </row>
    <row r="663" spans="14:14" x14ac:dyDescent="0.25">
      <c r="N663" s="19"/>
    </row>
    <row r="664" spans="14:14" x14ac:dyDescent="0.25">
      <c r="N664" s="19"/>
    </row>
    <row r="665" spans="14:14" x14ac:dyDescent="0.25">
      <c r="N665" s="19"/>
    </row>
    <row r="666" spans="14:14" x14ac:dyDescent="0.25">
      <c r="N666" s="19"/>
    </row>
    <row r="667" spans="14:14" x14ac:dyDescent="0.25">
      <c r="N667" s="19"/>
    </row>
    <row r="668" spans="14:14" x14ac:dyDescent="0.25">
      <c r="N668" s="19"/>
    </row>
    <row r="669" spans="14:14" x14ac:dyDescent="0.25">
      <c r="N669" s="19"/>
    </row>
    <row r="670" spans="14:14" x14ac:dyDescent="0.25">
      <c r="N670" s="19"/>
    </row>
    <row r="671" spans="14:14" x14ac:dyDescent="0.25">
      <c r="N671" s="19"/>
    </row>
    <row r="672" spans="14:14" x14ac:dyDescent="0.25">
      <c r="N672" s="19"/>
    </row>
    <row r="673" spans="14:14" x14ac:dyDescent="0.25">
      <c r="N673" s="19"/>
    </row>
    <row r="674" spans="14:14" x14ac:dyDescent="0.25">
      <c r="N674" s="19"/>
    </row>
    <row r="675" spans="14:14" x14ac:dyDescent="0.25">
      <c r="N675" s="19"/>
    </row>
    <row r="676" spans="14:14" x14ac:dyDescent="0.25">
      <c r="N676" s="19"/>
    </row>
    <row r="677" spans="14:14" x14ac:dyDescent="0.25">
      <c r="N677" s="19"/>
    </row>
    <row r="678" spans="14:14" x14ac:dyDescent="0.25">
      <c r="N678" s="19"/>
    </row>
    <row r="679" spans="14:14" x14ac:dyDescent="0.25">
      <c r="N679" s="19"/>
    </row>
    <row r="680" spans="14:14" x14ac:dyDescent="0.25">
      <c r="N680" s="19"/>
    </row>
    <row r="681" spans="14:14" x14ac:dyDescent="0.25">
      <c r="N681" s="19"/>
    </row>
    <row r="682" spans="14:14" x14ac:dyDescent="0.25">
      <c r="N682" s="19"/>
    </row>
    <row r="683" spans="14:14" x14ac:dyDescent="0.25">
      <c r="N683" s="19"/>
    </row>
    <row r="684" spans="14:14" x14ac:dyDescent="0.25">
      <c r="N684" s="19"/>
    </row>
    <row r="685" spans="14:14" x14ac:dyDescent="0.25">
      <c r="N685" s="19"/>
    </row>
    <row r="686" spans="14:14" x14ac:dyDescent="0.25">
      <c r="N686" s="19"/>
    </row>
    <row r="687" spans="14:14" x14ac:dyDescent="0.25">
      <c r="N687" s="19"/>
    </row>
    <row r="688" spans="14:14" x14ac:dyDescent="0.25">
      <c r="N688" s="19"/>
    </row>
    <row r="689" spans="14:14" x14ac:dyDescent="0.25">
      <c r="N689" s="19"/>
    </row>
    <row r="690" spans="14:14" x14ac:dyDescent="0.25">
      <c r="N690" s="19"/>
    </row>
    <row r="691" spans="14:14" x14ac:dyDescent="0.25">
      <c r="N691" s="19"/>
    </row>
    <row r="692" spans="14:14" x14ac:dyDescent="0.25">
      <c r="N692" s="19"/>
    </row>
    <row r="693" spans="14:14" x14ac:dyDescent="0.25">
      <c r="N693" s="19"/>
    </row>
    <row r="694" spans="14:14" x14ac:dyDescent="0.25">
      <c r="N694" s="19"/>
    </row>
    <row r="695" spans="14:14" x14ac:dyDescent="0.25">
      <c r="N695" s="19"/>
    </row>
    <row r="696" spans="14:14" x14ac:dyDescent="0.25">
      <c r="N696" s="19"/>
    </row>
    <row r="697" spans="14:14" x14ac:dyDescent="0.25">
      <c r="N697" s="19"/>
    </row>
    <row r="698" spans="14:14" x14ac:dyDescent="0.25">
      <c r="N698" s="19"/>
    </row>
    <row r="699" spans="14:14" x14ac:dyDescent="0.25">
      <c r="N699" s="19"/>
    </row>
    <row r="700" spans="14:14" x14ac:dyDescent="0.25">
      <c r="N700" s="19"/>
    </row>
    <row r="701" spans="14:14" x14ac:dyDescent="0.25">
      <c r="N701" s="19"/>
    </row>
    <row r="702" spans="14:14" x14ac:dyDescent="0.25">
      <c r="N702" s="19"/>
    </row>
    <row r="703" spans="14:14" x14ac:dyDescent="0.25">
      <c r="N703" s="19"/>
    </row>
    <row r="704" spans="14:14" x14ac:dyDescent="0.25">
      <c r="N704" s="19"/>
    </row>
    <row r="705" spans="14:14" x14ac:dyDescent="0.25">
      <c r="N705" s="19"/>
    </row>
    <row r="706" spans="14:14" x14ac:dyDescent="0.25">
      <c r="N706" s="19"/>
    </row>
    <row r="707" spans="14:14" x14ac:dyDescent="0.25">
      <c r="N707" s="19"/>
    </row>
    <row r="708" spans="14:14" x14ac:dyDescent="0.25">
      <c r="N708" s="19"/>
    </row>
    <row r="709" spans="14:14" x14ac:dyDescent="0.25">
      <c r="N709" s="19"/>
    </row>
    <row r="710" spans="14:14" x14ac:dyDescent="0.25">
      <c r="N710" s="19"/>
    </row>
    <row r="711" spans="14:14" x14ac:dyDescent="0.25">
      <c r="N711" s="19"/>
    </row>
    <row r="712" spans="14:14" x14ac:dyDescent="0.25">
      <c r="N712" s="19"/>
    </row>
    <row r="713" spans="14:14" x14ac:dyDescent="0.25">
      <c r="N713" s="19"/>
    </row>
    <row r="714" spans="14:14" x14ac:dyDescent="0.25">
      <c r="N714" s="19"/>
    </row>
    <row r="715" spans="14:14" x14ac:dyDescent="0.25">
      <c r="N715" s="19"/>
    </row>
    <row r="716" spans="14:14" x14ac:dyDescent="0.25">
      <c r="N716" s="19"/>
    </row>
    <row r="717" spans="14:14" x14ac:dyDescent="0.25">
      <c r="N717" s="19"/>
    </row>
    <row r="718" spans="14:14" x14ac:dyDescent="0.25">
      <c r="N718" s="19"/>
    </row>
    <row r="719" spans="14:14" x14ac:dyDescent="0.25">
      <c r="N719" s="19"/>
    </row>
    <row r="720" spans="14:14" x14ac:dyDescent="0.25">
      <c r="N720" s="19"/>
    </row>
    <row r="721" spans="14:14" x14ac:dyDescent="0.25">
      <c r="N721" s="19"/>
    </row>
    <row r="722" spans="14:14" x14ac:dyDescent="0.25">
      <c r="N722" s="19"/>
    </row>
    <row r="723" spans="14:14" x14ac:dyDescent="0.25">
      <c r="N723" s="19"/>
    </row>
    <row r="724" spans="14:14" x14ac:dyDescent="0.25">
      <c r="N724" s="19"/>
    </row>
    <row r="725" spans="14:14" x14ac:dyDescent="0.25">
      <c r="N725" s="19"/>
    </row>
    <row r="726" spans="14:14" x14ac:dyDescent="0.25">
      <c r="N726" s="19"/>
    </row>
    <row r="727" spans="14:14" x14ac:dyDescent="0.25">
      <c r="N727" s="19"/>
    </row>
    <row r="728" spans="14:14" x14ac:dyDescent="0.25">
      <c r="N728" s="19"/>
    </row>
    <row r="729" spans="14:14" x14ac:dyDescent="0.25">
      <c r="N729" s="19"/>
    </row>
    <row r="730" spans="14:14" x14ac:dyDescent="0.25">
      <c r="N730" s="19"/>
    </row>
    <row r="731" spans="14:14" x14ac:dyDescent="0.25">
      <c r="N731" s="19"/>
    </row>
    <row r="732" spans="14:14" x14ac:dyDescent="0.25">
      <c r="N732" s="19"/>
    </row>
    <row r="733" spans="14:14" x14ac:dyDescent="0.25">
      <c r="N733" s="19"/>
    </row>
  </sheetData>
  <mergeCells count="1">
    <mergeCell ref="F1:H1"/>
  </mergeCells>
  <pageMargins left="0.75" right="0.75" top="1" bottom="1" header="0.5" footer="0.5"/>
  <pageSetup orientation="portrait" horizontalDpi="4294967292" verticalDpi="4294967292"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32</vt:i4>
      </vt:variant>
    </vt:vector>
  </HeadingPairs>
  <TitlesOfParts>
    <vt:vector size="58" baseType="lpstr">
      <vt:lpstr>Assumptions &amp; Notes</vt:lpstr>
      <vt:lpstr>All Depts</vt:lpstr>
      <vt:lpstr>Stats</vt:lpstr>
      <vt:lpstr>Template</vt:lpstr>
      <vt:lpstr>Legis</vt:lpstr>
      <vt:lpstr>Exec-Legal</vt:lpstr>
      <vt:lpstr>City Manager only</vt:lpstr>
      <vt:lpstr>City Attorney only</vt:lpstr>
      <vt:lpstr>Municipal Court only</vt:lpstr>
      <vt:lpstr>City Clerk</vt:lpstr>
      <vt:lpstr>Cult. Svc.</vt:lpstr>
      <vt:lpstr>Dev. Svc.</vt:lpstr>
      <vt:lpstr>Econ Dev</vt:lpstr>
      <vt:lpstr>Finance</vt:lpstr>
      <vt:lpstr>Human Res</vt:lpstr>
      <vt:lpstr>IT</vt:lpstr>
      <vt:lpstr>Library</vt:lpstr>
      <vt:lpstr>Parks &amp; Rec</vt:lpstr>
      <vt:lpstr>Police</vt:lpstr>
      <vt:lpstr>Public Works</vt:lpstr>
      <vt:lpstr>Water &amp; Power</vt:lpstr>
      <vt:lpstr>LFRA</vt:lpstr>
      <vt:lpstr>Airport</vt:lpstr>
      <vt:lpstr>Non Dept </vt:lpstr>
      <vt:lpstr>Non-Departmental Breakdown</vt:lpstr>
      <vt:lpstr>Other Spec Revenue</vt:lpstr>
      <vt:lpstr>City_Atty_Graphs</vt:lpstr>
      <vt:lpstr>City_Manager_Graphs</vt:lpstr>
      <vt:lpstr>cityclerkgraphs</vt:lpstr>
      <vt:lpstr>Cultual_serv_graphs</vt:lpstr>
      <vt:lpstr>Devel_Serv_graphs</vt:lpstr>
      <vt:lpstr>Econ_Develop_graphs</vt:lpstr>
      <vt:lpstr>Exec_Legal_Graphs</vt:lpstr>
      <vt:lpstr>Finance_graphs</vt:lpstr>
      <vt:lpstr>Fire_Graphs</vt:lpstr>
      <vt:lpstr>HR_graphs</vt:lpstr>
      <vt:lpstr>IT_graphs</vt:lpstr>
      <vt:lpstr>Legislative_Graphs</vt:lpstr>
      <vt:lpstr>LFRA_graphs</vt:lpstr>
      <vt:lpstr>Library_graphs</vt:lpstr>
      <vt:lpstr>Municipal_Court_Graphs</vt:lpstr>
      <vt:lpstr>ParksRec_Graphs</vt:lpstr>
      <vt:lpstr>Police_graphs</vt:lpstr>
      <vt:lpstr>'All Depts'!Print_Area</vt:lpstr>
      <vt:lpstr>'Cult. Svc.'!Print_Area</vt:lpstr>
      <vt:lpstr>'Dev. Svc.'!Print_Area</vt:lpstr>
      <vt:lpstr>Finance!Print_Area</vt:lpstr>
      <vt:lpstr>Police!Print_Area</vt:lpstr>
      <vt:lpstr>'Public Works'!Print_Area</vt:lpstr>
      <vt:lpstr>'All Depts'!Print_Titles</vt:lpstr>
      <vt:lpstr>'Cult. Svc.'!Print_Titles</vt:lpstr>
      <vt:lpstr>'Dev. Svc.'!Print_Titles</vt:lpstr>
      <vt:lpstr>Finance!Print_Titles</vt:lpstr>
      <vt:lpstr>Police!Print_Titles</vt:lpstr>
      <vt:lpstr>'Public Works'!Print_Titles</vt:lpstr>
      <vt:lpstr>PublicWorks_graphs</vt:lpstr>
      <vt:lpstr>Total_City_Graphs</vt:lpstr>
      <vt:lpstr>Water_and_Power_Graphs</vt:lpstr>
    </vt:vector>
  </TitlesOfParts>
  <Company>Financial Management Resources,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Olson</dc:creator>
  <cp:lastModifiedBy>Joyce Robinson</cp:lastModifiedBy>
  <cp:lastPrinted>2018-09-25T23:31:50Z</cp:lastPrinted>
  <dcterms:created xsi:type="dcterms:W3CDTF">2017-04-14T04:09:54Z</dcterms:created>
  <dcterms:modified xsi:type="dcterms:W3CDTF">2018-09-28T15:56:05Z</dcterms:modified>
</cp:coreProperties>
</file>