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xml" ContentType="application/vnd.openxmlformats-officedocument.drawingml.chartshap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ml.chartshapes+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omments6.xml" ContentType="application/vnd.openxmlformats-officedocument.spreadsheetml.comments+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comments7.xml" ContentType="application/vnd.openxmlformats-officedocument.spreadsheetml.comments+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charts/chart25.xml" ContentType="application/vnd.openxmlformats-officedocument.drawingml.chart+xml"/>
  <Override PartName="/xl/charts/style20.xml" ContentType="application/vnd.ms-office.chartstyle+xml"/>
  <Override PartName="/xl/charts/colors20.xml" ContentType="application/vnd.ms-office.chartcolorstyle+xml"/>
  <Override PartName="/xl/charts/chart26.xml" ContentType="application/vnd.openxmlformats-officedocument.drawingml.chart+xml"/>
  <Override PartName="/xl/charts/style21.xml" ContentType="application/vnd.ms-office.chartstyle+xml"/>
  <Override PartName="/xl/charts/colors21.xml" ContentType="application/vnd.ms-office.chartcolorstyle+xml"/>
  <Override PartName="/xl/charts/chart27.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9.xml" ContentType="application/vnd.openxmlformats-officedocument.drawing+xml"/>
  <Override PartName="/xl/comments8.xml" ContentType="application/vnd.openxmlformats-officedocument.spreadsheetml.comments+xml"/>
  <Override PartName="/xl/charts/chart28.xml" ContentType="application/vnd.openxmlformats-officedocument.drawingml.chart+xml"/>
  <Override PartName="/xl/charts/style23.xml" ContentType="application/vnd.ms-office.chartstyle+xml"/>
  <Override PartName="/xl/charts/colors23.xml" ContentType="application/vnd.ms-office.chartcolorstyle+xml"/>
  <Override PartName="/xl/charts/chart29.xml" ContentType="application/vnd.openxmlformats-officedocument.drawingml.chart+xml"/>
  <Override PartName="/xl/charts/style24.xml" ContentType="application/vnd.ms-office.chartstyle+xml"/>
  <Override PartName="/xl/charts/colors24.xml" ContentType="application/vnd.ms-office.chartcolorstyle+xml"/>
  <Override PartName="/xl/charts/chart30.xml" ContentType="application/vnd.openxmlformats-officedocument.drawingml.chart+xml"/>
  <Override PartName="/xl/charts/style25.xml" ContentType="application/vnd.ms-office.chartstyle+xml"/>
  <Override PartName="/xl/charts/colors25.xml" ContentType="application/vnd.ms-office.chartcolorstyle+xml"/>
  <Override PartName="/xl/charts/chart31.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0.xml" ContentType="application/vnd.openxmlformats-officedocument.drawing+xml"/>
  <Override PartName="/xl/comments9.xml" ContentType="application/vnd.openxmlformats-officedocument.spreadsheetml.comments+xml"/>
  <Override PartName="/xl/charts/chart32.xml" ContentType="application/vnd.openxmlformats-officedocument.drawingml.chart+xml"/>
  <Override PartName="/xl/charts/style27.xml" ContentType="application/vnd.ms-office.chartstyle+xml"/>
  <Override PartName="/xl/charts/colors27.xml" ContentType="application/vnd.ms-office.chartcolorstyle+xml"/>
  <Override PartName="/xl/charts/chart33.xml" ContentType="application/vnd.openxmlformats-officedocument.drawingml.chart+xml"/>
  <Override PartName="/xl/charts/style28.xml" ContentType="application/vnd.ms-office.chartstyle+xml"/>
  <Override PartName="/xl/charts/colors28.xml" ContentType="application/vnd.ms-office.chartcolorstyle+xml"/>
  <Override PartName="/xl/charts/chart34.xml" ContentType="application/vnd.openxmlformats-officedocument.drawingml.chart+xml"/>
  <Override PartName="/xl/charts/style29.xml" ContentType="application/vnd.ms-office.chartstyle+xml"/>
  <Override PartName="/xl/charts/colors29.xml" ContentType="application/vnd.ms-office.chartcolorstyle+xml"/>
  <Override PartName="/xl/charts/chart35.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1.xml" ContentType="application/vnd.openxmlformats-officedocument.drawing+xml"/>
  <Override PartName="/xl/comments10.xml" ContentType="application/vnd.openxmlformats-officedocument.spreadsheetml.comments+xml"/>
  <Override PartName="/xl/charts/chart36.xml" ContentType="application/vnd.openxmlformats-officedocument.drawingml.chart+xml"/>
  <Override PartName="/xl/charts/style31.xml" ContentType="application/vnd.ms-office.chartstyle+xml"/>
  <Override PartName="/xl/charts/colors31.xml" ContentType="application/vnd.ms-office.chartcolorstyle+xml"/>
  <Override PartName="/xl/charts/chart37.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2.xml" ContentType="application/vnd.openxmlformats-officedocument.drawingml.chartshapes+xml"/>
  <Override PartName="/xl/charts/chart38.xml" ContentType="application/vnd.openxmlformats-officedocument.drawingml.chart+xml"/>
  <Override PartName="/xl/charts/style33.xml" ContentType="application/vnd.ms-office.chartstyle+xml"/>
  <Override PartName="/xl/charts/colors33.xml" ContentType="application/vnd.ms-office.chartcolorstyle+xml"/>
  <Override PartName="/xl/charts/chart39.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3.xml" ContentType="application/vnd.openxmlformats-officedocument.drawing+xml"/>
  <Override PartName="/xl/comments11.xml" ContentType="application/vnd.openxmlformats-officedocument.spreadsheetml.comments+xml"/>
  <Override PartName="/xl/charts/chart40.xml" ContentType="application/vnd.openxmlformats-officedocument.drawingml.chart+xml"/>
  <Override PartName="/xl/charts/style35.xml" ContentType="application/vnd.ms-office.chartstyle+xml"/>
  <Override PartName="/xl/charts/colors35.xml" ContentType="application/vnd.ms-office.chartcolorstyle+xml"/>
  <Override PartName="/xl/charts/chart41.xml" ContentType="application/vnd.openxmlformats-officedocument.drawingml.chart+xml"/>
  <Override PartName="/xl/charts/style36.xml" ContentType="application/vnd.ms-office.chartstyle+xml"/>
  <Override PartName="/xl/charts/colors36.xml" ContentType="application/vnd.ms-office.chartcolorstyle+xml"/>
  <Override PartName="/xl/charts/chart42.xml" ContentType="application/vnd.openxmlformats-officedocument.drawingml.chart+xml"/>
  <Override PartName="/xl/charts/style37.xml" ContentType="application/vnd.ms-office.chartstyle+xml"/>
  <Override PartName="/xl/charts/colors37.xml" ContentType="application/vnd.ms-office.chartcolorstyle+xml"/>
  <Override PartName="/xl/charts/chart43.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4.xml" ContentType="application/vnd.openxmlformats-officedocument.drawing+xml"/>
  <Override PartName="/xl/comments12.xml" ContentType="application/vnd.openxmlformats-officedocument.spreadsheetml.comments+xml"/>
  <Override PartName="/xl/charts/chart44.xml" ContentType="application/vnd.openxmlformats-officedocument.drawingml.chart+xml"/>
  <Override PartName="/xl/charts/style39.xml" ContentType="application/vnd.ms-office.chartstyle+xml"/>
  <Override PartName="/xl/charts/colors39.xml" ContentType="application/vnd.ms-office.chartcolorstyle+xml"/>
  <Override PartName="/xl/charts/chart45.xml" ContentType="application/vnd.openxmlformats-officedocument.drawingml.chart+xml"/>
  <Override PartName="/xl/charts/style40.xml" ContentType="application/vnd.ms-office.chartstyle+xml"/>
  <Override PartName="/xl/charts/colors40.xml" ContentType="application/vnd.ms-office.chartcolorstyle+xml"/>
  <Override PartName="/xl/charts/chart46.xml" ContentType="application/vnd.openxmlformats-officedocument.drawingml.chart+xml"/>
  <Override PartName="/xl/charts/style41.xml" ContentType="application/vnd.ms-office.chartstyle+xml"/>
  <Override PartName="/xl/charts/colors41.xml" ContentType="application/vnd.ms-office.chartcolorstyle+xml"/>
  <Override PartName="/xl/charts/chart47.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5.xml" ContentType="application/vnd.openxmlformats-officedocument.drawing+xml"/>
  <Override PartName="/xl/comments13.xml" ContentType="application/vnd.openxmlformats-officedocument.spreadsheetml.comments+xml"/>
  <Override PartName="/xl/charts/chart48.xml" ContentType="application/vnd.openxmlformats-officedocument.drawingml.chart+xml"/>
  <Override PartName="/xl/charts/style43.xml" ContentType="application/vnd.ms-office.chartstyle+xml"/>
  <Override PartName="/xl/charts/colors43.xml" ContentType="application/vnd.ms-office.chartcolorstyle+xml"/>
  <Override PartName="/xl/charts/chart49.xml" ContentType="application/vnd.openxmlformats-officedocument.drawingml.chart+xml"/>
  <Override PartName="/xl/charts/style44.xml" ContentType="application/vnd.ms-office.chartstyle+xml"/>
  <Override PartName="/xl/charts/colors44.xml" ContentType="application/vnd.ms-office.chartcolorstyle+xml"/>
  <Override PartName="/xl/charts/chart50.xml" ContentType="application/vnd.openxmlformats-officedocument.drawingml.chart+xml"/>
  <Override PartName="/xl/charts/style45.xml" ContentType="application/vnd.ms-office.chartstyle+xml"/>
  <Override PartName="/xl/charts/colors45.xml" ContentType="application/vnd.ms-office.chartcolorstyle+xml"/>
  <Override PartName="/xl/charts/chart51.xml" ContentType="application/vnd.openxmlformats-officedocument.drawingml.chart+xml"/>
  <Override PartName="/xl/charts/style46.xml" ContentType="application/vnd.ms-office.chartstyle+xml"/>
  <Override PartName="/xl/charts/colors46.xml" ContentType="application/vnd.ms-office.chartcolorstyle+xml"/>
  <Override PartName="/xl/charts/chart52.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16.xml" ContentType="application/vnd.openxmlformats-officedocument.drawing+xml"/>
  <Override PartName="/xl/comments14.xml" ContentType="application/vnd.openxmlformats-officedocument.spreadsheetml.comments+xml"/>
  <Override PartName="/xl/charts/chart53.xml" ContentType="application/vnd.openxmlformats-officedocument.drawingml.chart+xml"/>
  <Override PartName="/xl/charts/style48.xml" ContentType="application/vnd.ms-office.chartstyle+xml"/>
  <Override PartName="/xl/charts/colors48.xml" ContentType="application/vnd.ms-office.chartcolorstyle+xml"/>
  <Override PartName="/xl/charts/chart54.xml" ContentType="application/vnd.openxmlformats-officedocument.drawingml.chart+xml"/>
  <Override PartName="/xl/charts/style49.xml" ContentType="application/vnd.ms-office.chartstyle+xml"/>
  <Override PartName="/xl/charts/colors49.xml" ContentType="application/vnd.ms-office.chartcolorstyle+xml"/>
  <Override PartName="/xl/charts/chart55.xml" ContentType="application/vnd.openxmlformats-officedocument.drawingml.chart+xml"/>
  <Override PartName="/xl/charts/style50.xml" ContentType="application/vnd.ms-office.chartstyle+xml"/>
  <Override PartName="/xl/charts/colors50.xml" ContentType="application/vnd.ms-office.chartcolorstyle+xml"/>
  <Override PartName="/xl/charts/chart56.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7.xml" ContentType="application/vnd.openxmlformats-officedocument.drawing+xml"/>
  <Override PartName="/xl/comments15.xml" ContentType="application/vnd.openxmlformats-officedocument.spreadsheetml.comments+xml"/>
  <Override PartName="/xl/charts/chart57.xml" ContentType="application/vnd.openxmlformats-officedocument.drawingml.chart+xml"/>
  <Override PartName="/xl/charts/style52.xml" ContentType="application/vnd.ms-office.chartstyle+xml"/>
  <Override PartName="/xl/charts/colors52.xml" ContentType="application/vnd.ms-office.chartcolorstyle+xml"/>
  <Override PartName="/xl/charts/chart58.xml" ContentType="application/vnd.openxmlformats-officedocument.drawingml.chart+xml"/>
  <Override PartName="/xl/charts/style53.xml" ContentType="application/vnd.ms-office.chartstyle+xml"/>
  <Override PartName="/xl/charts/colors53.xml" ContentType="application/vnd.ms-office.chartcolorstyle+xml"/>
  <Override PartName="/xl/charts/chart59.xml" ContentType="application/vnd.openxmlformats-officedocument.drawingml.chart+xml"/>
  <Override PartName="/xl/charts/style54.xml" ContentType="application/vnd.ms-office.chartstyle+xml"/>
  <Override PartName="/xl/charts/colors54.xml" ContentType="application/vnd.ms-office.chartcolorstyle+xml"/>
  <Override PartName="/xl/charts/chart60.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18.xml" ContentType="application/vnd.openxmlformats-officedocument.drawing+xml"/>
  <Override PartName="/xl/comments16.xml" ContentType="application/vnd.openxmlformats-officedocument.spreadsheetml.comments+xml"/>
  <Override PartName="/xl/charts/chart61.xml" ContentType="application/vnd.openxmlformats-officedocument.drawingml.chart+xml"/>
  <Override PartName="/xl/charts/style56.xml" ContentType="application/vnd.ms-office.chartstyle+xml"/>
  <Override PartName="/xl/charts/colors56.xml" ContentType="application/vnd.ms-office.chartcolorstyle+xml"/>
  <Override PartName="/xl/charts/chart62.xml" ContentType="application/vnd.openxmlformats-officedocument.drawingml.chart+xml"/>
  <Override PartName="/xl/charts/style57.xml" ContentType="application/vnd.ms-office.chartstyle+xml"/>
  <Override PartName="/xl/charts/colors57.xml" ContentType="application/vnd.ms-office.chartcolorstyle+xml"/>
  <Override PartName="/xl/charts/chart63.xml" ContentType="application/vnd.openxmlformats-officedocument.drawingml.chart+xml"/>
  <Override PartName="/xl/charts/style58.xml" ContentType="application/vnd.ms-office.chartstyle+xml"/>
  <Override PartName="/xl/charts/colors58.xml" ContentType="application/vnd.ms-office.chartcolorstyle+xml"/>
  <Override PartName="/xl/charts/chart64.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19.xml" ContentType="application/vnd.openxmlformats-officedocument.drawing+xml"/>
  <Override PartName="/xl/comments17.xml" ContentType="application/vnd.openxmlformats-officedocument.spreadsheetml.comments+xml"/>
  <Override PartName="/xl/charts/chart65.xml" ContentType="application/vnd.openxmlformats-officedocument.drawingml.chart+xml"/>
  <Override PartName="/xl/charts/style60.xml" ContentType="application/vnd.ms-office.chartstyle+xml"/>
  <Override PartName="/xl/charts/colors60.xml" ContentType="application/vnd.ms-office.chartcolorstyle+xml"/>
  <Override PartName="/xl/charts/chart66.xml" ContentType="application/vnd.openxmlformats-officedocument.drawingml.chart+xml"/>
  <Override PartName="/xl/charts/style61.xml" ContentType="application/vnd.ms-office.chartstyle+xml"/>
  <Override PartName="/xl/charts/colors61.xml" ContentType="application/vnd.ms-office.chartcolorstyle+xml"/>
  <Override PartName="/xl/charts/chart67.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20.xml" ContentType="application/vnd.openxmlformats-officedocument.drawingml.chartshapes+xml"/>
  <Override PartName="/xl/charts/chart68.xml" ContentType="application/vnd.openxmlformats-officedocument.drawingml.chart+xml"/>
  <Override PartName="/xl/charts/style63.xml" ContentType="application/vnd.ms-office.chartstyle+xml"/>
  <Override PartName="/xl/charts/colors63.xml" ContentType="application/vnd.ms-office.chartcolorstyle+xml"/>
  <Override PartName="/xl/charts/chart69.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21.xml" ContentType="application/vnd.openxmlformats-officedocument.drawing+xml"/>
  <Override PartName="/xl/comments18.xml" ContentType="application/vnd.openxmlformats-officedocument.spreadsheetml.comments+xml"/>
  <Override PartName="/xl/charts/chart70.xml" ContentType="application/vnd.openxmlformats-officedocument.drawingml.chart+xml"/>
  <Override PartName="/xl/charts/style65.xml" ContentType="application/vnd.ms-office.chartstyle+xml"/>
  <Override PartName="/xl/charts/colors65.xml" ContentType="application/vnd.ms-office.chartcolorstyle+xml"/>
  <Override PartName="/xl/charts/chart71.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22.xml" ContentType="application/vnd.openxmlformats-officedocument.drawingml.chartshapes+xml"/>
  <Override PartName="/xl/charts/chart72.xml" ContentType="application/vnd.openxmlformats-officedocument.drawingml.chart+xml"/>
  <Override PartName="/xl/charts/style67.xml" ContentType="application/vnd.ms-office.chartstyle+xml"/>
  <Override PartName="/xl/charts/colors67.xml" ContentType="application/vnd.ms-office.chartcolorstyle+xml"/>
  <Override PartName="/xl/charts/chart73.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23.xml" ContentType="application/vnd.openxmlformats-officedocument.drawing+xml"/>
  <Override PartName="/xl/comments19.xml" ContentType="application/vnd.openxmlformats-officedocument.spreadsheetml.comments+xml"/>
  <Override PartName="/xl/charts/chart74.xml" ContentType="application/vnd.openxmlformats-officedocument.drawingml.chart+xml"/>
  <Override PartName="/xl/charts/style69.xml" ContentType="application/vnd.ms-office.chartstyle+xml"/>
  <Override PartName="/xl/charts/colors69.xml" ContentType="application/vnd.ms-office.chartcolorstyle+xml"/>
  <Override PartName="/xl/charts/chart75.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24.xml" ContentType="application/vnd.openxmlformats-officedocument.drawingml.chartshapes+xml"/>
  <Override PartName="/xl/charts/chart76.xml" ContentType="application/vnd.openxmlformats-officedocument.drawingml.chart+xml"/>
  <Override PartName="/xl/charts/style71.xml" ContentType="application/vnd.ms-office.chartstyle+xml"/>
  <Override PartName="/xl/charts/colors71.xml" ContentType="application/vnd.ms-office.chartcolorstyle+xml"/>
  <Override PartName="/xl/charts/chart77.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5.xml" ContentType="application/vnd.openxmlformats-officedocument.drawing+xml"/>
  <Override PartName="/xl/comments20.xml" ContentType="application/vnd.openxmlformats-officedocument.spreadsheetml.comments+xml"/>
  <Override PartName="/xl/charts/chart78.xml" ContentType="application/vnd.openxmlformats-officedocument.drawingml.chart+xml"/>
  <Override PartName="/xl/charts/style73.xml" ContentType="application/vnd.ms-office.chartstyle+xml"/>
  <Override PartName="/xl/charts/colors73.xml" ContentType="application/vnd.ms-office.chartcolorstyle+xml"/>
  <Override PartName="/xl/charts/chart79.xml" ContentType="application/vnd.openxmlformats-officedocument.drawingml.chart+xml"/>
  <Override PartName="/xl/charts/style74.xml" ContentType="application/vnd.ms-office.chartstyle+xml"/>
  <Override PartName="/xl/charts/colors74.xml" ContentType="application/vnd.ms-office.chartcolorstyle+xml"/>
  <Override PartName="/xl/charts/chart80.xml" ContentType="application/vnd.openxmlformats-officedocument.drawingml.chart+xml"/>
  <Override PartName="/xl/charts/style75.xml" ContentType="application/vnd.ms-office.chartstyle+xml"/>
  <Override PartName="/xl/charts/colors75.xml" ContentType="application/vnd.ms-office.chartcolorstyle+xml"/>
  <Override PartName="/xl/charts/chart81.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26.xml" ContentType="application/vnd.openxmlformats-officedocument.drawing+xml"/>
  <Override PartName="/xl/comments21.xml" ContentType="application/vnd.openxmlformats-officedocument.spreadsheetml.comments+xml"/>
  <Override PartName="/xl/charts/chart82.xml" ContentType="application/vnd.openxmlformats-officedocument.drawingml.chart+xml"/>
  <Override PartName="/xl/charts/style77.xml" ContentType="application/vnd.ms-office.chartstyle+xml"/>
  <Override PartName="/xl/charts/colors77.xml" ContentType="application/vnd.ms-office.chartcolorstyle+xml"/>
  <Override PartName="/xl/charts/chart83.xml" ContentType="application/vnd.openxmlformats-officedocument.drawingml.chart+xml"/>
  <Override PartName="/xl/charts/style78.xml" ContentType="application/vnd.ms-office.chartstyle+xml"/>
  <Override PartName="/xl/charts/colors78.xml" ContentType="application/vnd.ms-office.chartcolorstyle+xml"/>
  <Override PartName="/xl/charts/chart84.xml" ContentType="application/vnd.openxmlformats-officedocument.drawingml.chart+xml"/>
  <Override PartName="/xl/charts/style79.xml" ContentType="application/vnd.ms-office.chartstyle+xml"/>
  <Override PartName="/xl/charts/colors79.xml" ContentType="application/vnd.ms-office.chartcolorstyle+xml"/>
  <Override PartName="/xl/charts/chart85.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27.xml" ContentType="application/vnd.openxmlformats-officedocument.drawing+xml"/>
  <Override PartName="/xl/comments22.xml" ContentType="application/vnd.openxmlformats-officedocument.spreadsheetml.comments+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8.xml" ContentType="application/vnd.openxmlformats-officedocument.drawing+xml"/>
  <Override PartName="/xl/comments23.xml" ContentType="application/vnd.openxmlformats-officedocument.spreadsheetml.comments+xml"/>
  <Override PartName="/xl/drawings/drawing29.xml" ContentType="application/vnd.openxmlformats-officedocument.drawing+xml"/>
  <Override PartName="/xl/comments24.xml" ContentType="application/vnd.openxmlformats-officedocument.spreadsheetml.comments+xml"/>
  <Override PartName="/xl/drawings/drawing30.xml" ContentType="application/vnd.openxmlformats-officedocument.drawing+xml"/>
  <Override PartName="/xl/comments25.xml" ContentType="application/vnd.openxmlformats-officedocument.spreadsheetml.comments+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drawings/drawing31.xml" ContentType="application/vnd.openxmlformats-officedocument.drawing+xml"/>
  <Override PartName="/xl/comments26.xml" ContentType="application/vnd.openxmlformats-officedocument.spreadsheetml.comments+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drawings/drawing32.xml" ContentType="application/vnd.openxmlformats-officedocument.drawing+xml"/>
  <Override PartName="/xl/comments27.xml" ContentType="application/vnd.openxmlformats-officedocument.spreadsheetml.comments+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drawings/drawing33.xml" ContentType="application/vnd.openxmlformats-officedocument.drawing+xml"/>
  <Override PartName="/xl/comments28.xml" ContentType="application/vnd.openxmlformats-officedocument.spreadsheetml.comments+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old.root.loc\redirect\profiles\romerc\Desktop\Brent\"/>
    </mc:Choice>
  </mc:AlternateContent>
  <bookViews>
    <workbookView xWindow="0" yWindow="0" windowWidth="20490" windowHeight="8910"/>
  </bookViews>
  <sheets>
    <sheet name="All Depts" sheetId="16" r:id="rId1"/>
    <sheet name="Stats" sheetId="19" state="hidden" r:id="rId2"/>
    <sheet name="Template" sheetId="20" state="hidden" r:id="rId3"/>
    <sheet name="Legis" sheetId="17" r:id="rId4"/>
    <sheet name="Exec-Legal" sheetId="18" r:id="rId5"/>
    <sheet name="City Manager only" sheetId="34" r:id="rId6"/>
    <sheet name="City Attorney only" sheetId="35" r:id="rId7"/>
    <sheet name="Municipal Court only" sheetId="36" r:id="rId8"/>
    <sheet name="CClerk" sheetId="3" r:id="rId9"/>
    <sheet name="CS" sheetId="4" r:id="rId10"/>
    <sheet name="DS" sheetId="5" r:id="rId11"/>
    <sheet name="ED" sheetId="6" r:id="rId12"/>
    <sheet name="FIN" sheetId="7" r:id="rId13"/>
    <sheet name="HR" sheetId="8" r:id="rId14"/>
    <sheet name="IT" sheetId="9" r:id="rId15"/>
    <sheet name="LIB" sheetId="10" r:id="rId16"/>
    <sheet name="P&amp;R" sheetId="11" r:id="rId17"/>
    <sheet name="POL" sheetId="12" r:id="rId18"/>
    <sheet name="PW" sheetId="13" r:id="rId19"/>
    <sheet name="W&amp;P" sheetId="14" r:id="rId20"/>
    <sheet name="LFRA" sheetId="24" state="hidden" r:id="rId21"/>
    <sheet name="Airport" sheetId="23" state="hidden" r:id="rId22"/>
    <sheet name="Non Dept " sheetId="21" r:id="rId23"/>
    <sheet name="Non Dept Detail" sheetId="41" r:id="rId24"/>
    <sheet name="Undistributed GF Rev" sheetId="39" r:id="rId25"/>
    <sheet name="Contrib" sheetId="27" state="hidden" r:id="rId26"/>
    <sheet name="Transfers" sheetId="28" state="hidden" r:id="rId27"/>
    <sheet name="Cap Proj" sheetId="22" state="hidden" r:id="rId28"/>
    <sheet name="Other Spec Revenue" sheetId="42" state="hidden" r:id="rId29"/>
    <sheet name="Sheet3" sheetId="38" r:id="rId30"/>
  </sheets>
  <externalReferences>
    <externalReference r:id="rId31"/>
    <externalReference r:id="rId32"/>
    <externalReference r:id="rId33"/>
    <externalReference r:id="rId34"/>
  </externalReferences>
  <definedNames>
    <definedName name="City_Atty_Graphs">'City Attorney only'!$A$1:$N$35</definedName>
    <definedName name="City_Manager_Graphs">'City Manager only'!$A$1:$M$35</definedName>
    <definedName name="cityclerkgraphs">CClerk!$O$1:$Z$93</definedName>
    <definedName name="Cultual_serv_graphs">CS!$N$1:$V$141</definedName>
    <definedName name="Devel_Serv_graphs">DS!$N$1:$X$121</definedName>
    <definedName name="Econ_Develop_graphs">ED!$N$1:$X$140</definedName>
    <definedName name="Exec_Legal_Graphs">'Exec-Legal'!$O$2:$U$100</definedName>
    <definedName name="Finance_graphs">FIN!$N$1:$W$153</definedName>
    <definedName name="Fire_Graphs">LFRA!$N$1:$Z$104</definedName>
    <definedName name="HR_graphs">HR!$N$1:$U$83</definedName>
    <definedName name="IT_graphs">IT!$N$1:$X$145</definedName>
    <definedName name="Legislative_Graphs">Legis!$P$1:$W$58</definedName>
    <definedName name="LFRA_graphs">LFRA!$N$1:$T$45</definedName>
    <definedName name="Library_graphs">LIB!$N$1:$Y$128</definedName>
    <definedName name="Municipal_Court_Graphs">'Municipal Court only'!$A$1:$M$34</definedName>
    <definedName name="ParksRec_Graphs">'P&amp;R'!$N$1:$AA$254</definedName>
    <definedName name="Police_graphs">POL!$N$1:$U$146</definedName>
    <definedName name="_xlnm.Print_Area" localSheetId="0">'All Depts'!$A$288:$T$355</definedName>
    <definedName name="_xlnm.Print_Area" localSheetId="9">CS!$A$1:$M$86</definedName>
    <definedName name="_xlnm.Print_Area" localSheetId="10">DS!$A$1:$L$96</definedName>
    <definedName name="_xlnm.Print_Area" localSheetId="12">FIN!$A$1:$L$96</definedName>
    <definedName name="_xlnm.Print_Area" localSheetId="17">POL!$A$1:$L$79</definedName>
    <definedName name="_xlnm.Print_Area" localSheetId="18">PW!$A$1:$L$146</definedName>
    <definedName name="_xlnm.Print_Titles" localSheetId="0">'All Depts'!$3:$10</definedName>
    <definedName name="_xlnm.Print_Titles" localSheetId="9">CS!$1:$4</definedName>
    <definedName name="_xlnm.Print_Titles" localSheetId="10">DS!$1:$4</definedName>
    <definedName name="_xlnm.Print_Titles" localSheetId="12">FIN!$1:$4</definedName>
    <definedName name="_xlnm.Print_Titles" localSheetId="17">POL!$1:$12</definedName>
    <definedName name="_xlnm.Print_Titles" localSheetId="18">PW!$1:$5</definedName>
    <definedName name="PublicWorks_graphs">PW!$N$1:$Y$174</definedName>
    <definedName name="Total_City_Graphs">'All Depts'!$AC$4:$AK$105</definedName>
    <definedName name="Water_and_Power_Graphs">'W&amp;P'!$N$1:$Z$113</definedName>
  </definedNames>
  <calcPr calcId="162913"/>
</workbook>
</file>

<file path=xl/calcChain.xml><?xml version="1.0" encoding="utf-8"?>
<calcChain xmlns="http://schemas.openxmlformats.org/spreadsheetml/2006/main">
  <c r="L15" i="21" l="1"/>
  <c r="K15" i="21"/>
  <c r="J15" i="21"/>
  <c r="L59" i="16"/>
  <c r="K59" i="16"/>
  <c r="J59" i="16"/>
  <c r="B214" i="16"/>
  <c r="C214" i="16"/>
  <c r="D214" i="16"/>
  <c r="D219" i="16"/>
  <c r="E214" i="16"/>
  <c r="E219" i="16"/>
  <c r="F214" i="16"/>
  <c r="G214" i="16"/>
  <c r="H214" i="16"/>
  <c r="H219" i="16"/>
  <c r="I214" i="16"/>
  <c r="I219" i="16"/>
  <c r="J214" i="16"/>
  <c r="K214" i="16"/>
  <c r="L214" i="16"/>
  <c r="B215" i="16"/>
  <c r="C215" i="16"/>
  <c r="D215" i="16"/>
  <c r="E215" i="16"/>
  <c r="F215" i="16"/>
  <c r="G215" i="16"/>
  <c r="H215" i="16"/>
  <c r="I215" i="16"/>
  <c r="J215" i="16"/>
  <c r="K215" i="16"/>
  <c r="L215" i="16"/>
  <c r="B216" i="16"/>
  <c r="C216" i="16"/>
  <c r="C219" i="16"/>
  <c r="D216" i="16"/>
  <c r="E216" i="16"/>
  <c r="F216" i="16"/>
  <c r="G216" i="16"/>
  <c r="G219" i="16"/>
  <c r="H216" i="16"/>
  <c r="I216" i="16"/>
  <c r="J216" i="16"/>
  <c r="K216" i="16"/>
  <c r="K219" i="16"/>
  <c r="L216" i="16"/>
  <c r="B217" i="16"/>
  <c r="C217" i="16"/>
  <c r="D217" i="16"/>
  <c r="E217" i="16"/>
  <c r="F217" i="16"/>
  <c r="G217" i="16"/>
  <c r="H217" i="16"/>
  <c r="I217" i="16"/>
  <c r="J217" i="16"/>
  <c r="K217" i="16"/>
  <c r="L217" i="16"/>
  <c r="B218" i="16"/>
  <c r="C218" i="16"/>
  <c r="D218" i="16"/>
  <c r="E218" i="16"/>
  <c r="F218" i="16"/>
  <c r="G218" i="16"/>
  <c r="H218" i="16"/>
  <c r="I218" i="16"/>
  <c r="J218" i="16"/>
  <c r="K218" i="16"/>
  <c r="L218" i="16"/>
  <c r="B219" i="16"/>
  <c r="F219" i="16"/>
  <c r="J219" i="16"/>
  <c r="B222" i="16"/>
  <c r="C222" i="16"/>
  <c r="D222" i="16"/>
  <c r="E222" i="16"/>
  <c r="F222" i="16"/>
  <c r="G222" i="16"/>
  <c r="H222" i="16"/>
  <c r="I222" i="16"/>
  <c r="J222" i="16"/>
  <c r="K222" i="16"/>
  <c r="L222" i="16"/>
  <c r="B223" i="16"/>
  <c r="C223" i="16"/>
  <c r="D223" i="16"/>
  <c r="E223" i="16"/>
  <c r="F223" i="16"/>
  <c r="G223" i="16"/>
  <c r="H223" i="16"/>
  <c r="I223" i="16"/>
  <c r="J223" i="16"/>
  <c r="K223" i="16"/>
  <c r="L223" i="16"/>
  <c r="Q222" i="16"/>
  <c r="B224" i="16"/>
  <c r="C224" i="16"/>
  <c r="D224" i="16"/>
  <c r="D227" i="16"/>
  <c r="E224" i="16"/>
  <c r="E227" i="16"/>
  <c r="F224" i="16"/>
  <c r="G224" i="16"/>
  <c r="H224" i="16"/>
  <c r="H227" i="16"/>
  <c r="I224" i="16"/>
  <c r="I227" i="16"/>
  <c r="J224" i="16"/>
  <c r="K224" i="16"/>
  <c r="L224" i="16"/>
  <c r="B225" i="16"/>
  <c r="C225" i="16"/>
  <c r="D225" i="16"/>
  <c r="E225" i="16"/>
  <c r="F225" i="16"/>
  <c r="G225" i="16"/>
  <c r="H225" i="16"/>
  <c r="I225" i="16"/>
  <c r="J225" i="16"/>
  <c r="K225" i="16"/>
  <c r="L225" i="16"/>
  <c r="B226" i="16"/>
  <c r="C226" i="16"/>
  <c r="D226" i="16"/>
  <c r="E226" i="16"/>
  <c r="F226" i="16"/>
  <c r="G226" i="16"/>
  <c r="H226" i="16"/>
  <c r="I226" i="16"/>
  <c r="J226" i="16"/>
  <c r="K226" i="16"/>
  <c r="L226" i="16"/>
  <c r="B227" i="16"/>
  <c r="C227" i="16"/>
  <c r="F227" i="16"/>
  <c r="G227" i="16"/>
  <c r="J227" i="16"/>
  <c r="K227" i="16"/>
  <c r="B230" i="16"/>
  <c r="C230" i="16"/>
  <c r="C235" i="16"/>
  <c r="D230" i="16"/>
  <c r="D235" i="16"/>
  <c r="E230" i="16"/>
  <c r="F230" i="16"/>
  <c r="G230" i="16"/>
  <c r="G235" i="16"/>
  <c r="H230" i="16"/>
  <c r="H235" i="16"/>
  <c r="I230" i="16"/>
  <c r="J230" i="16"/>
  <c r="K230" i="16"/>
  <c r="K235" i="16"/>
  <c r="L230" i="16"/>
  <c r="B231" i="16"/>
  <c r="C231" i="16"/>
  <c r="D231" i="16"/>
  <c r="E231" i="16"/>
  <c r="F231" i="16"/>
  <c r="G231" i="16"/>
  <c r="H231" i="16"/>
  <c r="I231" i="16"/>
  <c r="J231" i="16"/>
  <c r="K231" i="16"/>
  <c r="L231" i="16"/>
  <c r="B232" i="16"/>
  <c r="B235" i="16"/>
  <c r="C232" i="16"/>
  <c r="D232" i="16"/>
  <c r="E232" i="16"/>
  <c r="F232" i="16"/>
  <c r="F235" i="16"/>
  <c r="G232" i="16"/>
  <c r="H232" i="16"/>
  <c r="I232" i="16"/>
  <c r="J232" i="16"/>
  <c r="J235" i="16"/>
  <c r="K232" i="16"/>
  <c r="L232" i="16"/>
  <c r="B233" i="16"/>
  <c r="C233" i="16"/>
  <c r="D233" i="16"/>
  <c r="E233" i="16"/>
  <c r="F233" i="16"/>
  <c r="G233" i="16"/>
  <c r="H233" i="16"/>
  <c r="I233" i="16"/>
  <c r="J233" i="16"/>
  <c r="K233" i="16"/>
  <c r="L233" i="16"/>
  <c r="B234" i="16"/>
  <c r="C234" i="16"/>
  <c r="D234" i="16"/>
  <c r="E234" i="16"/>
  <c r="F234" i="16"/>
  <c r="G234" i="16"/>
  <c r="H234" i="16"/>
  <c r="I234" i="16"/>
  <c r="J234" i="16"/>
  <c r="K234" i="16"/>
  <c r="L234" i="16"/>
  <c r="E235" i="16"/>
  <c r="I235" i="16"/>
  <c r="B238" i="16"/>
  <c r="B243" i="16"/>
  <c r="C238" i="16"/>
  <c r="D238" i="16"/>
  <c r="E238" i="16"/>
  <c r="E243" i="16"/>
  <c r="F238" i="16"/>
  <c r="F243" i="16"/>
  <c r="G238" i="16"/>
  <c r="H238" i="16"/>
  <c r="I238" i="16"/>
  <c r="I243" i="16"/>
  <c r="J238" i="16"/>
  <c r="J243" i="16"/>
  <c r="K238" i="16"/>
  <c r="L238" i="16"/>
  <c r="B239" i="16"/>
  <c r="C239" i="16"/>
  <c r="D239" i="16"/>
  <c r="E239" i="16"/>
  <c r="F239" i="16"/>
  <c r="G239" i="16"/>
  <c r="H239" i="16"/>
  <c r="I239" i="16"/>
  <c r="J239" i="16"/>
  <c r="K239" i="16"/>
  <c r="L239" i="16"/>
  <c r="B240" i="16"/>
  <c r="C240" i="16"/>
  <c r="D240" i="16"/>
  <c r="D243" i="16"/>
  <c r="E240" i="16"/>
  <c r="F240" i="16"/>
  <c r="G240" i="16"/>
  <c r="H240" i="16"/>
  <c r="H243" i="16"/>
  <c r="I240" i="16"/>
  <c r="J240" i="16"/>
  <c r="K240" i="16"/>
  <c r="L240" i="16"/>
  <c r="B241" i="16"/>
  <c r="C241" i="16"/>
  <c r="D241" i="16"/>
  <c r="E241" i="16"/>
  <c r="F241" i="16"/>
  <c r="G241" i="16"/>
  <c r="H241" i="16"/>
  <c r="I241" i="16"/>
  <c r="J241" i="16"/>
  <c r="K241" i="16"/>
  <c r="L241" i="16"/>
  <c r="B242" i="16"/>
  <c r="C242" i="16"/>
  <c r="D242" i="16"/>
  <c r="E242" i="16"/>
  <c r="F242" i="16"/>
  <c r="G242" i="16"/>
  <c r="H242" i="16"/>
  <c r="I242" i="16"/>
  <c r="J242" i="16"/>
  <c r="K242" i="16"/>
  <c r="L242" i="16"/>
  <c r="C243" i="16"/>
  <c r="G243" i="16"/>
  <c r="K243" i="16"/>
  <c r="B246" i="16"/>
  <c r="C246" i="16"/>
  <c r="D246" i="16"/>
  <c r="E246" i="16"/>
  <c r="F246" i="16"/>
  <c r="G246" i="16"/>
  <c r="H246" i="16"/>
  <c r="I246" i="16"/>
  <c r="J246" i="16"/>
  <c r="K246" i="16"/>
  <c r="B247" i="16"/>
  <c r="B251" i="16"/>
  <c r="C247" i="16"/>
  <c r="D247" i="16"/>
  <c r="E247" i="16"/>
  <c r="F247" i="16"/>
  <c r="F251" i="16"/>
  <c r="G247" i="16"/>
  <c r="H247" i="16"/>
  <c r="I247" i="16"/>
  <c r="J247" i="16"/>
  <c r="J251" i="16"/>
  <c r="K247" i="16"/>
  <c r="B248" i="16"/>
  <c r="C248" i="16"/>
  <c r="D248" i="16"/>
  <c r="E248" i="16"/>
  <c r="F248" i="16"/>
  <c r="G248" i="16"/>
  <c r="H248" i="16"/>
  <c r="I248" i="16"/>
  <c r="J248" i="16"/>
  <c r="K248" i="16"/>
  <c r="B249" i="16"/>
  <c r="C249" i="16"/>
  <c r="D249" i="16"/>
  <c r="E249" i="16"/>
  <c r="E251" i="16"/>
  <c r="F249" i="16"/>
  <c r="G249" i="16"/>
  <c r="H249" i="16"/>
  <c r="I249" i="16"/>
  <c r="J249" i="16"/>
  <c r="K249" i="16"/>
  <c r="B250" i="16"/>
  <c r="C250" i="16"/>
  <c r="D250" i="16"/>
  <c r="E250" i="16"/>
  <c r="F250" i="16"/>
  <c r="G250" i="16"/>
  <c r="H250" i="16"/>
  <c r="I250" i="16"/>
  <c r="C251" i="16"/>
  <c r="D251" i="16"/>
  <c r="G251" i="16"/>
  <c r="H251" i="16"/>
  <c r="I251" i="16"/>
  <c r="K251" i="16"/>
  <c r="L251" i="16"/>
  <c r="B254" i="16"/>
  <c r="C254" i="16"/>
  <c r="D254" i="16"/>
  <c r="E254" i="16"/>
  <c r="F254" i="16"/>
  <c r="G254" i="16"/>
  <c r="H254" i="16"/>
  <c r="I254" i="16"/>
  <c r="J254" i="16"/>
  <c r="K254" i="16"/>
  <c r="L254" i="16"/>
  <c r="B255" i="16"/>
  <c r="B259" i="16"/>
  <c r="C255" i="16"/>
  <c r="C259" i="16"/>
  <c r="D255" i="16"/>
  <c r="E255" i="16"/>
  <c r="F255" i="16"/>
  <c r="F259" i="16"/>
  <c r="G255" i="16"/>
  <c r="G259" i="16"/>
  <c r="H255" i="16"/>
  <c r="I255" i="16"/>
  <c r="J255" i="16"/>
  <c r="J259" i="16"/>
  <c r="K255" i="16"/>
  <c r="K259" i="16"/>
  <c r="L255" i="16"/>
  <c r="B256" i="16"/>
  <c r="C256" i="16"/>
  <c r="D256" i="16"/>
  <c r="E256" i="16"/>
  <c r="F256" i="16"/>
  <c r="G256" i="16"/>
  <c r="H256" i="16"/>
  <c r="I256" i="16"/>
  <c r="J256" i="16"/>
  <c r="K256" i="16"/>
  <c r="L256" i="16"/>
  <c r="B257" i="16"/>
  <c r="C257" i="16"/>
  <c r="D257" i="16"/>
  <c r="D259" i="16"/>
  <c r="E257" i="16"/>
  <c r="F257" i="16"/>
  <c r="G257" i="16"/>
  <c r="H257" i="16"/>
  <c r="H259" i="16"/>
  <c r="I257" i="16"/>
  <c r="J257" i="16"/>
  <c r="K257" i="16"/>
  <c r="L257" i="16"/>
  <c r="B258" i="16"/>
  <c r="C258" i="16"/>
  <c r="D258" i="16"/>
  <c r="E258" i="16"/>
  <c r="F258" i="16"/>
  <c r="G258" i="16"/>
  <c r="H258" i="16"/>
  <c r="I258" i="16"/>
  <c r="E259" i="16"/>
  <c r="I259" i="16"/>
  <c r="L235" i="16"/>
  <c r="L227" i="16"/>
  <c r="L219" i="16"/>
  <c r="L259" i="16"/>
  <c r="L243" i="16"/>
  <c r="K18" i="21"/>
  <c r="J18" i="21"/>
  <c r="I18" i="21"/>
  <c r="L6" i="21"/>
  <c r="K6" i="21"/>
  <c r="J6" i="21"/>
  <c r="H15" i="21"/>
  <c r="G15" i="21"/>
  <c r="L16" i="24"/>
  <c r="K16" i="24"/>
  <c r="J16" i="24"/>
  <c r="J6" i="24"/>
  <c r="K6" i="24"/>
  <c r="L6" i="24"/>
  <c r="M8" i="39"/>
  <c r="B30" i="14"/>
  <c r="L40" i="14"/>
  <c r="K40" i="14"/>
  <c r="J40" i="14"/>
  <c r="I40" i="14"/>
  <c r="H40" i="14"/>
  <c r="G40" i="14"/>
  <c r="F40" i="14"/>
  <c r="E40" i="14"/>
  <c r="D40" i="14"/>
  <c r="B40" i="14"/>
  <c r="C38" i="14"/>
  <c r="C40" i="14"/>
  <c r="D30" i="13"/>
  <c r="H30" i="13"/>
  <c r="L30" i="13"/>
  <c r="L40" i="13"/>
  <c r="K40" i="13"/>
  <c r="K30" i="13"/>
  <c r="J40" i="13"/>
  <c r="J30" i="13"/>
  <c r="I40" i="13"/>
  <c r="I30" i="13"/>
  <c r="H40" i="13"/>
  <c r="G40" i="13"/>
  <c r="G30" i="13"/>
  <c r="F40" i="13"/>
  <c r="F30" i="13"/>
  <c r="E40" i="13"/>
  <c r="E30" i="13"/>
  <c r="D40" i="13"/>
  <c r="C40" i="13"/>
  <c r="C30" i="13"/>
  <c r="B40" i="13"/>
  <c r="B30" i="13"/>
  <c r="F30" i="12"/>
  <c r="J30" i="12"/>
  <c r="B30" i="12"/>
  <c r="L40" i="12"/>
  <c r="L30" i="12"/>
  <c r="K40" i="12"/>
  <c r="K30" i="12"/>
  <c r="J40" i="12"/>
  <c r="I40" i="12"/>
  <c r="I30" i="12"/>
  <c r="H40" i="12"/>
  <c r="H30" i="12"/>
  <c r="G40" i="12"/>
  <c r="G30" i="12"/>
  <c r="F40" i="12"/>
  <c r="E40" i="12"/>
  <c r="E30" i="12"/>
  <c r="D40" i="12"/>
  <c r="D30" i="12"/>
  <c r="C40" i="12"/>
  <c r="C30" i="12"/>
  <c r="B40" i="12"/>
  <c r="D29" i="11"/>
  <c r="H29" i="11"/>
  <c r="L29" i="11"/>
  <c r="L39" i="11"/>
  <c r="K39" i="11"/>
  <c r="K29" i="11"/>
  <c r="J39" i="11"/>
  <c r="J29" i="11"/>
  <c r="I39" i="11"/>
  <c r="I29" i="11"/>
  <c r="H39" i="11"/>
  <c r="G39" i="11"/>
  <c r="G29" i="11"/>
  <c r="F39" i="11"/>
  <c r="F29" i="11"/>
  <c r="E39" i="11"/>
  <c r="E29" i="11"/>
  <c r="D39" i="11"/>
  <c r="C39" i="11"/>
  <c r="C29" i="11"/>
  <c r="B39" i="11"/>
  <c r="B29" i="11"/>
  <c r="F29" i="10"/>
  <c r="J29" i="10"/>
  <c r="B29" i="10"/>
  <c r="L42" i="10"/>
  <c r="L29" i="10"/>
  <c r="K42" i="10"/>
  <c r="K29" i="10"/>
  <c r="J42" i="10"/>
  <c r="I42" i="10"/>
  <c r="I29" i="10"/>
  <c r="H42" i="10"/>
  <c r="H29" i="10"/>
  <c r="G42" i="10"/>
  <c r="G29" i="10"/>
  <c r="F42" i="10"/>
  <c r="E42" i="10"/>
  <c r="E29" i="10"/>
  <c r="D42" i="10"/>
  <c r="D29" i="10"/>
  <c r="C42" i="10"/>
  <c r="C29" i="10"/>
  <c r="B42" i="10"/>
  <c r="D31" i="9"/>
  <c r="H31" i="9"/>
  <c r="L31" i="9"/>
  <c r="L40" i="9"/>
  <c r="K40" i="9"/>
  <c r="K31" i="9"/>
  <c r="J40" i="9"/>
  <c r="J31" i="9"/>
  <c r="I40" i="9"/>
  <c r="I31" i="9"/>
  <c r="H40" i="9"/>
  <c r="G40" i="9"/>
  <c r="G31" i="9"/>
  <c r="F40" i="9"/>
  <c r="F31" i="9"/>
  <c r="E40" i="9"/>
  <c r="E31" i="9"/>
  <c r="D40" i="9"/>
  <c r="C40" i="9"/>
  <c r="C31" i="9"/>
  <c r="B40" i="9"/>
  <c r="B31" i="9"/>
  <c r="L40" i="8"/>
  <c r="K40" i="8"/>
  <c r="J40" i="8"/>
  <c r="I40" i="8"/>
  <c r="H40" i="8"/>
  <c r="G40" i="8"/>
  <c r="F40" i="8"/>
  <c r="E40" i="8"/>
  <c r="D40" i="8"/>
  <c r="C40" i="8"/>
  <c r="B40" i="8"/>
  <c r="G30" i="7"/>
  <c r="J30" i="7"/>
  <c r="I41" i="7"/>
  <c r="I30" i="7"/>
  <c r="H41" i="7"/>
  <c r="H30" i="7"/>
  <c r="G41" i="7"/>
  <c r="F41" i="7"/>
  <c r="F30" i="7"/>
  <c r="E41" i="7"/>
  <c r="E30" i="7"/>
  <c r="D41" i="7"/>
  <c r="D30" i="7"/>
  <c r="L39" i="7"/>
  <c r="L41" i="7"/>
  <c r="L30" i="7"/>
  <c r="K39" i="7"/>
  <c r="K41" i="7"/>
  <c r="K30" i="7"/>
  <c r="J39" i="7"/>
  <c r="J41" i="7"/>
  <c r="C39" i="7"/>
  <c r="C41" i="7"/>
  <c r="C30" i="7"/>
  <c r="B39" i="7"/>
  <c r="B41" i="7"/>
  <c r="B30" i="7"/>
  <c r="C37" i="6"/>
  <c r="L36" i="6"/>
  <c r="K36" i="6"/>
  <c r="L37" i="6"/>
  <c r="J36" i="6"/>
  <c r="I36" i="6"/>
  <c r="I37" i="6"/>
  <c r="H36" i="6"/>
  <c r="G36" i="6"/>
  <c r="H37" i="6"/>
  <c r="F36" i="6"/>
  <c r="E36" i="6"/>
  <c r="E37" i="6"/>
  <c r="D36" i="6"/>
  <c r="C36" i="6"/>
  <c r="D37" i="6"/>
  <c r="B36" i="6"/>
  <c r="F34" i="5"/>
  <c r="J34" i="5"/>
  <c r="L43" i="5"/>
  <c r="L34" i="5"/>
  <c r="K43" i="5"/>
  <c r="K44" i="5"/>
  <c r="J43" i="5"/>
  <c r="J44" i="5"/>
  <c r="I43" i="5"/>
  <c r="I34" i="5"/>
  <c r="H43" i="5"/>
  <c r="I44" i="5"/>
  <c r="G43" i="5"/>
  <c r="H44" i="5"/>
  <c r="F43" i="5"/>
  <c r="F44" i="5"/>
  <c r="E43" i="5"/>
  <c r="E34" i="5"/>
  <c r="D43" i="5"/>
  <c r="E44" i="5"/>
  <c r="C43" i="5"/>
  <c r="D44" i="5"/>
  <c r="B43" i="5"/>
  <c r="B34" i="5"/>
  <c r="D30" i="4"/>
  <c r="E30" i="4"/>
  <c r="H30" i="4"/>
  <c r="I30" i="4"/>
  <c r="L30" i="4"/>
  <c r="D41" i="4"/>
  <c r="L40" i="4"/>
  <c r="L41" i="4"/>
  <c r="K40" i="4"/>
  <c r="K30" i="4"/>
  <c r="J40" i="4"/>
  <c r="J41" i="4"/>
  <c r="I40" i="4"/>
  <c r="H40" i="4"/>
  <c r="G40" i="4"/>
  <c r="G30" i="4"/>
  <c r="F40" i="4"/>
  <c r="F41" i="4"/>
  <c r="E40" i="4"/>
  <c r="E41" i="4"/>
  <c r="D40" i="4"/>
  <c r="C40" i="4"/>
  <c r="C30" i="4"/>
  <c r="B40" i="4"/>
  <c r="B30" i="4"/>
  <c r="B37" i="3"/>
  <c r="C38" i="3"/>
  <c r="C37" i="3"/>
  <c r="C30" i="3"/>
  <c r="D37" i="3"/>
  <c r="D38" i="3"/>
  <c r="E37" i="3"/>
  <c r="E38" i="3"/>
  <c r="F37" i="3"/>
  <c r="F30" i="3"/>
  <c r="G37" i="3"/>
  <c r="G30" i="3"/>
  <c r="H37" i="3"/>
  <c r="H38" i="3"/>
  <c r="I37" i="3"/>
  <c r="J37" i="3"/>
  <c r="J30" i="3"/>
  <c r="K37" i="3"/>
  <c r="K30" i="3"/>
  <c r="L37" i="3"/>
  <c r="L38" i="3"/>
  <c r="G38" i="3"/>
  <c r="K34" i="5"/>
  <c r="C34" i="5"/>
  <c r="L44" i="5"/>
  <c r="J38" i="3"/>
  <c r="B30" i="3"/>
  <c r="K38" i="3"/>
  <c r="I41" i="4"/>
  <c r="C41" i="4"/>
  <c r="J30" i="4"/>
  <c r="F30" i="4"/>
  <c r="H34" i="5"/>
  <c r="D34" i="5"/>
  <c r="C44" i="5"/>
  <c r="G44" i="5"/>
  <c r="I30" i="3"/>
  <c r="H41" i="4"/>
  <c r="F37" i="6"/>
  <c r="J37" i="6"/>
  <c r="G37" i="6"/>
  <c r="G34" i="5"/>
  <c r="E30" i="3"/>
  <c r="L30" i="3"/>
  <c r="H30" i="3"/>
  <c r="D30" i="3"/>
  <c r="K41" i="4"/>
  <c r="K37" i="6"/>
  <c r="G41" i="4"/>
  <c r="F38" i="3"/>
  <c r="I38" i="3"/>
  <c r="E29" i="18"/>
  <c r="I29" i="18"/>
  <c r="I42" i="18"/>
  <c r="L41" i="18"/>
  <c r="K41" i="18"/>
  <c r="J41" i="18"/>
  <c r="J42" i="18"/>
  <c r="I41" i="18"/>
  <c r="H41" i="18"/>
  <c r="H29" i="18"/>
  <c r="G41" i="18"/>
  <c r="F41" i="18"/>
  <c r="F42" i="18"/>
  <c r="E41" i="18"/>
  <c r="E42" i="18"/>
  <c r="D41" i="18"/>
  <c r="C41" i="18"/>
  <c r="B41" i="18"/>
  <c r="B29" i="18"/>
  <c r="J29" i="18"/>
  <c r="C42" i="18"/>
  <c r="G42" i="18"/>
  <c r="D42" i="18"/>
  <c r="L42" i="18"/>
  <c r="L29" i="18"/>
  <c r="D29" i="18"/>
  <c r="F29" i="18"/>
  <c r="K42" i="18"/>
  <c r="H42" i="18"/>
  <c r="K29" i="18"/>
  <c r="G29" i="18"/>
  <c r="C29" i="18"/>
  <c r="J269" i="16"/>
  <c r="L62" i="16"/>
  <c r="K62" i="16"/>
  <c r="J62" i="16"/>
  <c r="J60" i="16"/>
  <c r="J53" i="16"/>
  <c r="L20" i="24"/>
  <c r="K20" i="24"/>
  <c r="J20" i="24"/>
  <c r="L269" i="16"/>
  <c r="K269" i="16"/>
  <c r="B27" i="12"/>
  <c r="C27" i="12"/>
  <c r="D27" i="12"/>
  <c r="E27" i="12"/>
  <c r="F27" i="12"/>
  <c r="G27" i="12"/>
  <c r="H27" i="12"/>
  <c r="I27" i="12"/>
  <c r="J27" i="12"/>
  <c r="K27" i="12"/>
  <c r="L27" i="12"/>
  <c r="B33" i="17"/>
  <c r="C33" i="17"/>
  <c r="D33" i="17"/>
  <c r="E33" i="17"/>
  <c r="F33" i="17"/>
  <c r="G33" i="17"/>
  <c r="H33" i="17"/>
  <c r="I33" i="17"/>
  <c r="J33" i="17"/>
  <c r="K33" i="17"/>
  <c r="L33" i="17"/>
  <c r="E78" i="16"/>
  <c r="I78" i="16"/>
  <c r="C79" i="16"/>
  <c r="D79" i="16"/>
  <c r="E79" i="16"/>
  <c r="F79" i="16"/>
  <c r="G79" i="16"/>
  <c r="H79" i="16"/>
  <c r="I79" i="16"/>
  <c r="J79" i="16"/>
  <c r="K79" i="16"/>
  <c r="L79" i="16"/>
  <c r="C80" i="16"/>
  <c r="D80" i="16"/>
  <c r="E80" i="16"/>
  <c r="F80" i="16"/>
  <c r="G80" i="16"/>
  <c r="H80" i="16"/>
  <c r="I80" i="16"/>
  <c r="J80" i="16"/>
  <c r="K80" i="16"/>
  <c r="L80" i="16"/>
  <c r="C81" i="16"/>
  <c r="D81" i="16"/>
  <c r="E81" i="16"/>
  <c r="F81" i="16"/>
  <c r="G81" i="16"/>
  <c r="H81" i="16"/>
  <c r="I81" i="16"/>
  <c r="J81" i="16"/>
  <c r="K81" i="16"/>
  <c r="L81" i="16"/>
  <c r="C82" i="16"/>
  <c r="D82" i="16"/>
  <c r="E82" i="16"/>
  <c r="F82" i="16"/>
  <c r="G82" i="16"/>
  <c r="H82" i="16"/>
  <c r="I82" i="16"/>
  <c r="J82" i="16"/>
  <c r="K82" i="16"/>
  <c r="L82" i="16"/>
  <c r="B79" i="16"/>
  <c r="B80" i="16"/>
  <c r="B81" i="16"/>
  <c r="B82" i="16"/>
  <c r="J61" i="16"/>
  <c r="K60" i="16"/>
  <c r="K53" i="16"/>
  <c r="L60" i="16"/>
  <c r="L53" i="16"/>
  <c r="K61" i="16"/>
  <c r="L61" i="16"/>
  <c r="L19" i="21"/>
  <c r="L63" i="16"/>
  <c r="K19" i="21"/>
  <c r="J19" i="21"/>
  <c r="J63" i="16"/>
  <c r="K205" i="16"/>
  <c r="C206" i="16"/>
  <c r="D206" i="16"/>
  <c r="E206" i="16"/>
  <c r="F206" i="16"/>
  <c r="G206" i="16"/>
  <c r="H206" i="16"/>
  <c r="I206" i="16"/>
  <c r="J206" i="16"/>
  <c r="K206" i="16"/>
  <c r="L206" i="16"/>
  <c r="C207" i="16"/>
  <c r="D207" i="16"/>
  <c r="E207" i="16"/>
  <c r="F207" i="16"/>
  <c r="G207" i="16"/>
  <c r="H207" i="16"/>
  <c r="I207" i="16"/>
  <c r="J207" i="16"/>
  <c r="K207" i="16"/>
  <c r="L207" i="16"/>
  <c r="C208" i="16"/>
  <c r="D208" i="16"/>
  <c r="E208" i="16"/>
  <c r="F208" i="16"/>
  <c r="G208" i="16"/>
  <c r="H208" i="16"/>
  <c r="I208" i="16"/>
  <c r="J208" i="16"/>
  <c r="K208" i="16"/>
  <c r="L208" i="16"/>
  <c r="C209" i="16"/>
  <c r="D209" i="16"/>
  <c r="E209" i="16"/>
  <c r="F209" i="16"/>
  <c r="G209" i="16"/>
  <c r="H209" i="16"/>
  <c r="I209" i="16"/>
  <c r="J209" i="16"/>
  <c r="L205" i="16"/>
  <c r="I205" i="16"/>
  <c r="H205" i="16"/>
  <c r="G205" i="16"/>
  <c r="F205" i="16"/>
  <c r="E205" i="16"/>
  <c r="D205" i="16"/>
  <c r="C205" i="16"/>
  <c r="J205" i="16"/>
  <c r="L209" i="16"/>
  <c r="K209" i="16"/>
  <c r="K63" i="16"/>
  <c r="P268" i="16"/>
  <c r="O268" i="16"/>
  <c r="N268" i="16"/>
  <c r="T291" i="16"/>
  <c r="U291" i="16"/>
  <c r="V291" i="16"/>
  <c r="W291" i="16"/>
  <c r="X291" i="16"/>
  <c r="Y291" i="16"/>
  <c r="Z291" i="16"/>
  <c r="AA291" i="16"/>
  <c r="T292" i="16"/>
  <c r="U292" i="16"/>
  <c r="V292" i="16"/>
  <c r="W292" i="16"/>
  <c r="X292" i="16"/>
  <c r="Y292" i="16"/>
  <c r="Z292" i="16"/>
  <c r="AA292" i="16"/>
  <c r="T293" i="16"/>
  <c r="U293" i="16"/>
  <c r="V293" i="16"/>
  <c r="W293" i="16"/>
  <c r="X293" i="16"/>
  <c r="Y293" i="16"/>
  <c r="Z293" i="16"/>
  <c r="AA293" i="16"/>
  <c r="T294" i="16"/>
  <c r="U294" i="16"/>
  <c r="V294" i="16"/>
  <c r="W294" i="16"/>
  <c r="X294" i="16"/>
  <c r="Y294" i="16"/>
  <c r="Z294" i="16"/>
  <c r="AA294" i="16"/>
  <c r="T295" i="16"/>
  <c r="U295" i="16"/>
  <c r="V295" i="16"/>
  <c r="W295" i="16"/>
  <c r="X295" i="16"/>
  <c r="Y295" i="16"/>
  <c r="Z295" i="16"/>
  <c r="AA295" i="16"/>
  <c r="T296" i="16"/>
  <c r="U296" i="16"/>
  <c r="V296" i="16"/>
  <c r="W296" i="16"/>
  <c r="X296" i="16"/>
  <c r="Y296" i="16"/>
  <c r="Z296" i="16"/>
  <c r="AA296" i="16"/>
  <c r="T277" i="16"/>
  <c r="X277" i="16"/>
  <c r="Y277" i="16"/>
  <c r="Z277" i="16"/>
  <c r="AA277" i="16"/>
  <c r="T278" i="16"/>
  <c r="X278" i="16"/>
  <c r="Y278" i="16"/>
  <c r="Z278" i="16"/>
  <c r="AA278" i="16"/>
  <c r="T279" i="16"/>
  <c r="X279" i="16"/>
  <c r="Y279" i="16"/>
  <c r="Z279" i="16"/>
  <c r="AA279" i="16"/>
  <c r="T280" i="16"/>
  <c r="X280" i="16"/>
  <c r="Y280" i="16"/>
  <c r="Z280" i="16"/>
  <c r="AA280" i="16"/>
  <c r="T281" i="16"/>
  <c r="X281" i="16"/>
  <c r="Y281" i="16"/>
  <c r="Z281" i="16"/>
  <c r="AA281" i="16"/>
  <c r="X282" i="16"/>
  <c r="Y282" i="16"/>
  <c r="Z282" i="16"/>
  <c r="AA282" i="16"/>
  <c r="K163" i="16"/>
  <c r="L6" i="39"/>
  <c r="T282" i="16"/>
  <c r="P59" i="16"/>
  <c r="O59" i="16"/>
  <c r="N59" i="16"/>
  <c r="L198" i="16"/>
  <c r="L196" i="16"/>
  <c r="L190" i="16"/>
  <c r="L189" i="16"/>
  <c r="L188" i="16"/>
  <c r="L187" i="16"/>
  <c r="L181" i="16"/>
  <c r="L178" i="16"/>
  <c r="L172" i="16"/>
  <c r="L171" i="16"/>
  <c r="L160" i="16"/>
  <c r="L163" i="16"/>
  <c r="L151" i="16"/>
  <c r="L154" i="16"/>
  <c r="L143" i="16"/>
  <c r="L142" i="16"/>
  <c r="L139" i="16"/>
  <c r="L133" i="16"/>
  <c r="L127" i="16"/>
  <c r="L124" i="16"/>
  <c r="L121" i="16"/>
  <c r="K121" i="16"/>
  <c r="J121" i="16"/>
  <c r="L112" i="16"/>
  <c r="L106" i="16"/>
  <c r="L109" i="16"/>
  <c r="L103" i="16"/>
  <c r="L97" i="16"/>
  <c r="L94" i="16"/>
  <c r="L9" i="39"/>
  <c r="K9" i="39"/>
  <c r="J9" i="39"/>
  <c r="K6" i="39"/>
  <c r="J6" i="39"/>
  <c r="L9" i="13"/>
  <c r="K9" i="13"/>
  <c r="L6" i="12"/>
  <c r="L9" i="11"/>
  <c r="K9" i="11"/>
  <c r="J9" i="11"/>
  <c r="L9" i="6"/>
  <c r="K9" i="6"/>
  <c r="J9" i="6"/>
  <c r="L115" i="16"/>
  <c r="L17" i="34"/>
  <c r="K17" i="34"/>
  <c r="J17" i="34"/>
  <c r="L9" i="34"/>
  <c r="K9" i="34"/>
  <c r="J9" i="34"/>
  <c r="L91" i="16"/>
  <c r="L88" i="16"/>
  <c r="J8" i="14"/>
  <c r="L8" i="14"/>
  <c r="K8" i="14"/>
  <c r="J9" i="13"/>
  <c r="L9" i="12"/>
  <c r="K9" i="12"/>
  <c r="J9" i="12"/>
  <c r="L6" i="6"/>
  <c r="K6" i="6"/>
  <c r="J6" i="6"/>
  <c r="L6" i="13"/>
  <c r="K6" i="13"/>
  <c r="J6" i="13"/>
  <c r="L9" i="4"/>
  <c r="K9" i="4"/>
  <c r="J9" i="4"/>
  <c r="N19" i="16"/>
  <c r="P19" i="16"/>
  <c r="O19" i="16"/>
  <c r="P13" i="16"/>
  <c r="O13" i="16"/>
  <c r="N13" i="16"/>
  <c r="I259" i="11"/>
  <c r="L14" i="22"/>
  <c r="L7" i="13"/>
  <c r="B61" i="16"/>
  <c r="I16" i="16"/>
  <c r="I9" i="39"/>
  <c r="I6" i="39"/>
  <c r="I13" i="16"/>
  <c r="C13" i="16"/>
  <c r="L4" i="16"/>
  <c r="K4" i="16"/>
  <c r="J4" i="16"/>
  <c r="I4" i="16"/>
  <c r="H4" i="16"/>
  <c r="G4" i="16"/>
  <c r="F4" i="16"/>
  <c r="E4" i="16"/>
  <c r="D4" i="16"/>
  <c r="C4" i="16"/>
  <c r="B4" i="16"/>
  <c r="L28" i="24"/>
  <c r="K28" i="24"/>
  <c r="J28" i="24"/>
  <c r="I28" i="24"/>
  <c r="H28" i="24"/>
  <c r="G28" i="24"/>
  <c r="F28" i="24"/>
  <c r="E28" i="24"/>
  <c r="D28" i="24"/>
  <c r="C28" i="24"/>
  <c r="B28" i="24"/>
  <c r="L27" i="14"/>
  <c r="K27" i="14"/>
  <c r="J27" i="14"/>
  <c r="I27" i="14"/>
  <c r="H27" i="14"/>
  <c r="G27" i="14"/>
  <c r="F27" i="14"/>
  <c r="E27" i="14"/>
  <c r="D27" i="14"/>
  <c r="C27" i="14"/>
  <c r="B27" i="14"/>
  <c r="L27" i="13"/>
  <c r="L26" i="13"/>
  <c r="K27" i="13"/>
  <c r="K26" i="13"/>
  <c r="J27" i="13"/>
  <c r="I27" i="13"/>
  <c r="I26" i="13"/>
  <c r="H27" i="13"/>
  <c r="G27" i="13"/>
  <c r="G26" i="13"/>
  <c r="F27" i="13"/>
  <c r="E27" i="13"/>
  <c r="E26" i="13"/>
  <c r="D27" i="13"/>
  <c r="D26" i="13"/>
  <c r="C27" i="13"/>
  <c r="C26" i="13"/>
  <c r="B27" i="13"/>
  <c r="J26" i="13"/>
  <c r="H26" i="13"/>
  <c r="F26" i="13"/>
  <c r="B26" i="13"/>
  <c r="L8" i="13"/>
  <c r="L15" i="16"/>
  <c r="K8" i="13"/>
  <c r="K7" i="13"/>
  <c r="J8" i="13"/>
  <c r="J15" i="16"/>
  <c r="J7" i="13"/>
  <c r="G6" i="13"/>
  <c r="E6" i="13"/>
  <c r="L26" i="12"/>
  <c r="K26" i="12"/>
  <c r="I26" i="12"/>
  <c r="H26" i="12"/>
  <c r="F26" i="12"/>
  <c r="E26" i="12"/>
  <c r="D26" i="12"/>
  <c r="C26" i="12"/>
  <c r="B26" i="12"/>
  <c r="G26" i="12"/>
  <c r="J6" i="12"/>
  <c r="J26" i="12"/>
  <c r="L26" i="11"/>
  <c r="K26" i="11"/>
  <c r="K25" i="11"/>
  <c r="J26" i="11"/>
  <c r="J25" i="11"/>
  <c r="I26" i="11"/>
  <c r="I25" i="11"/>
  <c r="H26" i="11"/>
  <c r="G26" i="11"/>
  <c r="F26" i="11"/>
  <c r="E26" i="11"/>
  <c r="D26" i="11"/>
  <c r="C26" i="11"/>
  <c r="B26" i="11"/>
  <c r="L6" i="11"/>
  <c r="K6" i="11"/>
  <c r="J6" i="11"/>
  <c r="L26" i="10"/>
  <c r="L25" i="10"/>
  <c r="K26" i="10"/>
  <c r="K25" i="10"/>
  <c r="J26" i="10"/>
  <c r="I26" i="10"/>
  <c r="I25" i="10"/>
  <c r="H26" i="10"/>
  <c r="G26" i="10"/>
  <c r="F26" i="10"/>
  <c r="E26" i="10"/>
  <c r="D26" i="10"/>
  <c r="C26" i="10"/>
  <c r="B26" i="10"/>
  <c r="J25" i="10"/>
  <c r="L27" i="9"/>
  <c r="L26" i="9"/>
  <c r="K27" i="9"/>
  <c r="K26" i="9"/>
  <c r="J27" i="9"/>
  <c r="J26" i="9"/>
  <c r="I27" i="9"/>
  <c r="I26" i="9"/>
  <c r="H27" i="9"/>
  <c r="G27" i="9"/>
  <c r="F27" i="9"/>
  <c r="E27" i="9"/>
  <c r="D27" i="9"/>
  <c r="C27" i="9"/>
  <c r="B27" i="9"/>
  <c r="L9" i="9"/>
  <c r="K9" i="9"/>
  <c r="J9" i="9"/>
  <c r="L27" i="8"/>
  <c r="L26" i="8"/>
  <c r="K27" i="8"/>
  <c r="K26" i="8"/>
  <c r="J27" i="8"/>
  <c r="J26" i="8"/>
  <c r="I27" i="8"/>
  <c r="I26" i="8"/>
  <c r="H27" i="8"/>
  <c r="G27" i="8"/>
  <c r="F27" i="8"/>
  <c r="E27" i="8"/>
  <c r="D27" i="8"/>
  <c r="C27" i="8"/>
  <c r="B27" i="8"/>
  <c r="L8" i="8"/>
  <c r="L14" i="16"/>
  <c r="L21" i="16"/>
  <c r="K8" i="8"/>
  <c r="J8" i="8"/>
  <c r="J14" i="16"/>
  <c r="K25" i="7"/>
  <c r="L26" i="7"/>
  <c r="L25" i="7"/>
  <c r="K26" i="7"/>
  <c r="J26" i="7"/>
  <c r="J25" i="7"/>
  <c r="I26" i="7"/>
  <c r="I25" i="7"/>
  <c r="H26" i="7"/>
  <c r="G26" i="7"/>
  <c r="F26" i="7"/>
  <c r="E26" i="7"/>
  <c r="D26" i="7"/>
  <c r="C26" i="7"/>
  <c r="B26" i="7"/>
  <c r="L25" i="6"/>
  <c r="L24" i="6"/>
  <c r="K25" i="6"/>
  <c r="K24" i="6"/>
  <c r="J25" i="6"/>
  <c r="J24" i="6"/>
  <c r="I25" i="6"/>
  <c r="I24" i="6"/>
  <c r="H25" i="6"/>
  <c r="G25" i="6"/>
  <c r="F25" i="6"/>
  <c r="E25" i="6"/>
  <c r="D25" i="6"/>
  <c r="C25" i="6"/>
  <c r="B25" i="6"/>
  <c r="I11" i="6"/>
  <c r="G11" i="6"/>
  <c r="F11" i="6"/>
  <c r="E11" i="6"/>
  <c r="D11" i="6"/>
  <c r="C11" i="6"/>
  <c r="B11" i="6"/>
  <c r="L11" i="6"/>
  <c r="K11" i="6"/>
  <c r="J11" i="6"/>
  <c r="H9" i="6"/>
  <c r="H11" i="6"/>
  <c r="L31" i="5"/>
  <c r="L30" i="5"/>
  <c r="K31" i="5"/>
  <c r="K30" i="5"/>
  <c r="J31" i="5"/>
  <c r="J30" i="5"/>
  <c r="I31" i="5"/>
  <c r="I30" i="5"/>
  <c r="H31" i="5"/>
  <c r="G31" i="5"/>
  <c r="F31" i="5"/>
  <c r="E31" i="5"/>
  <c r="D31" i="5"/>
  <c r="C31" i="5"/>
  <c r="B31" i="5"/>
  <c r="G6" i="5"/>
  <c r="H28" i="18"/>
  <c r="G28" i="18"/>
  <c r="F28" i="18"/>
  <c r="E28" i="18"/>
  <c r="D28" i="18"/>
  <c r="C28" i="18"/>
  <c r="B28" i="18"/>
  <c r="L27" i="4"/>
  <c r="L26" i="4"/>
  <c r="K27" i="4"/>
  <c r="K26" i="4"/>
  <c r="J27" i="4"/>
  <c r="J26" i="4"/>
  <c r="I27" i="4"/>
  <c r="H27" i="4"/>
  <c r="G27" i="4"/>
  <c r="F27" i="4"/>
  <c r="E27" i="4"/>
  <c r="D27" i="4"/>
  <c r="C27" i="4"/>
  <c r="B27" i="4"/>
  <c r="L6" i="4"/>
  <c r="K6" i="4"/>
  <c r="J6" i="4"/>
  <c r="K9" i="18"/>
  <c r="K6" i="18"/>
  <c r="L63" i="36"/>
  <c r="K63" i="36"/>
  <c r="J63" i="36"/>
  <c r="I63" i="36"/>
  <c r="H63" i="36"/>
  <c r="G63" i="36"/>
  <c r="F63" i="36"/>
  <c r="E63" i="36"/>
  <c r="D63" i="36"/>
  <c r="C63" i="36"/>
  <c r="B63" i="36"/>
  <c r="K13" i="16"/>
  <c r="L54" i="34"/>
  <c r="K54" i="34"/>
  <c r="J54" i="34"/>
  <c r="I54" i="34"/>
  <c r="H54" i="34"/>
  <c r="G54" i="34"/>
  <c r="F54" i="34"/>
  <c r="E54" i="34"/>
  <c r="D54" i="34"/>
  <c r="C54" i="34"/>
  <c r="B54" i="34"/>
  <c r="J9" i="18"/>
  <c r="J16" i="16"/>
  <c r="J6" i="18"/>
  <c r="J13" i="16"/>
  <c r="L9" i="18"/>
  <c r="L16" i="16"/>
  <c r="L6" i="18"/>
  <c r="L13" i="16"/>
  <c r="L26" i="18"/>
  <c r="K26" i="18"/>
  <c r="J26" i="18"/>
  <c r="I26" i="18"/>
  <c r="H26" i="18"/>
  <c r="G26" i="18"/>
  <c r="F26" i="18"/>
  <c r="E26" i="18"/>
  <c r="D26" i="18"/>
  <c r="C26" i="18"/>
  <c r="B26" i="18"/>
  <c r="L78" i="16"/>
  <c r="I26" i="42"/>
  <c r="E26" i="42"/>
  <c r="K26" i="42"/>
  <c r="H26" i="42"/>
  <c r="G26" i="42"/>
  <c r="D26" i="42"/>
  <c r="C26" i="42"/>
  <c r="L26" i="42"/>
  <c r="B26" i="42"/>
  <c r="F26" i="42"/>
  <c r="J26" i="42"/>
  <c r="L20" i="36"/>
  <c r="L26" i="36"/>
  <c r="K20" i="36"/>
  <c r="J20" i="36"/>
  <c r="J26" i="36"/>
  <c r="I20" i="36"/>
  <c r="H20" i="36"/>
  <c r="G20" i="36"/>
  <c r="F20" i="36"/>
  <c r="E20" i="36"/>
  <c r="D20" i="36"/>
  <c r="C20" i="36"/>
  <c r="B20" i="36"/>
  <c r="K28" i="11"/>
  <c r="J28" i="11"/>
  <c r="I28" i="11"/>
  <c r="C14" i="16"/>
  <c r="I26" i="36"/>
  <c r="B26" i="36"/>
  <c r="F26" i="36"/>
  <c r="C26" i="36"/>
  <c r="G26" i="36"/>
  <c r="E26" i="36"/>
  <c r="D26" i="36"/>
  <c r="H26" i="36"/>
  <c r="K26" i="36"/>
  <c r="L200" i="16"/>
  <c r="L199" i="16"/>
  <c r="L197" i="16"/>
  <c r="L191" i="16"/>
  <c r="L182" i="16"/>
  <c r="L180" i="16"/>
  <c r="L179" i="16"/>
  <c r="L173" i="16"/>
  <c r="L170" i="16"/>
  <c r="L164" i="16"/>
  <c r="L165" i="16"/>
  <c r="L162" i="16"/>
  <c r="L161" i="16"/>
  <c r="L157" i="16"/>
  <c r="L155" i="16"/>
  <c r="L153" i="16"/>
  <c r="L152" i="16"/>
  <c r="L146" i="16"/>
  <c r="L145" i="16"/>
  <c r="L144" i="16"/>
  <c r="L137" i="16"/>
  <c r="L136" i="16"/>
  <c r="L135" i="16"/>
  <c r="L134" i="16"/>
  <c r="L130" i="16"/>
  <c r="L128" i="16"/>
  <c r="L126" i="16"/>
  <c r="L125" i="16"/>
  <c r="L119" i="16"/>
  <c r="L118" i="16"/>
  <c r="L117" i="16"/>
  <c r="L116" i="16"/>
  <c r="L110" i="16"/>
  <c r="L108" i="16"/>
  <c r="L107" i="16"/>
  <c r="L101" i="16"/>
  <c r="L100" i="16"/>
  <c r="L99" i="16"/>
  <c r="L98" i="16"/>
  <c r="L92" i="16"/>
  <c r="L90" i="16"/>
  <c r="L89" i="16"/>
  <c r="L147" i="16"/>
  <c r="L156" i="16"/>
  <c r="L111" i="16"/>
  <c r="L201" i="16"/>
  <c r="L210" i="16"/>
  <c r="L267" i="16"/>
  <c r="L129" i="16"/>
  <c r="L84" i="16"/>
  <c r="L265" i="16"/>
  <c r="L102" i="16"/>
  <c r="L120" i="16"/>
  <c r="L138" i="16"/>
  <c r="L192" i="16"/>
  <c r="L194" i="16"/>
  <c r="L93" i="16"/>
  <c r="L183" i="16"/>
  <c r="L185" i="16"/>
  <c r="L264" i="16"/>
  <c r="N93" i="16"/>
  <c r="L95" i="16"/>
  <c r="H37" i="27"/>
  <c r="G37" i="27"/>
  <c r="F37" i="27"/>
  <c r="E37" i="27"/>
  <c r="D37" i="27"/>
  <c r="C37" i="27"/>
  <c r="B37" i="27"/>
  <c r="I37" i="27"/>
  <c r="P64" i="16"/>
  <c r="O64" i="16"/>
  <c r="N64" i="16"/>
  <c r="K16" i="16"/>
  <c r="J37" i="27"/>
  <c r="K37" i="27"/>
  <c r="K17" i="27"/>
  <c r="K22" i="27"/>
  <c r="Y81" i="16"/>
  <c r="M62" i="21"/>
  <c r="D63" i="16"/>
  <c r="E63" i="16"/>
  <c r="F63" i="16"/>
  <c r="G63" i="16"/>
  <c r="H63" i="16"/>
  <c r="C63" i="16"/>
  <c r="J17" i="27"/>
  <c r="B206" i="16"/>
  <c r="B209" i="16"/>
  <c r="D196" i="16"/>
  <c r="E196" i="16"/>
  <c r="F196" i="16"/>
  <c r="G196" i="16"/>
  <c r="H196" i="16"/>
  <c r="I196" i="16"/>
  <c r="J196" i="16"/>
  <c r="K196" i="16"/>
  <c r="D197" i="16"/>
  <c r="E197" i="16"/>
  <c r="F197" i="16"/>
  <c r="G197" i="16"/>
  <c r="H197" i="16"/>
  <c r="I197" i="16"/>
  <c r="J197" i="16"/>
  <c r="K197" i="16"/>
  <c r="D199" i="16"/>
  <c r="E199" i="16"/>
  <c r="F199" i="16"/>
  <c r="G199" i="16"/>
  <c r="H199" i="16"/>
  <c r="I199" i="16"/>
  <c r="J199" i="16"/>
  <c r="K199" i="16"/>
  <c r="D200" i="16"/>
  <c r="E200" i="16"/>
  <c r="F200" i="16"/>
  <c r="G200" i="16"/>
  <c r="H200" i="16"/>
  <c r="I200" i="16"/>
  <c r="J200" i="16"/>
  <c r="K200" i="16"/>
  <c r="C197" i="16"/>
  <c r="C199" i="16"/>
  <c r="C200" i="16"/>
  <c r="C196" i="16"/>
  <c r="B197" i="16"/>
  <c r="B199" i="16"/>
  <c r="B200" i="16"/>
  <c r="B196" i="16"/>
  <c r="D187" i="16"/>
  <c r="E187" i="16"/>
  <c r="F187" i="16"/>
  <c r="G187" i="16"/>
  <c r="H187" i="16"/>
  <c r="I187" i="16"/>
  <c r="J187" i="16"/>
  <c r="K187" i="16"/>
  <c r="D188" i="16"/>
  <c r="E188" i="16"/>
  <c r="F188" i="16"/>
  <c r="G188" i="16"/>
  <c r="H188" i="16"/>
  <c r="I188" i="16"/>
  <c r="J188" i="16"/>
  <c r="K188" i="16"/>
  <c r="D189" i="16"/>
  <c r="E189" i="16"/>
  <c r="F189" i="16"/>
  <c r="G189" i="16"/>
  <c r="H189" i="16"/>
  <c r="I189" i="16"/>
  <c r="J189" i="16"/>
  <c r="K189" i="16"/>
  <c r="D190" i="16"/>
  <c r="E190" i="16"/>
  <c r="F190" i="16"/>
  <c r="G190" i="16"/>
  <c r="H190" i="16"/>
  <c r="I190" i="16"/>
  <c r="J190" i="16"/>
  <c r="K190" i="16"/>
  <c r="D191" i="16"/>
  <c r="E191" i="16"/>
  <c r="F191" i="16"/>
  <c r="G191" i="16"/>
  <c r="H191" i="16"/>
  <c r="I191" i="16"/>
  <c r="J191" i="16"/>
  <c r="K191" i="16"/>
  <c r="C188" i="16"/>
  <c r="C189" i="16"/>
  <c r="C190" i="16"/>
  <c r="C191" i="16"/>
  <c r="C187" i="16"/>
  <c r="B188" i="16"/>
  <c r="B189" i="16"/>
  <c r="B190" i="16"/>
  <c r="B191" i="16"/>
  <c r="B187" i="16"/>
  <c r="D178" i="16"/>
  <c r="E178" i="16"/>
  <c r="F178" i="16"/>
  <c r="G178" i="16"/>
  <c r="H178" i="16"/>
  <c r="I178" i="16"/>
  <c r="J178" i="16"/>
  <c r="K178" i="16"/>
  <c r="D179" i="16"/>
  <c r="E179" i="16"/>
  <c r="F179" i="16"/>
  <c r="G179" i="16"/>
  <c r="H179" i="16"/>
  <c r="I179" i="16"/>
  <c r="J179" i="16"/>
  <c r="K179" i="16"/>
  <c r="D180" i="16"/>
  <c r="E180" i="16"/>
  <c r="F180" i="16"/>
  <c r="G180" i="16"/>
  <c r="H180" i="16"/>
  <c r="I180" i="16"/>
  <c r="J180" i="16"/>
  <c r="K180" i="16"/>
  <c r="D181" i="16"/>
  <c r="E181" i="16"/>
  <c r="F181" i="16"/>
  <c r="G181" i="16"/>
  <c r="H181" i="16"/>
  <c r="I181" i="16"/>
  <c r="J181" i="16"/>
  <c r="K181" i="16"/>
  <c r="D182" i="16"/>
  <c r="E182" i="16"/>
  <c r="F182" i="16"/>
  <c r="G182" i="16"/>
  <c r="H182" i="16"/>
  <c r="I182" i="16"/>
  <c r="J182" i="16"/>
  <c r="K182" i="16"/>
  <c r="C179" i="16"/>
  <c r="C180" i="16"/>
  <c r="C181" i="16"/>
  <c r="C182" i="16"/>
  <c r="C178" i="16"/>
  <c r="B179" i="16"/>
  <c r="B180" i="16"/>
  <c r="B181" i="16"/>
  <c r="B182" i="16"/>
  <c r="B178" i="16"/>
  <c r="D170" i="16"/>
  <c r="E170" i="16"/>
  <c r="F170" i="16"/>
  <c r="G170" i="16"/>
  <c r="H170" i="16"/>
  <c r="I170" i="16"/>
  <c r="J170" i="16"/>
  <c r="K170" i="16"/>
  <c r="D173" i="16"/>
  <c r="E173" i="16"/>
  <c r="F173" i="16"/>
  <c r="G173" i="16"/>
  <c r="H173" i="16"/>
  <c r="I173" i="16"/>
  <c r="J173" i="16"/>
  <c r="K173" i="16"/>
  <c r="C170" i="16"/>
  <c r="C173" i="16"/>
  <c r="B170" i="16"/>
  <c r="B173" i="16"/>
  <c r="D161" i="16"/>
  <c r="E161" i="16"/>
  <c r="F161" i="16"/>
  <c r="G161" i="16"/>
  <c r="H161" i="16"/>
  <c r="I161" i="16"/>
  <c r="J161" i="16"/>
  <c r="K161" i="16"/>
  <c r="D162" i="16"/>
  <c r="E162" i="16"/>
  <c r="F162" i="16"/>
  <c r="G162" i="16"/>
  <c r="H162" i="16"/>
  <c r="I162" i="16"/>
  <c r="J162" i="16"/>
  <c r="K162" i="16"/>
  <c r="D164" i="16"/>
  <c r="E164" i="16"/>
  <c r="F164" i="16"/>
  <c r="G164" i="16"/>
  <c r="H164" i="16"/>
  <c r="I164" i="16"/>
  <c r="J164" i="16"/>
  <c r="K164" i="16"/>
  <c r="C161" i="16"/>
  <c r="C162" i="16"/>
  <c r="C164" i="16"/>
  <c r="B161" i="16"/>
  <c r="B162" i="16"/>
  <c r="B164" i="16"/>
  <c r="D152" i="16"/>
  <c r="E152" i="16"/>
  <c r="F152" i="16"/>
  <c r="G152" i="16"/>
  <c r="H152" i="16"/>
  <c r="I152" i="16"/>
  <c r="J152" i="16"/>
  <c r="K152" i="16"/>
  <c r="D153" i="16"/>
  <c r="E153" i="16"/>
  <c r="F153" i="16"/>
  <c r="G153" i="16"/>
  <c r="H153" i="16"/>
  <c r="I153" i="16"/>
  <c r="J153" i="16"/>
  <c r="K153" i="16"/>
  <c r="D155" i="16"/>
  <c r="E155" i="16"/>
  <c r="F155" i="16"/>
  <c r="G155" i="16"/>
  <c r="H155" i="16"/>
  <c r="I155" i="16"/>
  <c r="J155" i="16"/>
  <c r="K155" i="16"/>
  <c r="C152" i="16"/>
  <c r="C153" i="16"/>
  <c r="C155" i="16"/>
  <c r="B152" i="16"/>
  <c r="B153" i="16"/>
  <c r="B155" i="16"/>
  <c r="D144" i="16"/>
  <c r="E144" i="16"/>
  <c r="F144" i="16"/>
  <c r="G144" i="16"/>
  <c r="H144" i="16"/>
  <c r="I144" i="16"/>
  <c r="J144" i="16"/>
  <c r="K144" i="16"/>
  <c r="D145" i="16"/>
  <c r="E145" i="16"/>
  <c r="F145" i="16"/>
  <c r="G145" i="16"/>
  <c r="H145" i="16"/>
  <c r="I145" i="16"/>
  <c r="J145" i="16"/>
  <c r="K145" i="16"/>
  <c r="D146" i="16"/>
  <c r="E146" i="16"/>
  <c r="F146" i="16"/>
  <c r="G146" i="16"/>
  <c r="H146" i="16"/>
  <c r="I146" i="16"/>
  <c r="J146" i="16"/>
  <c r="K146" i="16"/>
  <c r="C144" i="16"/>
  <c r="C145" i="16"/>
  <c r="C146" i="16"/>
  <c r="B144" i="16"/>
  <c r="B145" i="16"/>
  <c r="B146" i="16"/>
  <c r="D136" i="16"/>
  <c r="E136" i="16"/>
  <c r="F136" i="16"/>
  <c r="G136" i="16"/>
  <c r="H136" i="16"/>
  <c r="I136" i="16"/>
  <c r="J136" i="16"/>
  <c r="K136" i="16"/>
  <c r="D137" i="16"/>
  <c r="E137" i="16"/>
  <c r="F137" i="16"/>
  <c r="G137" i="16"/>
  <c r="H137" i="16"/>
  <c r="I137" i="16"/>
  <c r="J137" i="16"/>
  <c r="K137" i="16"/>
  <c r="C136" i="16"/>
  <c r="C137" i="16"/>
  <c r="B136" i="16"/>
  <c r="B137" i="16"/>
  <c r="D125" i="16"/>
  <c r="E125" i="16"/>
  <c r="F125" i="16"/>
  <c r="G125" i="16"/>
  <c r="H125" i="16"/>
  <c r="I125" i="16"/>
  <c r="J125" i="16"/>
  <c r="K125" i="16"/>
  <c r="D126" i="16"/>
  <c r="E126" i="16"/>
  <c r="F126" i="16"/>
  <c r="G126" i="16"/>
  <c r="H126" i="16"/>
  <c r="I126" i="16"/>
  <c r="J126" i="16"/>
  <c r="K126" i="16"/>
  <c r="D128" i="16"/>
  <c r="E128" i="16"/>
  <c r="F128" i="16"/>
  <c r="G128" i="16"/>
  <c r="H128" i="16"/>
  <c r="I128" i="16"/>
  <c r="J128" i="16"/>
  <c r="K128" i="16"/>
  <c r="C125" i="16"/>
  <c r="C126" i="16"/>
  <c r="C128" i="16"/>
  <c r="B125" i="16"/>
  <c r="B126" i="16"/>
  <c r="B128" i="16"/>
  <c r="D116" i="16"/>
  <c r="E116" i="16"/>
  <c r="F116" i="16"/>
  <c r="G116" i="16"/>
  <c r="H116" i="16"/>
  <c r="I116" i="16"/>
  <c r="J116" i="16"/>
  <c r="K116" i="16"/>
  <c r="D117" i="16"/>
  <c r="E117" i="16"/>
  <c r="F117" i="16"/>
  <c r="G117" i="16"/>
  <c r="H117" i="16"/>
  <c r="I117" i="16"/>
  <c r="J117" i="16"/>
  <c r="K117" i="16"/>
  <c r="D119" i="16"/>
  <c r="E119" i="16"/>
  <c r="F119" i="16"/>
  <c r="G119" i="16"/>
  <c r="H119" i="16"/>
  <c r="I119" i="16"/>
  <c r="J119" i="16"/>
  <c r="K119" i="16"/>
  <c r="C116" i="16"/>
  <c r="C117" i="16"/>
  <c r="C119" i="16"/>
  <c r="B116" i="16"/>
  <c r="B117" i="16"/>
  <c r="B119" i="16"/>
  <c r="D107" i="16"/>
  <c r="E107" i="16"/>
  <c r="F107" i="16"/>
  <c r="G107" i="16"/>
  <c r="H107" i="16"/>
  <c r="I107" i="16"/>
  <c r="J107" i="16"/>
  <c r="K107" i="16"/>
  <c r="D108" i="16"/>
  <c r="E108" i="16"/>
  <c r="F108" i="16"/>
  <c r="G108" i="16"/>
  <c r="H108" i="16"/>
  <c r="I108" i="16"/>
  <c r="J108" i="16"/>
  <c r="K108" i="16"/>
  <c r="D110" i="16"/>
  <c r="E110" i="16"/>
  <c r="F110" i="16"/>
  <c r="G110" i="16"/>
  <c r="H110" i="16"/>
  <c r="I110" i="16"/>
  <c r="J110" i="16"/>
  <c r="K110" i="16"/>
  <c r="C107" i="16"/>
  <c r="C108" i="16"/>
  <c r="C110" i="16"/>
  <c r="B107" i="16"/>
  <c r="B108" i="16"/>
  <c r="B110" i="16"/>
  <c r="K98" i="16"/>
  <c r="K99" i="16"/>
  <c r="K100" i="16"/>
  <c r="K101" i="16"/>
  <c r="J97" i="16"/>
  <c r="D98" i="16"/>
  <c r="E98" i="16"/>
  <c r="F98" i="16"/>
  <c r="G98" i="16"/>
  <c r="H98" i="16"/>
  <c r="I98" i="16"/>
  <c r="J98" i="16"/>
  <c r="D99" i="16"/>
  <c r="E99" i="16"/>
  <c r="F99" i="16"/>
  <c r="G99" i="16"/>
  <c r="H99" i="16"/>
  <c r="I99" i="16"/>
  <c r="J99" i="16"/>
  <c r="D100" i="16"/>
  <c r="E100" i="16"/>
  <c r="F100" i="16"/>
  <c r="G100" i="16"/>
  <c r="H100" i="16"/>
  <c r="I100" i="16"/>
  <c r="J100" i="16"/>
  <c r="D101" i="16"/>
  <c r="E101" i="16"/>
  <c r="F101" i="16"/>
  <c r="G101" i="16"/>
  <c r="H101" i="16"/>
  <c r="I101" i="16"/>
  <c r="J101" i="16"/>
  <c r="C98" i="16"/>
  <c r="C99" i="16"/>
  <c r="C100" i="16"/>
  <c r="C101" i="16"/>
  <c r="B98" i="16"/>
  <c r="B99" i="16"/>
  <c r="B100" i="16"/>
  <c r="B101" i="16"/>
  <c r="D89" i="16"/>
  <c r="E89" i="16"/>
  <c r="F89" i="16"/>
  <c r="G89" i="16"/>
  <c r="H89" i="16"/>
  <c r="I89" i="16"/>
  <c r="J89" i="16"/>
  <c r="K89" i="16"/>
  <c r="D90" i="16"/>
  <c r="E90" i="16"/>
  <c r="F90" i="16"/>
  <c r="G90" i="16"/>
  <c r="H90" i="16"/>
  <c r="I90" i="16"/>
  <c r="J90" i="16"/>
  <c r="K90" i="16"/>
  <c r="D92" i="16"/>
  <c r="E92" i="16"/>
  <c r="F92" i="16"/>
  <c r="G92" i="16"/>
  <c r="H92" i="16"/>
  <c r="I92" i="16"/>
  <c r="J92" i="16"/>
  <c r="K92" i="16"/>
  <c r="C89" i="16"/>
  <c r="C90" i="16"/>
  <c r="C92" i="16"/>
  <c r="B89" i="16"/>
  <c r="B90" i="16"/>
  <c r="B92" i="16"/>
  <c r="W81" i="16"/>
  <c r="X81" i="16"/>
  <c r="S83" i="16"/>
  <c r="Y83" i="16"/>
  <c r="W83" i="16"/>
  <c r="X83" i="16"/>
  <c r="J324" i="11"/>
  <c r="K324" i="11"/>
  <c r="L324" i="11"/>
  <c r="I267" i="16"/>
  <c r="I63" i="16"/>
  <c r="B207" i="16"/>
  <c r="J267" i="16"/>
  <c r="B20" i="21"/>
  <c r="J22" i="27"/>
  <c r="L20" i="21"/>
  <c r="H20" i="21"/>
  <c r="H210" i="16"/>
  <c r="D20" i="21"/>
  <c r="D210" i="16"/>
  <c r="K20" i="21"/>
  <c r="K210" i="16"/>
  <c r="G20" i="21"/>
  <c r="G210" i="16"/>
  <c r="C20" i="21"/>
  <c r="J20" i="21"/>
  <c r="F20" i="21"/>
  <c r="F210" i="16"/>
  <c r="I20" i="21"/>
  <c r="E210" i="16"/>
  <c r="E20" i="21"/>
  <c r="B208" i="16"/>
  <c r="C267" i="16"/>
  <c r="S63" i="16"/>
  <c r="H267" i="16"/>
  <c r="D267" i="16"/>
  <c r="G267" i="16"/>
  <c r="F267" i="16"/>
  <c r="Q63" i="16"/>
  <c r="E267" i="16"/>
  <c r="B267" i="16"/>
  <c r="K267" i="16"/>
  <c r="I183" i="16"/>
  <c r="E183" i="16"/>
  <c r="B183" i="16"/>
  <c r="C183" i="16"/>
  <c r="H183" i="16"/>
  <c r="D183" i="16"/>
  <c r="K183" i="16"/>
  <c r="K185" i="16"/>
  <c r="G183" i="16"/>
  <c r="J183" i="16"/>
  <c r="J185" i="16"/>
  <c r="F183" i="16"/>
  <c r="J102" i="16"/>
  <c r="I210" i="16"/>
  <c r="C210" i="16"/>
  <c r="B210" i="16"/>
  <c r="J210" i="16"/>
  <c r="S267" i="16"/>
  <c r="Q267" i="16"/>
  <c r="R267" i="16"/>
  <c r="R63" i="16"/>
  <c r="R192" i="16"/>
  <c r="V281" i="16"/>
  <c r="R281" i="16"/>
  <c r="R295" i="16"/>
  <c r="Q281" i="16"/>
  <c r="Q295" i="16"/>
  <c r="U281" i="16"/>
  <c r="S295" i="16"/>
  <c r="S281" i="16"/>
  <c r="W281" i="16"/>
  <c r="Y307" i="16"/>
  <c r="W307" i="16"/>
  <c r="Y306" i="16"/>
  <c r="Y303" i="16"/>
  <c r="W303" i="16"/>
  <c r="Y302" i="16"/>
  <c r="X302" i="16"/>
  <c r="W302" i="16"/>
  <c r="Y301" i="16"/>
  <c r="X301" i="16"/>
  <c r="W301" i="16"/>
  <c r="Y290" i="16"/>
  <c r="X290" i="16"/>
  <c r="W290" i="16"/>
  <c r="W110" i="16"/>
  <c r="S129" i="16"/>
  <c r="S138" i="16"/>
  <c r="S143" i="16"/>
  <c r="S147" i="16"/>
  <c r="S154" i="16"/>
  <c r="S172" i="16"/>
  <c r="S174" i="16"/>
  <c r="S188" i="16"/>
  <c r="S189" i="16"/>
  <c r="S190" i="16"/>
  <c r="R20" i="16"/>
  <c r="S192" i="16"/>
  <c r="L37" i="27"/>
  <c r="L17" i="27"/>
  <c r="L20" i="23"/>
  <c r="L22" i="27"/>
  <c r="K14" i="22"/>
  <c r="J14" i="22"/>
  <c r="B12" i="8"/>
  <c r="C12" i="8"/>
  <c r="D12" i="8"/>
  <c r="E12" i="8"/>
  <c r="F12" i="8"/>
  <c r="G12" i="8"/>
  <c r="H12" i="8"/>
  <c r="I12" i="8"/>
  <c r="J12" i="8"/>
  <c r="K12" i="8"/>
  <c r="L12" i="8"/>
  <c r="D142" i="16"/>
  <c r="G142" i="16"/>
  <c r="H142" i="16"/>
  <c r="K142" i="16"/>
  <c r="E143" i="16"/>
  <c r="G143" i="16"/>
  <c r="J143" i="16"/>
  <c r="B143" i="16"/>
  <c r="H143" i="16"/>
  <c r="D143" i="16"/>
  <c r="E26" i="8"/>
  <c r="H26" i="8"/>
  <c r="D26" i="8"/>
  <c r="G26" i="8"/>
  <c r="C26" i="8"/>
  <c r="F143" i="16"/>
  <c r="I143" i="16"/>
  <c r="K143" i="16"/>
  <c r="C143" i="16"/>
  <c r="I142" i="16"/>
  <c r="E142" i="16"/>
  <c r="J142" i="16"/>
  <c r="C142" i="16"/>
  <c r="F26" i="8"/>
  <c r="F142" i="16"/>
  <c r="B26" i="8"/>
  <c r="B142" i="16"/>
  <c r="X307" i="16"/>
  <c r="X303" i="16"/>
  <c r="W57" i="16"/>
  <c r="V32" i="16"/>
  <c r="V34" i="16"/>
  <c r="V22" i="16"/>
  <c r="V23" i="16"/>
  <c r="Y327" i="16"/>
  <c r="X327" i="16"/>
  <c r="W327" i="16"/>
  <c r="Y325" i="16"/>
  <c r="X325" i="16"/>
  <c r="W325" i="16"/>
  <c r="Y63" i="16"/>
  <c r="X63" i="16"/>
  <c r="W63" i="16"/>
  <c r="L68" i="36"/>
  <c r="L29" i="36"/>
  <c r="K68" i="36"/>
  <c r="K29" i="36"/>
  <c r="J68" i="36"/>
  <c r="J29" i="36"/>
  <c r="I68" i="36"/>
  <c r="I29" i="36"/>
  <c r="H68" i="36"/>
  <c r="H29" i="36"/>
  <c r="G68" i="36"/>
  <c r="G29" i="36"/>
  <c r="F68" i="36"/>
  <c r="F29" i="36"/>
  <c r="E68" i="36"/>
  <c r="E29" i="36"/>
  <c r="D68" i="36"/>
  <c r="D29" i="36"/>
  <c r="C68" i="36"/>
  <c r="C29" i="36"/>
  <c r="B68" i="36"/>
  <c r="B29" i="36"/>
  <c r="L80" i="36"/>
  <c r="K80" i="36"/>
  <c r="J80" i="36"/>
  <c r="I80" i="36"/>
  <c r="H80" i="36"/>
  <c r="G80" i="36"/>
  <c r="F80" i="36"/>
  <c r="E80" i="36"/>
  <c r="D80" i="36"/>
  <c r="C80" i="36"/>
  <c r="B80" i="36"/>
  <c r="L45" i="36"/>
  <c r="K45" i="36"/>
  <c r="K46" i="36"/>
  <c r="K51" i="36"/>
  <c r="K53" i="36"/>
  <c r="J45" i="36"/>
  <c r="I45" i="36"/>
  <c r="H45" i="36"/>
  <c r="G45" i="36"/>
  <c r="F45" i="36"/>
  <c r="F46" i="36"/>
  <c r="F51" i="36"/>
  <c r="E45" i="36"/>
  <c r="D45" i="36"/>
  <c r="C45" i="36"/>
  <c r="B45" i="36"/>
  <c r="B46" i="36"/>
  <c r="B51" i="36"/>
  <c r="L11" i="36"/>
  <c r="L39" i="36"/>
  <c r="K11" i="36"/>
  <c r="K39" i="36"/>
  <c r="J11" i="36"/>
  <c r="I11" i="36"/>
  <c r="I39" i="36"/>
  <c r="H11" i="36"/>
  <c r="H39" i="36"/>
  <c r="G11" i="36"/>
  <c r="G39" i="36"/>
  <c r="F11" i="36"/>
  <c r="E11" i="36"/>
  <c r="E39" i="36"/>
  <c r="D11" i="36"/>
  <c r="D39" i="36"/>
  <c r="C11" i="36"/>
  <c r="C39" i="36"/>
  <c r="B11" i="36"/>
  <c r="L37" i="34"/>
  <c r="K37" i="34"/>
  <c r="J37" i="34"/>
  <c r="I37" i="34"/>
  <c r="H37" i="34"/>
  <c r="G37" i="34"/>
  <c r="F37" i="34"/>
  <c r="E37" i="34"/>
  <c r="D37" i="34"/>
  <c r="C37" i="34"/>
  <c r="B37" i="34"/>
  <c r="L69" i="35"/>
  <c r="K69" i="35"/>
  <c r="J69" i="35"/>
  <c r="I69" i="35"/>
  <c r="H69" i="35"/>
  <c r="G69" i="35"/>
  <c r="F69" i="35"/>
  <c r="E69" i="35"/>
  <c r="D69" i="35"/>
  <c r="C69" i="35"/>
  <c r="L61" i="35"/>
  <c r="K61" i="35"/>
  <c r="J61" i="35"/>
  <c r="I61" i="35"/>
  <c r="H61" i="35"/>
  <c r="G61" i="35"/>
  <c r="F61" i="35"/>
  <c r="E61" i="35"/>
  <c r="D61" i="35"/>
  <c r="D62" i="35"/>
  <c r="C61" i="35"/>
  <c r="B61" i="35"/>
  <c r="L56" i="35"/>
  <c r="L73" i="35"/>
  <c r="K56" i="35"/>
  <c r="K73" i="35"/>
  <c r="J56" i="35"/>
  <c r="J73" i="35"/>
  <c r="I56" i="35"/>
  <c r="I73" i="35"/>
  <c r="H56" i="35"/>
  <c r="H73" i="35"/>
  <c r="G56" i="35"/>
  <c r="G73" i="35"/>
  <c r="F56" i="35"/>
  <c r="F73" i="35"/>
  <c r="E56" i="35"/>
  <c r="E73" i="35"/>
  <c r="D56" i="35"/>
  <c r="D73" i="35"/>
  <c r="C56" i="35"/>
  <c r="C73" i="35"/>
  <c r="B56" i="35"/>
  <c r="B73" i="35"/>
  <c r="L42" i="35"/>
  <c r="K42" i="35"/>
  <c r="J42" i="35"/>
  <c r="I42" i="35"/>
  <c r="H42" i="35"/>
  <c r="G42" i="35"/>
  <c r="F42" i="35"/>
  <c r="E42" i="35"/>
  <c r="D42" i="35"/>
  <c r="C42" i="35"/>
  <c r="L11" i="35"/>
  <c r="K11" i="35"/>
  <c r="J11" i="35"/>
  <c r="I11" i="35"/>
  <c r="H11" i="35"/>
  <c r="G11" i="35"/>
  <c r="F11" i="35"/>
  <c r="E11" i="35"/>
  <c r="D11" i="35"/>
  <c r="C11" i="35"/>
  <c r="B11" i="35"/>
  <c r="L67" i="34"/>
  <c r="K67" i="34"/>
  <c r="J67" i="34"/>
  <c r="I67" i="34"/>
  <c r="H67" i="34"/>
  <c r="G67" i="34"/>
  <c r="F67" i="34"/>
  <c r="E67" i="34"/>
  <c r="D67" i="34"/>
  <c r="C67" i="34"/>
  <c r="B67" i="34"/>
  <c r="L59" i="34"/>
  <c r="K59" i="34"/>
  <c r="J59" i="34"/>
  <c r="I59" i="34"/>
  <c r="H59" i="34"/>
  <c r="G59" i="34"/>
  <c r="F59" i="34"/>
  <c r="E59" i="34"/>
  <c r="D59" i="34"/>
  <c r="C59" i="34"/>
  <c r="B59" i="34"/>
  <c r="L71" i="34"/>
  <c r="K71" i="34"/>
  <c r="H71" i="34"/>
  <c r="G71" i="34"/>
  <c r="E72" i="34"/>
  <c r="D71" i="34"/>
  <c r="C71" i="34"/>
  <c r="B71" i="34"/>
  <c r="L11" i="34"/>
  <c r="K11" i="34"/>
  <c r="J11" i="34"/>
  <c r="I11" i="34"/>
  <c r="H11" i="34"/>
  <c r="G11" i="34"/>
  <c r="F11" i="34"/>
  <c r="E11" i="34"/>
  <c r="D11" i="34"/>
  <c r="C11" i="34"/>
  <c r="B11" i="34"/>
  <c r="I112" i="16"/>
  <c r="K76" i="36"/>
  <c r="K60" i="36"/>
  <c r="F70" i="35"/>
  <c r="J70" i="35"/>
  <c r="I72" i="34"/>
  <c r="F72" i="34"/>
  <c r="J72" i="34"/>
  <c r="C72" i="34"/>
  <c r="G72" i="34"/>
  <c r="E71" i="34"/>
  <c r="K72" i="34"/>
  <c r="I71" i="34"/>
  <c r="F71" i="34"/>
  <c r="J71" i="34"/>
  <c r="D72" i="34"/>
  <c r="H72" i="34"/>
  <c r="L72" i="34"/>
  <c r="D73" i="36"/>
  <c r="H73" i="36"/>
  <c r="L73" i="36"/>
  <c r="C47" i="36"/>
  <c r="E69" i="36"/>
  <c r="E81" i="36"/>
  <c r="E77" i="36"/>
  <c r="I77" i="36"/>
  <c r="F69" i="36"/>
  <c r="B77" i="36"/>
  <c r="F77" i="36"/>
  <c r="J77" i="36"/>
  <c r="B73" i="36"/>
  <c r="J73" i="36"/>
  <c r="C69" i="36"/>
  <c r="G69" i="36"/>
  <c r="K69" i="36"/>
  <c r="C77" i="36"/>
  <c r="G77" i="36"/>
  <c r="K47" i="36"/>
  <c r="G46" i="36"/>
  <c r="G51" i="36"/>
  <c r="G53" i="36"/>
  <c r="G60" i="36"/>
  <c r="D81" i="36"/>
  <c r="H81" i="36"/>
  <c r="L81" i="36"/>
  <c r="B53" i="36"/>
  <c r="B60" i="36"/>
  <c r="I69" i="36"/>
  <c r="C46" i="36"/>
  <c r="C51" i="36"/>
  <c r="C53" i="36"/>
  <c r="I46" i="36"/>
  <c r="I51" i="36"/>
  <c r="I53" i="36"/>
  <c r="I60" i="36"/>
  <c r="G47" i="36"/>
  <c r="D69" i="36"/>
  <c r="L69" i="36"/>
  <c r="F53" i="36"/>
  <c r="F60" i="36"/>
  <c r="H69" i="36"/>
  <c r="K77" i="36"/>
  <c r="E46" i="36"/>
  <c r="E51" i="36"/>
  <c r="E53" i="36"/>
  <c r="E60" i="36"/>
  <c r="J46" i="36"/>
  <c r="J51" i="36"/>
  <c r="J53" i="36"/>
  <c r="J60" i="36"/>
  <c r="B81" i="36"/>
  <c r="J81" i="36"/>
  <c r="K55" i="36"/>
  <c r="I73" i="36"/>
  <c r="I81" i="36"/>
  <c r="H47" i="36"/>
  <c r="F73" i="36"/>
  <c r="D77" i="36"/>
  <c r="L77" i="36"/>
  <c r="F81" i="36"/>
  <c r="E47" i="36"/>
  <c r="I47" i="36"/>
  <c r="J69" i="36"/>
  <c r="C73" i="36"/>
  <c r="G73" i="36"/>
  <c r="K73" i="36"/>
  <c r="C81" i="36"/>
  <c r="G81" i="36"/>
  <c r="K81" i="36"/>
  <c r="E73" i="36"/>
  <c r="D47" i="36"/>
  <c r="L47" i="36"/>
  <c r="H77" i="36"/>
  <c r="B39" i="36"/>
  <c r="F39" i="36"/>
  <c r="J39" i="36"/>
  <c r="D46" i="36"/>
  <c r="D51" i="36"/>
  <c r="D53" i="36"/>
  <c r="H46" i="36"/>
  <c r="H51" i="36"/>
  <c r="H53" i="36"/>
  <c r="L46" i="36"/>
  <c r="F47" i="36"/>
  <c r="J47" i="36"/>
  <c r="C66" i="35"/>
  <c r="I62" i="35"/>
  <c r="K66" i="35"/>
  <c r="E62" i="35"/>
  <c r="G66" i="35"/>
  <c r="C62" i="35"/>
  <c r="G62" i="35"/>
  <c r="K62" i="35"/>
  <c r="E70" i="35"/>
  <c r="I70" i="35"/>
  <c r="K44" i="35"/>
  <c r="H62" i="35"/>
  <c r="E43" i="35"/>
  <c r="K70" i="35"/>
  <c r="I43" i="35"/>
  <c r="E74" i="35"/>
  <c r="I66" i="35"/>
  <c r="B74" i="35"/>
  <c r="F62" i="35"/>
  <c r="J62" i="35"/>
  <c r="C70" i="35"/>
  <c r="L62" i="35"/>
  <c r="D66" i="35"/>
  <c r="H66" i="35"/>
  <c r="L66" i="35"/>
  <c r="G44" i="35"/>
  <c r="D74" i="35"/>
  <c r="H74" i="35"/>
  <c r="L74" i="35"/>
  <c r="G70" i="35"/>
  <c r="I74" i="35"/>
  <c r="F43" i="35"/>
  <c r="J43" i="35"/>
  <c r="D44" i="35"/>
  <c r="H44" i="35"/>
  <c r="L44" i="35"/>
  <c r="F66" i="35"/>
  <c r="J66" i="35"/>
  <c r="D70" i="35"/>
  <c r="H70" i="35"/>
  <c r="L70" i="35"/>
  <c r="F74" i="35"/>
  <c r="J74" i="35"/>
  <c r="E66" i="35"/>
  <c r="C43" i="35"/>
  <c r="G43" i="35"/>
  <c r="K43" i="35"/>
  <c r="K20" i="35"/>
  <c r="E44" i="35"/>
  <c r="I44" i="35"/>
  <c r="C74" i="35"/>
  <c r="G74" i="35"/>
  <c r="K74" i="35"/>
  <c r="D43" i="35"/>
  <c r="H43" i="35"/>
  <c r="L43" i="35"/>
  <c r="L15" i="35"/>
  <c r="F44" i="35"/>
  <c r="J44" i="35"/>
  <c r="I42" i="34"/>
  <c r="C60" i="34"/>
  <c r="G60" i="34"/>
  <c r="K60" i="34"/>
  <c r="B72" i="34"/>
  <c r="E41" i="34"/>
  <c r="G41" i="34"/>
  <c r="L41" i="34"/>
  <c r="K41" i="34"/>
  <c r="F60" i="34"/>
  <c r="C41" i="34"/>
  <c r="H41" i="34"/>
  <c r="E42" i="34"/>
  <c r="J60" i="34"/>
  <c r="D41" i="34"/>
  <c r="I41" i="34"/>
  <c r="H23" i="34"/>
  <c r="E60" i="34"/>
  <c r="I60" i="34"/>
  <c r="F42" i="34"/>
  <c r="D23" i="34"/>
  <c r="L23" i="34"/>
  <c r="C42" i="34"/>
  <c r="G42" i="34"/>
  <c r="K42" i="34"/>
  <c r="D60" i="34"/>
  <c r="H60" i="34"/>
  <c r="L60" i="34"/>
  <c r="E23" i="34"/>
  <c r="I23" i="34"/>
  <c r="B41" i="34"/>
  <c r="F41" i="34"/>
  <c r="J41" i="34"/>
  <c r="D42" i="34"/>
  <c r="H42" i="34"/>
  <c r="L42" i="34"/>
  <c r="B23" i="34"/>
  <c r="F23" i="34"/>
  <c r="J23" i="34"/>
  <c r="G23" i="34"/>
  <c r="C23" i="34"/>
  <c r="K23" i="34"/>
  <c r="J42" i="34"/>
  <c r="B13" i="16"/>
  <c r="B38" i="16"/>
  <c r="D76" i="36"/>
  <c r="D60" i="36"/>
  <c r="C76" i="36"/>
  <c r="C60" i="36"/>
  <c r="H76" i="36"/>
  <c r="H60" i="36"/>
  <c r="H15" i="35"/>
  <c r="H20" i="35"/>
  <c r="G15" i="35"/>
  <c r="G20" i="35"/>
  <c r="D15" i="35"/>
  <c r="D20" i="35"/>
  <c r="C15" i="35"/>
  <c r="C20" i="35"/>
  <c r="E15" i="35"/>
  <c r="E20" i="35"/>
  <c r="F15" i="35"/>
  <c r="F20" i="35"/>
  <c r="J15" i="35"/>
  <c r="J20" i="35"/>
  <c r="I15" i="35"/>
  <c r="I20" i="35"/>
  <c r="K26" i="35"/>
  <c r="K29" i="35"/>
  <c r="E55" i="36"/>
  <c r="E76" i="36"/>
  <c r="B76" i="36"/>
  <c r="G76" i="36"/>
  <c r="J76" i="36"/>
  <c r="F76" i="36"/>
  <c r="I76" i="36"/>
  <c r="J19" i="34"/>
  <c r="J68" i="34"/>
  <c r="I14" i="34"/>
  <c r="I19" i="34"/>
  <c r="I68" i="34"/>
  <c r="H14" i="34"/>
  <c r="H19" i="34"/>
  <c r="H68" i="34"/>
  <c r="L19" i="34"/>
  <c r="L68" i="34"/>
  <c r="F14" i="34"/>
  <c r="F19" i="34"/>
  <c r="F68" i="34"/>
  <c r="D14" i="34"/>
  <c r="D19" i="34"/>
  <c r="D68" i="34"/>
  <c r="C14" i="34"/>
  <c r="C19" i="34"/>
  <c r="C68" i="34"/>
  <c r="G14" i="34"/>
  <c r="G19" i="34"/>
  <c r="G68" i="34"/>
  <c r="E14" i="34"/>
  <c r="E19" i="34"/>
  <c r="E68" i="34"/>
  <c r="B14" i="34"/>
  <c r="B19" i="34"/>
  <c r="B68" i="34"/>
  <c r="K19" i="34"/>
  <c r="K46" i="34"/>
  <c r="K68" i="34"/>
  <c r="I55" i="36"/>
  <c r="F55" i="36"/>
  <c r="G55" i="36"/>
  <c r="J55" i="36"/>
  <c r="B55" i="36"/>
  <c r="D55" i="36"/>
  <c r="L48" i="36"/>
  <c r="L51" i="36"/>
  <c r="L53" i="36"/>
  <c r="L76" i="36"/>
  <c r="H55" i="36"/>
  <c r="C55" i="36"/>
  <c r="C46" i="34"/>
  <c r="L45" i="35"/>
  <c r="L20" i="35"/>
  <c r="K53" i="35"/>
  <c r="K48" i="35"/>
  <c r="L43" i="34"/>
  <c r="I115" i="16"/>
  <c r="W187" i="16"/>
  <c r="K115" i="16"/>
  <c r="X187" i="16"/>
  <c r="Y188" i="16"/>
  <c r="Y189" i="16"/>
  <c r="Y190" i="16"/>
  <c r="B60" i="16"/>
  <c r="Q345" i="16"/>
  <c r="Q346" i="16"/>
  <c r="Q351" i="16"/>
  <c r="Q353" i="16"/>
  <c r="S345" i="16"/>
  <c r="S346" i="16"/>
  <c r="S351" i="16"/>
  <c r="S353" i="16"/>
  <c r="R345" i="16"/>
  <c r="R346" i="16"/>
  <c r="R351" i="16"/>
  <c r="R353" i="16"/>
  <c r="U60" i="16"/>
  <c r="U64" i="16"/>
  <c r="U297" i="16"/>
  <c r="U309" i="16"/>
  <c r="U329" i="16"/>
  <c r="S329" i="16"/>
  <c r="R329" i="16"/>
  <c r="Q329" i="16"/>
  <c r="U174" i="16"/>
  <c r="U335" i="16"/>
  <c r="R337" i="16"/>
  <c r="S337" i="16"/>
  <c r="Q337" i="16"/>
  <c r="S336" i="16"/>
  <c r="R336" i="16"/>
  <c r="Q336" i="16"/>
  <c r="U334" i="16"/>
  <c r="U336" i="16"/>
  <c r="U337" i="16"/>
  <c r="U192" i="16"/>
  <c r="R174" i="16"/>
  <c r="Q174" i="16"/>
  <c r="R154" i="16"/>
  <c r="R147" i="16"/>
  <c r="Q147" i="16"/>
  <c r="U147" i="16"/>
  <c r="U138" i="16"/>
  <c r="U129" i="16"/>
  <c r="R129" i="16"/>
  <c r="Q129" i="16"/>
  <c r="U111" i="16"/>
  <c r="U18" i="16"/>
  <c r="L10" i="5"/>
  <c r="K10" i="5"/>
  <c r="C10" i="10"/>
  <c r="C11" i="10"/>
  <c r="C38" i="16"/>
  <c r="D13" i="16"/>
  <c r="D38" i="16"/>
  <c r="E13" i="16"/>
  <c r="E38" i="16"/>
  <c r="F13" i="16"/>
  <c r="F38" i="16"/>
  <c r="G13" i="16"/>
  <c r="G38" i="16"/>
  <c r="I38" i="16"/>
  <c r="K14" i="16"/>
  <c r="K15" i="16"/>
  <c r="B16" i="16"/>
  <c r="B41" i="16"/>
  <c r="B14" i="16"/>
  <c r="B39" i="16"/>
  <c r="B15" i="16"/>
  <c r="B40" i="16"/>
  <c r="C39" i="16"/>
  <c r="D14" i="16"/>
  <c r="D39" i="16"/>
  <c r="D15" i="16"/>
  <c r="D40" i="16"/>
  <c r="D16" i="16"/>
  <c r="D41" i="16"/>
  <c r="E14" i="16"/>
  <c r="E39" i="16"/>
  <c r="E15" i="16"/>
  <c r="E40" i="16"/>
  <c r="E16" i="16"/>
  <c r="E41" i="16"/>
  <c r="F14" i="16"/>
  <c r="F39" i="16"/>
  <c r="F15" i="16"/>
  <c r="F40" i="16"/>
  <c r="F16" i="16"/>
  <c r="F41" i="16"/>
  <c r="G14" i="16"/>
  <c r="G39" i="16"/>
  <c r="G15" i="16"/>
  <c r="G40" i="16"/>
  <c r="G16" i="16"/>
  <c r="G41" i="16"/>
  <c r="H14" i="16"/>
  <c r="H39" i="16"/>
  <c r="H15" i="16"/>
  <c r="H40" i="16"/>
  <c r="H16" i="16"/>
  <c r="H41" i="16"/>
  <c r="I14" i="16"/>
  <c r="I39" i="16"/>
  <c r="I15" i="16"/>
  <c r="I40" i="16"/>
  <c r="C15" i="16"/>
  <c r="C40" i="16"/>
  <c r="C16" i="16"/>
  <c r="C41" i="16"/>
  <c r="C61" i="16"/>
  <c r="I41" i="16"/>
  <c r="B10" i="10"/>
  <c r="I10" i="5"/>
  <c r="I10" i="10"/>
  <c r="J10" i="5"/>
  <c r="J11" i="10"/>
  <c r="L11" i="13"/>
  <c r="K11" i="13"/>
  <c r="P18" i="16"/>
  <c r="P20" i="16"/>
  <c r="R138" i="16"/>
  <c r="Q138" i="16"/>
  <c r="S111" i="16"/>
  <c r="R111" i="16"/>
  <c r="Q111" i="16"/>
  <c r="H171" i="16"/>
  <c r="L264" i="11"/>
  <c r="B25" i="19"/>
  <c r="C25" i="19"/>
  <c r="D25" i="19"/>
  <c r="F25" i="19"/>
  <c r="G25" i="19"/>
  <c r="H25" i="19"/>
  <c r="I25" i="19"/>
  <c r="J25" i="19"/>
  <c r="K25" i="19"/>
  <c r="L25" i="19"/>
  <c r="M25" i="19"/>
  <c r="E25" i="19"/>
  <c r="C248" i="11"/>
  <c r="C171" i="16"/>
  <c r="C264" i="11"/>
  <c r="D248" i="11"/>
  <c r="D171" i="16"/>
  <c r="D264" i="11"/>
  <c r="E248" i="11"/>
  <c r="E171" i="16"/>
  <c r="E264" i="11"/>
  <c r="F248" i="11"/>
  <c r="F171" i="16"/>
  <c r="F264" i="11"/>
  <c r="G248" i="11"/>
  <c r="G171" i="16"/>
  <c r="G264" i="11"/>
  <c r="H248" i="11"/>
  <c r="H264" i="11"/>
  <c r="I21" i="24"/>
  <c r="I248" i="11"/>
  <c r="I171" i="16"/>
  <c r="I264" i="11"/>
  <c r="I172" i="16"/>
  <c r="J248" i="11"/>
  <c r="J264" i="11"/>
  <c r="K264" i="11"/>
  <c r="X178" i="16"/>
  <c r="B248" i="11"/>
  <c r="B171" i="16"/>
  <c r="B264" i="11"/>
  <c r="L11" i="14"/>
  <c r="L26" i="14"/>
  <c r="C11" i="14"/>
  <c r="C26" i="14"/>
  <c r="D11" i="14"/>
  <c r="D26" i="14"/>
  <c r="E11" i="14"/>
  <c r="E26" i="14"/>
  <c r="F11" i="14"/>
  <c r="F26" i="14"/>
  <c r="G11" i="14"/>
  <c r="G26" i="14"/>
  <c r="H11" i="14"/>
  <c r="H26" i="14"/>
  <c r="I11" i="14"/>
  <c r="I26" i="14"/>
  <c r="J11" i="14"/>
  <c r="J26" i="14"/>
  <c r="K11" i="14"/>
  <c r="K26" i="14"/>
  <c r="B11" i="14"/>
  <c r="B26" i="14"/>
  <c r="C11" i="12"/>
  <c r="D11" i="12"/>
  <c r="E11" i="12"/>
  <c r="F11" i="12"/>
  <c r="G11" i="12"/>
  <c r="H11" i="12"/>
  <c r="I11" i="12"/>
  <c r="J11" i="12"/>
  <c r="K11" i="12"/>
  <c r="L11" i="12"/>
  <c r="B11" i="12"/>
  <c r="C11" i="11"/>
  <c r="D11" i="11"/>
  <c r="E11" i="11"/>
  <c r="F11" i="11"/>
  <c r="G11" i="11"/>
  <c r="H11" i="11"/>
  <c r="I169" i="16"/>
  <c r="I11" i="11"/>
  <c r="J11" i="11"/>
  <c r="K248" i="11"/>
  <c r="K11" i="11"/>
  <c r="L248" i="11"/>
  <c r="L11" i="11"/>
  <c r="B11" i="11"/>
  <c r="B11" i="17"/>
  <c r="D11" i="10"/>
  <c r="F11" i="10"/>
  <c r="G11" i="10"/>
  <c r="H11" i="10"/>
  <c r="I11" i="10"/>
  <c r="K11" i="10"/>
  <c r="L11" i="10"/>
  <c r="E11" i="10"/>
  <c r="E163" i="16"/>
  <c r="F163" i="16"/>
  <c r="I163" i="16"/>
  <c r="J163" i="16"/>
  <c r="B163" i="16"/>
  <c r="J154" i="16"/>
  <c r="K154" i="16"/>
  <c r="I160" i="16"/>
  <c r="I151" i="16"/>
  <c r="C11" i="9"/>
  <c r="D11" i="9"/>
  <c r="E11" i="9"/>
  <c r="F11" i="9"/>
  <c r="G11" i="9"/>
  <c r="H11" i="9"/>
  <c r="I11" i="9"/>
  <c r="J11" i="9"/>
  <c r="K11" i="9"/>
  <c r="L11" i="9"/>
  <c r="B11" i="9"/>
  <c r="W143" i="16"/>
  <c r="X143" i="16"/>
  <c r="Y143" i="16"/>
  <c r="E134" i="16"/>
  <c r="E264" i="16"/>
  <c r="F134" i="16"/>
  <c r="F264" i="16"/>
  <c r="G134" i="16"/>
  <c r="G264" i="16"/>
  <c r="H134" i="16"/>
  <c r="H264" i="16"/>
  <c r="I134" i="16"/>
  <c r="I264" i="16"/>
  <c r="J134" i="16"/>
  <c r="K134" i="16"/>
  <c r="E135" i="16"/>
  <c r="F135" i="16"/>
  <c r="G135" i="16"/>
  <c r="I135" i="16"/>
  <c r="J135" i="16"/>
  <c r="K135" i="16"/>
  <c r="I124" i="16"/>
  <c r="J124" i="16"/>
  <c r="D118" i="16"/>
  <c r="E11" i="5"/>
  <c r="E118" i="16"/>
  <c r="H118" i="16"/>
  <c r="J118" i="16"/>
  <c r="K11" i="5"/>
  <c r="B11" i="5"/>
  <c r="B118" i="16"/>
  <c r="I91" i="16"/>
  <c r="L11" i="4"/>
  <c r="C11" i="4"/>
  <c r="D11" i="4"/>
  <c r="E11" i="4"/>
  <c r="F11" i="4"/>
  <c r="G11" i="4"/>
  <c r="H11" i="4"/>
  <c r="I11" i="4"/>
  <c r="J11" i="4"/>
  <c r="K11" i="4"/>
  <c r="B11" i="4"/>
  <c r="C11" i="7"/>
  <c r="D11" i="7"/>
  <c r="E11" i="7"/>
  <c r="F11" i="7"/>
  <c r="G11" i="7"/>
  <c r="H135" i="16"/>
  <c r="H11" i="7"/>
  <c r="I11" i="7"/>
  <c r="J11" i="7"/>
  <c r="K11" i="7"/>
  <c r="L11" i="7"/>
  <c r="B11" i="7"/>
  <c r="C11" i="18"/>
  <c r="D11" i="18"/>
  <c r="E11" i="18"/>
  <c r="F11" i="18"/>
  <c r="G11" i="18"/>
  <c r="H11" i="18"/>
  <c r="I11" i="18"/>
  <c r="J11" i="18"/>
  <c r="K11" i="18"/>
  <c r="L11" i="18"/>
  <c r="B11" i="18"/>
  <c r="K97" i="16"/>
  <c r="K102" i="16"/>
  <c r="J22" i="3"/>
  <c r="C11" i="3"/>
  <c r="D11" i="3"/>
  <c r="E11" i="3"/>
  <c r="F11" i="3"/>
  <c r="G11" i="3"/>
  <c r="H11" i="3"/>
  <c r="I11" i="3"/>
  <c r="J11" i="3"/>
  <c r="K11" i="3"/>
  <c r="L11" i="3"/>
  <c r="C11" i="17"/>
  <c r="D11" i="17"/>
  <c r="E11" i="17"/>
  <c r="F11" i="17"/>
  <c r="G11" i="17"/>
  <c r="G78" i="16"/>
  <c r="H11" i="17"/>
  <c r="I11" i="17"/>
  <c r="J11" i="17"/>
  <c r="K11" i="17"/>
  <c r="L11" i="17"/>
  <c r="D78" i="16"/>
  <c r="L20" i="17"/>
  <c r="B78" i="16"/>
  <c r="C53" i="20"/>
  <c r="D53" i="20"/>
  <c r="E53" i="20"/>
  <c r="F53" i="20"/>
  <c r="G53" i="20"/>
  <c r="H53" i="20"/>
  <c r="I53" i="20"/>
  <c r="J53" i="20"/>
  <c r="K53" i="20"/>
  <c r="L53" i="20"/>
  <c r="B53" i="20"/>
  <c r="O18" i="16"/>
  <c r="O20" i="16"/>
  <c r="N18" i="16"/>
  <c r="N20" i="16"/>
  <c r="C11" i="13"/>
  <c r="D11" i="13"/>
  <c r="E11" i="13"/>
  <c r="G11" i="13"/>
  <c r="H11" i="13"/>
  <c r="I11" i="13"/>
  <c r="J11" i="13"/>
  <c r="B11" i="13"/>
  <c r="L60" i="27"/>
  <c r="L52" i="27"/>
  <c r="K60" i="27"/>
  <c r="K52" i="27"/>
  <c r="K65" i="27"/>
  <c r="J60" i="27"/>
  <c r="J61" i="27"/>
  <c r="J52" i="27"/>
  <c r="I60" i="27"/>
  <c r="I52" i="27"/>
  <c r="H60" i="27"/>
  <c r="H52" i="27"/>
  <c r="G60" i="27"/>
  <c r="G52" i="27"/>
  <c r="F60" i="27"/>
  <c r="F52" i="27"/>
  <c r="F75" i="27"/>
  <c r="E60" i="27"/>
  <c r="E52" i="27"/>
  <c r="E75" i="27"/>
  <c r="D60" i="27"/>
  <c r="D52" i="27"/>
  <c r="D75" i="27"/>
  <c r="C60" i="27"/>
  <c r="C52" i="27"/>
  <c r="C75" i="27"/>
  <c r="B60" i="27"/>
  <c r="B52" i="27"/>
  <c r="K72" i="27"/>
  <c r="L71" i="27"/>
  <c r="K71" i="27"/>
  <c r="J71" i="27"/>
  <c r="I71" i="27"/>
  <c r="H71" i="27"/>
  <c r="G71" i="27"/>
  <c r="F71" i="27"/>
  <c r="E71" i="27"/>
  <c r="D71" i="27"/>
  <c r="C71" i="27"/>
  <c r="B71" i="27"/>
  <c r="L70" i="27"/>
  <c r="K70" i="27"/>
  <c r="J70" i="27"/>
  <c r="I70" i="27"/>
  <c r="H70" i="27"/>
  <c r="G70" i="27"/>
  <c r="F70" i="27"/>
  <c r="E70" i="27"/>
  <c r="D70" i="27"/>
  <c r="C70" i="27"/>
  <c r="B70" i="27"/>
  <c r="L69" i="27"/>
  <c r="K69" i="27"/>
  <c r="J69" i="27"/>
  <c r="I69" i="27"/>
  <c r="H69" i="27"/>
  <c r="G69" i="27"/>
  <c r="F69" i="27"/>
  <c r="E69" i="27"/>
  <c r="D69" i="27"/>
  <c r="C69" i="27"/>
  <c r="B69" i="27"/>
  <c r="L68" i="27"/>
  <c r="K68" i="27"/>
  <c r="J68" i="27"/>
  <c r="I68" i="27"/>
  <c r="H68" i="27"/>
  <c r="G68" i="27"/>
  <c r="F68" i="27"/>
  <c r="E68" i="27"/>
  <c r="D68" i="27"/>
  <c r="C68" i="27"/>
  <c r="B68" i="27"/>
  <c r="K29" i="13"/>
  <c r="C29" i="13"/>
  <c r="E29" i="13"/>
  <c r="G29" i="13"/>
  <c r="H29" i="13"/>
  <c r="I29" i="13"/>
  <c r="J28" i="10"/>
  <c r="C166" i="16"/>
  <c r="E166" i="16"/>
  <c r="F166" i="16"/>
  <c r="G166" i="16"/>
  <c r="B166" i="16"/>
  <c r="D157" i="16"/>
  <c r="E157" i="16"/>
  <c r="F157" i="16"/>
  <c r="H157" i="16"/>
  <c r="J30" i="9"/>
  <c r="K30" i="9"/>
  <c r="L30" i="9"/>
  <c r="B157" i="16"/>
  <c r="L11" i="24"/>
  <c r="K11" i="24"/>
  <c r="J11" i="24"/>
  <c r="I11" i="24"/>
  <c r="H11" i="24"/>
  <c r="G11" i="24"/>
  <c r="F11" i="24"/>
  <c r="E11" i="24"/>
  <c r="D11" i="24"/>
  <c r="C11" i="24"/>
  <c r="B11" i="24"/>
  <c r="H21" i="24"/>
  <c r="H27" i="24"/>
  <c r="L21" i="24"/>
  <c r="L27" i="24"/>
  <c r="K21" i="24"/>
  <c r="J21" i="24"/>
  <c r="J27" i="24"/>
  <c r="G21" i="24"/>
  <c r="G27" i="24"/>
  <c r="F21" i="24"/>
  <c r="E21" i="24"/>
  <c r="E27" i="24"/>
  <c r="D21" i="24"/>
  <c r="D27" i="24"/>
  <c r="C21" i="24"/>
  <c r="C27" i="24"/>
  <c r="B21" i="24"/>
  <c r="C30" i="8"/>
  <c r="B30" i="8"/>
  <c r="K29" i="7"/>
  <c r="D139" i="16"/>
  <c r="F139" i="16"/>
  <c r="H139" i="16"/>
  <c r="I29" i="7"/>
  <c r="L27" i="6"/>
  <c r="C130" i="16"/>
  <c r="D130" i="16"/>
  <c r="E130" i="16"/>
  <c r="H130" i="16"/>
  <c r="I27" i="6"/>
  <c r="B130" i="16"/>
  <c r="B11" i="3"/>
  <c r="C12" i="20"/>
  <c r="C16" i="20"/>
  <c r="D12" i="20"/>
  <c r="D16" i="20"/>
  <c r="E12" i="20"/>
  <c r="E16" i="20"/>
  <c r="F12" i="20"/>
  <c r="F16" i="20"/>
  <c r="G12" i="20"/>
  <c r="G16" i="20"/>
  <c r="H12" i="20"/>
  <c r="H16" i="20"/>
  <c r="I12" i="20"/>
  <c r="I16" i="20"/>
  <c r="J12" i="20"/>
  <c r="J16" i="20"/>
  <c r="K12" i="20"/>
  <c r="K16" i="20"/>
  <c r="L12" i="20"/>
  <c r="L16" i="20"/>
  <c r="B12" i="20"/>
  <c r="B16" i="20"/>
  <c r="I103" i="16"/>
  <c r="K103" i="16"/>
  <c r="C103" i="16"/>
  <c r="E103" i="16"/>
  <c r="G103" i="16"/>
  <c r="H103" i="16"/>
  <c r="B25" i="20"/>
  <c r="B31" i="20"/>
  <c r="B41" i="20"/>
  <c r="B45" i="20"/>
  <c r="B35" i="20"/>
  <c r="B39" i="20"/>
  <c r="C25" i="20"/>
  <c r="C31" i="20"/>
  <c r="C35" i="20"/>
  <c r="C39" i="20"/>
  <c r="D25" i="20"/>
  <c r="D31" i="20"/>
  <c r="D35" i="20"/>
  <c r="D41" i="20"/>
  <c r="D45" i="20"/>
  <c r="D39" i="20"/>
  <c r="E25" i="20"/>
  <c r="E60" i="20"/>
  <c r="E73" i="20"/>
  <c r="E31" i="20"/>
  <c r="E41" i="20"/>
  <c r="E45" i="20"/>
  <c r="E35" i="20"/>
  <c r="E39" i="20"/>
  <c r="F25" i="20"/>
  <c r="F80" i="20"/>
  <c r="F31" i="20"/>
  <c r="F35" i="20"/>
  <c r="F39" i="20"/>
  <c r="G25" i="20"/>
  <c r="L27" i="20"/>
  <c r="G31" i="20"/>
  <c r="G35" i="20"/>
  <c r="G39" i="20"/>
  <c r="H25" i="20"/>
  <c r="H26" i="20"/>
  <c r="H31" i="20"/>
  <c r="H35" i="20"/>
  <c r="H39" i="20"/>
  <c r="I25" i="20"/>
  <c r="I80" i="20"/>
  <c r="I60" i="20"/>
  <c r="I83" i="20"/>
  <c r="I31" i="20"/>
  <c r="I35" i="20"/>
  <c r="I39" i="20"/>
  <c r="J25" i="20"/>
  <c r="J31" i="20"/>
  <c r="J35" i="20"/>
  <c r="J41" i="20"/>
  <c r="J45" i="20"/>
  <c r="J39" i="20"/>
  <c r="K25" i="20"/>
  <c r="K31" i="20"/>
  <c r="K35" i="20"/>
  <c r="K39" i="20"/>
  <c r="L25" i="20"/>
  <c r="L31" i="20"/>
  <c r="L35" i="20"/>
  <c r="L39" i="20"/>
  <c r="L9" i="19"/>
  <c r="L11" i="19"/>
  <c r="G9" i="19"/>
  <c r="H9" i="19"/>
  <c r="I9" i="19"/>
  <c r="J9" i="19"/>
  <c r="K9" i="19"/>
  <c r="F9" i="19"/>
  <c r="C285" i="11"/>
  <c r="D285" i="11"/>
  <c r="D286" i="11"/>
  <c r="E285" i="11"/>
  <c r="F285" i="11"/>
  <c r="G285" i="11"/>
  <c r="H285" i="11"/>
  <c r="H286" i="11"/>
  <c r="I285" i="11"/>
  <c r="J285" i="11"/>
  <c r="Q175" i="16"/>
  <c r="K285" i="11"/>
  <c r="L285" i="11"/>
  <c r="B285" i="11"/>
  <c r="C286" i="11"/>
  <c r="C29" i="12"/>
  <c r="G29" i="12"/>
  <c r="K29" i="12"/>
  <c r="C121" i="16"/>
  <c r="D121" i="16"/>
  <c r="E121" i="16"/>
  <c r="F121" i="16"/>
  <c r="G121" i="16"/>
  <c r="H121" i="16"/>
  <c r="I121" i="16"/>
  <c r="Q121" i="16"/>
  <c r="B121" i="16"/>
  <c r="J41" i="16"/>
  <c r="L40" i="16"/>
  <c r="C313" i="11"/>
  <c r="D313" i="11"/>
  <c r="E313" i="11"/>
  <c r="F313" i="11"/>
  <c r="G313" i="11"/>
  <c r="H313" i="11"/>
  <c r="I313" i="11"/>
  <c r="J313" i="11"/>
  <c r="K313" i="11"/>
  <c r="L313" i="11"/>
  <c r="C314" i="11"/>
  <c r="D314" i="11"/>
  <c r="E314" i="11"/>
  <c r="F314" i="11"/>
  <c r="G314" i="11"/>
  <c r="H314" i="11"/>
  <c r="I314" i="11"/>
  <c r="J314" i="11"/>
  <c r="K314" i="11"/>
  <c r="L314" i="11"/>
  <c r="C315" i="11"/>
  <c r="D315" i="11"/>
  <c r="E315" i="11"/>
  <c r="F315" i="11"/>
  <c r="G315" i="11"/>
  <c r="H315" i="11"/>
  <c r="I315" i="11"/>
  <c r="J315" i="11"/>
  <c r="K315" i="11"/>
  <c r="L315" i="11"/>
  <c r="B313" i="11"/>
  <c r="B314" i="11"/>
  <c r="B315" i="11"/>
  <c r="C310" i="11"/>
  <c r="D310" i="11"/>
  <c r="E310" i="11"/>
  <c r="F310" i="11"/>
  <c r="G310" i="11"/>
  <c r="H310" i="11"/>
  <c r="I310" i="11"/>
  <c r="J310" i="11"/>
  <c r="K310" i="11"/>
  <c r="L310" i="11"/>
  <c r="B310" i="11"/>
  <c r="L277" i="11"/>
  <c r="K277" i="11"/>
  <c r="J277" i="11"/>
  <c r="I277" i="11"/>
  <c r="H277" i="11"/>
  <c r="G277" i="11"/>
  <c r="F277" i="11"/>
  <c r="F320" i="11"/>
  <c r="E277" i="11"/>
  <c r="D277" i="11"/>
  <c r="C277" i="11"/>
  <c r="C320" i="11"/>
  <c r="B277" i="11"/>
  <c r="E320" i="11"/>
  <c r="L306" i="11"/>
  <c r="K306" i="11"/>
  <c r="J306" i="11"/>
  <c r="I306" i="11"/>
  <c r="H306" i="11"/>
  <c r="G306" i="11"/>
  <c r="F306" i="11"/>
  <c r="E306" i="11"/>
  <c r="D306" i="11"/>
  <c r="C306" i="11"/>
  <c r="B306" i="11"/>
  <c r="L305" i="11"/>
  <c r="K305" i="11"/>
  <c r="J305" i="11"/>
  <c r="I305" i="11"/>
  <c r="H305" i="11"/>
  <c r="G305" i="11"/>
  <c r="F305" i="11"/>
  <c r="E305" i="11"/>
  <c r="D305" i="11"/>
  <c r="C305" i="11"/>
  <c r="B305" i="11"/>
  <c r="L304" i="11"/>
  <c r="K304" i="11"/>
  <c r="J304" i="11"/>
  <c r="I304" i="11"/>
  <c r="H304" i="11"/>
  <c r="G304" i="11"/>
  <c r="F304" i="11"/>
  <c r="E304" i="11"/>
  <c r="D304" i="11"/>
  <c r="C304" i="11"/>
  <c r="B304" i="11"/>
  <c r="L303" i="11"/>
  <c r="K303" i="11"/>
  <c r="J303" i="11"/>
  <c r="I303" i="11"/>
  <c r="H303" i="11"/>
  <c r="G303" i="11"/>
  <c r="F303" i="11"/>
  <c r="E303" i="11"/>
  <c r="D303" i="11"/>
  <c r="C303" i="11"/>
  <c r="B303" i="11"/>
  <c r="E249" i="11"/>
  <c r="D68" i="20"/>
  <c r="D84" i="20"/>
  <c r="C68" i="20"/>
  <c r="E68" i="20"/>
  <c r="E69" i="20"/>
  <c r="E84" i="20"/>
  <c r="F68" i="20"/>
  <c r="G68" i="20"/>
  <c r="H68" i="20"/>
  <c r="I68" i="20"/>
  <c r="I84" i="20"/>
  <c r="J68" i="20"/>
  <c r="K68" i="20"/>
  <c r="K69" i="20"/>
  <c r="L68" i="20"/>
  <c r="L69" i="20"/>
  <c r="C60" i="20"/>
  <c r="C84" i="20"/>
  <c r="J69" i="20"/>
  <c r="L60" i="20"/>
  <c r="K60" i="20"/>
  <c r="K73" i="20"/>
  <c r="J60" i="20"/>
  <c r="J73" i="20"/>
  <c r="J84" i="20"/>
  <c r="H60" i="20"/>
  <c r="G60" i="20"/>
  <c r="F60" i="20"/>
  <c r="D60" i="20"/>
  <c r="D83" i="20"/>
  <c r="C83" i="20"/>
  <c r="B68" i="20"/>
  <c r="C69" i="20"/>
  <c r="B60" i="20"/>
  <c r="B73" i="20"/>
  <c r="L83" i="20"/>
  <c r="J83" i="20"/>
  <c r="H83" i="20"/>
  <c r="B83" i="20"/>
  <c r="J80" i="20"/>
  <c r="H80" i="20"/>
  <c r="B80" i="20"/>
  <c r="L79" i="20"/>
  <c r="K79" i="20"/>
  <c r="J79" i="20"/>
  <c r="I79" i="20"/>
  <c r="H79" i="20"/>
  <c r="G79" i="20"/>
  <c r="F79" i="20"/>
  <c r="E79" i="20"/>
  <c r="D79" i="20"/>
  <c r="C79" i="20"/>
  <c r="B79" i="20"/>
  <c r="L78" i="20"/>
  <c r="K78" i="20"/>
  <c r="J78" i="20"/>
  <c r="I78" i="20"/>
  <c r="H78" i="20"/>
  <c r="G78" i="20"/>
  <c r="F78" i="20"/>
  <c r="E78" i="20"/>
  <c r="D78" i="20"/>
  <c r="C78" i="20"/>
  <c r="B78" i="20"/>
  <c r="L77" i="20"/>
  <c r="K77" i="20"/>
  <c r="J77" i="20"/>
  <c r="I77" i="20"/>
  <c r="H77" i="20"/>
  <c r="G77" i="20"/>
  <c r="F77" i="20"/>
  <c r="E77" i="20"/>
  <c r="D77" i="20"/>
  <c r="C77" i="20"/>
  <c r="B77" i="20"/>
  <c r="L76" i="20"/>
  <c r="K76" i="20"/>
  <c r="J76" i="20"/>
  <c r="I76" i="20"/>
  <c r="H76" i="20"/>
  <c r="G76" i="20"/>
  <c r="F76" i="20"/>
  <c r="E76" i="20"/>
  <c r="D76" i="20"/>
  <c r="C76" i="20"/>
  <c r="B76" i="20"/>
  <c r="L73" i="20"/>
  <c r="C73" i="20"/>
  <c r="L26" i="20"/>
  <c r="K26" i="20"/>
  <c r="I26" i="20"/>
  <c r="E26" i="20"/>
  <c r="D26" i="20"/>
  <c r="C26" i="20"/>
  <c r="K112" i="16"/>
  <c r="J112" i="16"/>
  <c r="L344" i="11"/>
  <c r="J364" i="11"/>
  <c r="J175" i="16"/>
  <c r="K364" i="11"/>
  <c r="K175" i="16"/>
  <c r="L364" i="11"/>
  <c r="L175" i="16"/>
  <c r="L325" i="11"/>
  <c r="B112" i="16"/>
  <c r="C112" i="16"/>
  <c r="D112" i="16"/>
  <c r="E112" i="16"/>
  <c r="F112" i="16"/>
  <c r="G112" i="16"/>
  <c r="H112" i="16"/>
  <c r="B363" i="11"/>
  <c r="B364" i="11"/>
  <c r="B175" i="16"/>
  <c r="C363" i="11"/>
  <c r="C364" i="11"/>
  <c r="D363" i="11"/>
  <c r="D364" i="11"/>
  <c r="E363" i="11"/>
  <c r="E364" i="11"/>
  <c r="F363" i="11"/>
  <c r="F364" i="11"/>
  <c r="F175" i="16"/>
  <c r="G363" i="11"/>
  <c r="G364" i="11"/>
  <c r="G175" i="16"/>
  <c r="H363" i="11"/>
  <c r="H364" i="11"/>
  <c r="H175" i="16"/>
  <c r="I363" i="11"/>
  <c r="I364" i="11"/>
  <c r="I175" i="16"/>
  <c r="I325" i="11"/>
  <c r="B370" i="11"/>
  <c r="C370" i="11"/>
  <c r="D370" i="11"/>
  <c r="E370" i="11"/>
  <c r="F370" i="11"/>
  <c r="G370" i="11"/>
  <c r="H370" i="11"/>
  <c r="C324" i="11"/>
  <c r="D324" i="11"/>
  <c r="E324" i="11"/>
  <c r="F324" i="11"/>
  <c r="G324" i="11"/>
  <c r="H324" i="11"/>
  <c r="I324" i="11"/>
  <c r="D340" i="11"/>
  <c r="D342" i="11"/>
  <c r="D343" i="11"/>
  <c r="E340" i="11"/>
  <c r="E342" i="11"/>
  <c r="F340" i="11"/>
  <c r="F342" i="11"/>
  <c r="G340" i="11"/>
  <c r="G342" i="11"/>
  <c r="H340" i="11"/>
  <c r="H341" i="11"/>
  <c r="H342" i="11"/>
  <c r="D330" i="11"/>
  <c r="D332" i="11"/>
  <c r="E330" i="11"/>
  <c r="E332" i="11"/>
  <c r="F330" i="11"/>
  <c r="F332" i="11"/>
  <c r="G330" i="11"/>
  <c r="G332" i="11"/>
  <c r="H330" i="11"/>
  <c r="H332" i="11"/>
  <c r="B343" i="11"/>
  <c r="C343" i="11"/>
  <c r="B336" i="11"/>
  <c r="C336" i="11"/>
  <c r="C21" i="8"/>
  <c r="H133" i="16"/>
  <c r="J11" i="5"/>
  <c r="I41" i="20"/>
  <c r="I45" i="20"/>
  <c r="J26" i="20"/>
  <c r="G83" i="20"/>
  <c r="K83" i="20"/>
  <c r="I69" i="20"/>
  <c r="L11" i="5"/>
  <c r="E80" i="20"/>
  <c r="F69" i="20"/>
  <c r="C80" i="20"/>
  <c r="I320" i="11"/>
  <c r="G11" i="5"/>
  <c r="G21" i="8"/>
  <c r="E20" i="17"/>
  <c r="D11" i="5"/>
  <c r="F11" i="5"/>
  <c r="E21" i="8"/>
  <c r="C11" i="5"/>
  <c r="B21" i="8"/>
  <c r="I21" i="8"/>
  <c r="H169" i="16"/>
  <c r="G20" i="12"/>
  <c r="D20" i="13"/>
  <c r="J26" i="3"/>
  <c r="J29" i="3"/>
  <c r="C41" i="20"/>
  <c r="C45" i="20"/>
  <c r="H41" i="20"/>
  <c r="H45" i="20"/>
  <c r="G26" i="20"/>
  <c r="G73" i="20"/>
  <c r="D80" i="20"/>
  <c r="K80" i="20"/>
  <c r="E83" i="20"/>
  <c r="B84" i="20"/>
  <c r="D69" i="20"/>
  <c r="L41" i="20"/>
  <c r="L45" i="20"/>
  <c r="G41" i="20"/>
  <c r="G45" i="20"/>
  <c r="F26" i="20"/>
  <c r="D73" i="20"/>
  <c r="K41" i="20"/>
  <c r="K45" i="20"/>
  <c r="F41" i="20"/>
  <c r="F45" i="20"/>
  <c r="L80" i="20"/>
  <c r="H84" i="20"/>
  <c r="L84" i="20"/>
  <c r="I27" i="24"/>
  <c r="B27" i="24"/>
  <c r="F27" i="24"/>
  <c r="K40" i="16"/>
  <c r="L29" i="13"/>
  <c r="L193" i="16"/>
  <c r="J40" i="16"/>
  <c r="K41" i="16"/>
  <c r="L29" i="12"/>
  <c r="L184" i="16"/>
  <c r="D336" i="11"/>
  <c r="L28" i="10"/>
  <c r="L166" i="16"/>
  <c r="K39" i="16"/>
  <c r="L148" i="16"/>
  <c r="L38" i="16"/>
  <c r="L30" i="8"/>
  <c r="K148" i="16"/>
  <c r="J39" i="16"/>
  <c r="J148" i="16"/>
  <c r="K118" i="16"/>
  <c r="I109" i="16"/>
  <c r="K29" i="4"/>
  <c r="E109" i="16"/>
  <c r="D109" i="16"/>
  <c r="L29" i="4"/>
  <c r="H109" i="16"/>
  <c r="F109" i="16"/>
  <c r="J29" i="4"/>
  <c r="C109" i="16"/>
  <c r="L32" i="17"/>
  <c r="J78" i="16"/>
  <c r="K38" i="16"/>
  <c r="K28" i="18"/>
  <c r="J94" i="16"/>
  <c r="J38" i="16"/>
  <c r="J28" i="18"/>
  <c r="K27" i="24"/>
  <c r="I154" i="16"/>
  <c r="I156" i="16"/>
  <c r="J109" i="16"/>
  <c r="Y172" i="16"/>
  <c r="L48" i="16"/>
  <c r="J127" i="16"/>
  <c r="Q131" i="16"/>
  <c r="B109" i="16"/>
  <c r="G172" i="16"/>
  <c r="D172" i="16"/>
  <c r="E172" i="16"/>
  <c r="H172" i="16"/>
  <c r="H174" i="16"/>
  <c r="F172" i="16"/>
  <c r="B172" i="16"/>
  <c r="C172" i="16"/>
  <c r="B25" i="11"/>
  <c r="B28" i="11"/>
  <c r="C25" i="11"/>
  <c r="C28" i="11"/>
  <c r="G25" i="11"/>
  <c r="G28" i="11"/>
  <c r="D169" i="16"/>
  <c r="F25" i="11"/>
  <c r="F28" i="11"/>
  <c r="H25" i="11"/>
  <c r="H28" i="11"/>
  <c r="E25" i="11"/>
  <c r="E28" i="11"/>
  <c r="B20" i="14"/>
  <c r="D198" i="16"/>
  <c r="D201" i="16"/>
  <c r="B193" i="16"/>
  <c r="B29" i="13"/>
  <c r="F193" i="16"/>
  <c r="F29" i="13"/>
  <c r="D193" i="16"/>
  <c r="D29" i="13"/>
  <c r="J193" i="16"/>
  <c r="J29" i="13"/>
  <c r="H184" i="16"/>
  <c r="H29" i="12"/>
  <c r="D184" i="16"/>
  <c r="D29" i="12"/>
  <c r="J184" i="16"/>
  <c r="J29" i="12"/>
  <c r="F184" i="16"/>
  <c r="F29" i="12"/>
  <c r="B184" i="16"/>
  <c r="B29" i="12"/>
  <c r="I184" i="16"/>
  <c r="I29" i="12"/>
  <c r="E184" i="16"/>
  <c r="E29" i="12"/>
  <c r="I166" i="16"/>
  <c r="I28" i="10"/>
  <c r="K166" i="16"/>
  <c r="K28" i="10"/>
  <c r="G160" i="16"/>
  <c r="H160" i="16"/>
  <c r="F25" i="10"/>
  <c r="F28" i="10"/>
  <c r="D160" i="16"/>
  <c r="B160" i="16"/>
  <c r="B165" i="16"/>
  <c r="I157" i="16"/>
  <c r="I30" i="9"/>
  <c r="G154" i="16"/>
  <c r="C154" i="16"/>
  <c r="F154" i="16"/>
  <c r="B154" i="16"/>
  <c r="E154" i="16"/>
  <c r="H154" i="16"/>
  <c r="D154" i="16"/>
  <c r="B26" i="9"/>
  <c r="B30" i="9"/>
  <c r="G26" i="9"/>
  <c r="G30" i="9"/>
  <c r="C26" i="9"/>
  <c r="C30" i="9"/>
  <c r="F148" i="16"/>
  <c r="F30" i="8"/>
  <c r="I148" i="16"/>
  <c r="I30" i="8"/>
  <c r="E148" i="16"/>
  <c r="E30" i="8"/>
  <c r="K30" i="8"/>
  <c r="B148" i="16"/>
  <c r="H148" i="16"/>
  <c r="H30" i="8"/>
  <c r="D148" i="16"/>
  <c r="D30" i="8"/>
  <c r="J30" i="8"/>
  <c r="G30" i="8"/>
  <c r="L29" i="7"/>
  <c r="J139" i="16"/>
  <c r="J29" i="7"/>
  <c r="D135" i="16"/>
  <c r="B135" i="16"/>
  <c r="C135" i="16"/>
  <c r="D134" i="16"/>
  <c r="D264" i="16"/>
  <c r="C134" i="16"/>
  <c r="C264" i="16"/>
  <c r="B134" i="16"/>
  <c r="B264" i="16"/>
  <c r="G25" i="7"/>
  <c r="G29" i="7"/>
  <c r="H25" i="7"/>
  <c r="H29" i="7"/>
  <c r="F29" i="7"/>
  <c r="F25" i="7"/>
  <c r="D25" i="7"/>
  <c r="D29" i="7"/>
  <c r="J130" i="16"/>
  <c r="J27" i="6"/>
  <c r="K130" i="16"/>
  <c r="K27" i="6"/>
  <c r="B127" i="16"/>
  <c r="B62" i="16"/>
  <c r="G127" i="16"/>
  <c r="C62" i="16"/>
  <c r="C48" i="16"/>
  <c r="H127" i="16"/>
  <c r="F127" i="16"/>
  <c r="D127" i="16"/>
  <c r="B59" i="16"/>
  <c r="C20" i="6"/>
  <c r="H20" i="6"/>
  <c r="F27" i="6"/>
  <c r="F24" i="6"/>
  <c r="D124" i="16"/>
  <c r="G30" i="5"/>
  <c r="B30" i="5"/>
  <c r="H30" i="5"/>
  <c r="F115" i="16"/>
  <c r="F30" i="5"/>
  <c r="D30" i="5"/>
  <c r="E115" i="16"/>
  <c r="E120" i="16"/>
  <c r="C30" i="5"/>
  <c r="B106" i="16"/>
  <c r="B26" i="4"/>
  <c r="B29" i="4"/>
  <c r="H106" i="16"/>
  <c r="H29" i="4"/>
  <c r="H26" i="4"/>
  <c r="E106" i="16"/>
  <c r="E26" i="4"/>
  <c r="E29" i="4"/>
  <c r="F106" i="16"/>
  <c r="F111" i="16"/>
  <c r="F26" i="4"/>
  <c r="F29" i="4"/>
  <c r="I106" i="16"/>
  <c r="I111" i="16"/>
  <c r="I26" i="4"/>
  <c r="I29" i="4"/>
  <c r="C106" i="16"/>
  <c r="C111" i="16"/>
  <c r="C26" i="4"/>
  <c r="C29" i="4"/>
  <c r="G106" i="16"/>
  <c r="G26" i="4"/>
  <c r="G29" i="4"/>
  <c r="D106" i="16"/>
  <c r="D29" i="4"/>
  <c r="D26" i="4"/>
  <c r="H97" i="16"/>
  <c r="H102" i="16"/>
  <c r="J88" i="16"/>
  <c r="C53" i="35"/>
  <c r="C48" i="35"/>
  <c r="C29" i="35"/>
  <c r="C26" i="35"/>
  <c r="D26" i="35"/>
  <c r="D48" i="35"/>
  <c r="D53" i="35"/>
  <c r="D29" i="35"/>
  <c r="F48" i="35"/>
  <c r="F53" i="35"/>
  <c r="F29" i="35"/>
  <c r="F26" i="35"/>
  <c r="G29" i="35"/>
  <c r="G26" i="35"/>
  <c r="G48" i="35"/>
  <c r="G53" i="35"/>
  <c r="E53" i="35"/>
  <c r="E29" i="35"/>
  <c r="E48" i="35"/>
  <c r="E26" i="35"/>
  <c r="H53" i="35"/>
  <c r="H26" i="35"/>
  <c r="H48" i="35"/>
  <c r="H29" i="35"/>
  <c r="B51" i="34"/>
  <c r="B26" i="34"/>
  <c r="G51" i="34"/>
  <c r="G26" i="34"/>
  <c r="D51" i="34"/>
  <c r="D26" i="34"/>
  <c r="I51" i="34"/>
  <c r="I26" i="34"/>
  <c r="K51" i="34"/>
  <c r="K26" i="34"/>
  <c r="E46" i="34"/>
  <c r="E26" i="34"/>
  <c r="C51" i="34"/>
  <c r="C26" i="34"/>
  <c r="F51" i="34"/>
  <c r="F26" i="34"/>
  <c r="H51" i="34"/>
  <c r="H26" i="34"/>
  <c r="L51" i="34"/>
  <c r="L26" i="34"/>
  <c r="J51" i="34"/>
  <c r="J26" i="34"/>
  <c r="B91" i="16"/>
  <c r="F91" i="16"/>
  <c r="H91" i="16"/>
  <c r="G91" i="16"/>
  <c r="E21" i="18"/>
  <c r="G88" i="16"/>
  <c r="J53" i="35"/>
  <c r="J29" i="35"/>
  <c r="J48" i="35"/>
  <c r="J26" i="35"/>
  <c r="I26" i="35"/>
  <c r="I48" i="35"/>
  <c r="I53" i="35"/>
  <c r="I29" i="35"/>
  <c r="L26" i="35"/>
  <c r="L29" i="35"/>
  <c r="F78" i="16"/>
  <c r="K78" i="16"/>
  <c r="E32" i="17"/>
  <c r="L46" i="34"/>
  <c r="D46" i="34"/>
  <c r="F46" i="34"/>
  <c r="J46" i="34"/>
  <c r="I46" i="34"/>
  <c r="E51" i="34"/>
  <c r="G46" i="34"/>
  <c r="B46" i="34"/>
  <c r="H46" i="34"/>
  <c r="B53" i="16"/>
  <c r="B46" i="16"/>
  <c r="F198" i="16"/>
  <c r="F201" i="16"/>
  <c r="E20" i="14"/>
  <c r="E343" i="11"/>
  <c r="I286" i="11"/>
  <c r="I300" i="11"/>
  <c r="I249" i="11"/>
  <c r="B321" i="11"/>
  <c r="D20" i="9"/>
  <c r="F130" i="16"/>
  <c r="H94" i="16"/>
  <c r="D61" i="27"/>
  <c r="G61" i="27"/>
  <c r="H61" i="27"/>
  <c r="K61" i="27"/>
  <c r="L61" i="27"/>
  <c r="G76" i="27"/>
  <c r="I76" i="27"/>
  <c r="K76" i="27"/>
  <c r="K106" i="16"/>
  <c r="E61" i="27"/>
  <c r="F61" i="27"/>
  <c r="I61" i="27"/>
  <c r="B76" i="27"/>
  <c r="H76" i="27"/>
  <c r="J76" i="27"/>
  <c r="L76" i="27"/>
  <c r="E336" i="11"/>
  <c r="J321" i="11"/>
  <c r="G94" i="16"/>
  <c r="H20" i="14"/>
  <c r="H29" i="14"/>
  <c r="E127" i="16"/>
  <c r="I165" i="16"/>
  <c r="E20" i="10"/>
  <c r="J24" i="5"/>
  <c r="J33" i="5"/>
  <c r="D94" i="16"/>
  <c r="K94" i="16"/>
  <c r="K23" i="22"/>
  <c r="H23" i="22"/>
  <c r="F23" i="22"/>
  <c r="J23" i="22"/>
  <c r="D23" i="22"/>
  <c r="C20" i="23"/>
  <c r="G20" i="23"/>
  <c r="E20" i="23"/>
  <c r="B20" i="23"/>
  <c r="F20" i="23"/>
  <c r="I20" i="23"/>
  <c r="H23" i="28"/>
  <c r="E23" i="28"/>
  <c r="H75" i="27"/>
  <c r="G61" i="16"/>
  <c r="G47" i="16"/>
  <c r="F20" i="14"/>
  <c r="I20" i="14"/>
  <c r="I198" i="16"/>
  <c r="I201" i="16"/>
  <c r="B198" i="16"/>
  <c r="B201" i="16"/>
  <c r="H198" i="16"/>
  <c r="H201" i="16"/>
  <c r="C175" i="16"/>
  <c r="K171" i="16"/>
  <c r="X171" i="16"/>
  <c r="E175" i="16"/>
  <c r="J171" i="16"/>
  <c r="D175" i="16"/>
  <c r="L20" i="10"/>
  <c r="I20" i="10"/>
  <c r="H20" i="10"/>
  <c r="H163" i="16"/>
  <c r="D20" i="10"/>
  <c r="D163" i="16"/>
  <c r="B20" i="10"/>
  <c r="K160" i="16"/>
  <c r="K165" i="16"/>
  <c r="G20" i="10"/>
  <c r="G163" i="16"/>
  <c r="C163" i="16"/>
  <c r="J157" i="16"/>
  <c r="Y151" i="16"/>
  <c r="J151" i="16"/>
  <c r="W151" i="16"/>
  <c r="J20" i="7"/>
  <c r="J133" i="16"/>
  <c r="W133" i="16"/>
  <c r="R60" i="16"/>
  <c r="K264" i="16"/>
  <c r="E60" i="16"/>
  <c r="E46" i="16"/>
  <c r="S60" i="16"/>
  <c r="J264" i="16"/>
  <c r="Q60" i="16"/>
  <c r="K124" i="16"/>
  <c r="X124" i="16"/>
  <c r="Y127" i="16"/>
  <c r="K127" i="16"/>
  <c r="X127" i="16"/>
  <c r="Y124" i="16"/>
  <c r="D24" i="5"/>
  <c r="C118" i="16"/>
  <c r="G24" i="5"/>
  <c r="G118" i="16"/>
  <c r="J115" i="16"/>
  <c r="J120" i="16"/>
  <c r="F24" i="5"/>
  <c r="F118" i="16"/>
  <c r="I24" i="5"/>
  <c r="I118" i="16"/>
  <c r="K120" i="16"/>
  <c r="J106" i="16"/>
  <c r="J103" i="16"/>
  <c r="D22" i="3"/>
  <c r="D97" i="16"/>
  <c r="D102" i="16"/>
  <c r="I22" i="3"/>
  <c r="I97" i="16"/>
  <c r="I102" i="16"/>
  <c r="H22" i="3"/>
  <c r="L22" i="3"/>
  <c r="B22" i="3"/>
  <c r="B97" i="16"/>
  <c r="B102" i="16"/>
  <c r="C22" i="3"/>
  <c r="C97" i="16"/>
  <c r="C102" i="16"/>
  <c r="F22" i="3"/>
  <c r="F97" i="16"/>
  <c r="F102" i="16"/>
  <c r="E22" i="3"/>
  <c r="E97" i="16"/>
  <c r="E102" i="16"/>
  <c r="G22" i="3"/>
  <c r="G97" i="16"/>
  <c r="G102" i="16"/>
  <c r="C94" i="16"/>
  <c r="E94" i="16"/>
  <c r="K91" i="16"/>
  <c r="D91" i="16"/>
  <c r="J91" i="16"/>
  <c r="C91" i="16"/>
  <c r="E88" i="16"/>
  <c r="H62" i="16"/>
  <c r="C88" i="16"/>
  <c r="B21" i="18"/>
  <c r="B88" i="16"/>
  <c r="E91" i="16"/>
  <c r="I84" i="16"/>
  <c r="B69" i="16"/>
  <c r="E69" i="16"/>
  <c r="I69" i="16"/>
  <c r="H69" i="16"/>
  <c r="F69" i="16"/>
  <c r="J69" i="16"/>
  <c r="C69" i="16"/>
  <c r="G69" i="16"/>
  <c r="K69" i="16"/>
  <c r="D69" i="16"/>
  <c r="K75" i="27"/>
  <c r="L39" i="16"/>
  <c r="T20" i="16"/>
  <c r="J23" i="28"/>
  <c r="K23" i="28"/>
  <c r="F61" i="16"/>
  <c r="F47" i="16"/>
  <c r="F20" i="13"/>
  <c r="I60" i="16"/>
  <c r="I46" i="16"/>
  <c r="X188" i="16"/>
  <c r="H60" i="16"/>
  <c r="H46" i="16"/>
  <c r="D60" i="16"/>
  <c r="D46" i="16"/>
  <c r="E62" i="16"/>
  <c r="D62" i="16"/>
  <c r="X189" i="16"/>
  <c r="G192" i="16"/>
  <c r="G60" i="16"/>
  <c r="G46" i="16"/>
  <c r="C60" i="16"/>
  <c r="C46" i="16"/>
  <c r="I61" i="16"/>
  <c r="I47" i="16"/>
  <c r="H61" i="16"/>
  <c r="H47" i="16"/>
  <c r="E61" i="16"/>
  <c r="E47" i="16"/>
  <c r="F11" i="13"/>
  <c r="F60" i="16"/>
  <c r="F46" i="16"/>
  <c r="I20" i="4"/>
  <c r="F25" i="16"/>
  <c r="V14" i="16"/>
  <c r="H20" i="13"/>
  <c r="H13" i="16"/>
  <c r="H38" i="16"/>
  <c r="C20" i="12"/>
  <c r="D20" i="12"/>
  <c r="F300" i="11"/>
  <c r="G300" i="11"/>
  <c r="C169" i="16"/>
  <c r="F307" i="11"/>
  <c r="G249" i="11"/>
  <c r="G307" i="11"/>
  <c r="H321" i="11"/>
  <c r="L321" i="11"/>
  <c r="G169" i="16"/>
  <c r="D307" i="11"/>
  <c r="G343" i="11"/>
  <c r="F249" i="11"/>
  <c r="J249" i="11"/>
  <c r="B307" i="11"/>
  <c r="H307" i="11"/>
  <c r="E321" i="11"/>
  <c r="C249" i="11"/>
  <c r="C307" i="11"/>
  <c r="K307" i="11"/>
  <c r="K286" i="11"/>
  <c r="J307" i="11"/>
  <c r="H336" i="11"/>
  <c r="D249" i="11"/>
  <c r="H249" i="11"/>
  <c r="B300" i="11"/>
  <c r="E307" i="11"/>
  <c r="B320" i="11"/>
  <c r="L20" i="11"/>
  <c r="Y154" i="16"/>
  <c r="L20" i="9"/>
  <c r="E20" i="9"/>
  <c r="G133" i="16"/>
  <c r="G138" i="16"/>
  <c r="B139" i="16"/>
  <c r="C139" i="16"/>
  <c r="B20" i="7"/>
  <c r="H20" i="7"/>
  <c r="B20" i="6"/>
  <c r="H11" i="5"/>
  <c r="H20" i="4"/>
  <c r="K109" i="16"/>
  <c r="J21" i="18"/>
  <c r="F94" i="16"/>
  <c r="C21" i="18"/>
  <c r="W329" i="16"/>
  <c r="W322" i="16"/>
  <c r="X154" i="16"/>
  <c r="X190" i="16"/>
  <c r="L20" i="4"/>
  <c r="Y110" i="16"/>
  <c r="W190" i="16"/>
  <c r="W154" i="16"/>
  <c r="J20" i="9"/>
  <c r="E300" i="11"/>
  <c r="E286" i="11"/>
  <c r="F336" i="11"/>
  <c r="F343" i="11"/>
  <c r="L249" i="11"/>
  <c r="L307" i="11"/>
  <c r="H320" i="11"/>
  <c r="C20" i="11"/>
  <c r="D20" i="11"/>
  <c r="H20" i="11"/>
  <c r="I20" i="11"/>
  <c r="L286" i="11"/>
  <c r="G336" i="11"/>
  <c r="L250" i="11"/>
  <c r="H300" i="11"/>
  <c r="H343" i="11"/>
  <c r="K321" i="11"/>
  <c r="L300" i="11"/>
  <c r="L320" i="11"/>
  <c r="J169" i="16"/>
  <c r="W169" i="16"/>
  <c r="K249" i="11"/>
  <c r="W124" i="16"/>
  <c r="J20" i="6"/>
  <c r="J20" i="4"/>
  <c r="W97" i="16"/>
  <c r="E25" i="16"/>
  <c r="C25" i="16"/>
  <c r="C321" i="11"/>
  <c r="C300" i="11"/>
  <c r="C27" i="16"/>
  <c r="E27" i="16"/>
  <c r="E20" i="13"/>
  <c r="B192" i="16"/>
  <c r="B20" i="13"/>
  <c r="Y187" i="16"/>
  <c r="L20" i="13"/>
  <c r="H193" i="16"/>
  <c r="G20" i="13"/>
  <c r="K20" i="13"/>
  <c r="K20" i="12"/>
  <c r="K20" i="10"/>
  <c r="K22" i="3"/>
  <c r="R338" i="16"/>
  <c r="R355" i="16"/>
  <c r="I75" i="27"/>
  <c r="E76" i="27"/>
  <c r="L75" i="27"/>
  <c r="C76" i="27"/>
  <c r="G75" i="27"/>
  <c r="L65" i="27"/>
  <c r="D76" i="27"/>
  <c r="B75" i="27"/>
  <c r="J75" i="27"/>
  <c r="F76" i="27"/>
  <c r="J65" i="27"/>
  <c r="L55" i="36"/>
  <c r="L60" i="36"/>
  <c r="L53" i="35"/>
  <c r="L48" i="35"/>
  <c r="Q192" i="16"/>
  <c r="Q384" i="16"/>
  <c r="Q338" i="16"/>
  <c r="R384" i="16"/>
  <c r="S384" i="16"/>
  <c r="Q355" i="16"/>
  <c r="S338" i="16"/>
  <c r="S355" i="16"/>
  <c r="U338" i="16"/>
  <c r="J26" i="16"/>
  <c r="H27" i="16"/>
  <c r="G26" i="16"/>
  <c r="B26" i="16"/>
  <c r="K25" i="16"/>
  <c r="K24" i="16"/>
  <c r="G24" i="16"/>
  <c r="C24" i="16"/>
  <c r="G25" i="16"/>
  <c r="I24" i="16"/>
  <c r="C26" i="16"/>
  <c r="I26" i="16"/>
  <c r="E26" i="16"/>
  <c r="E24" i="16"/>
  <c r="I27" i="16"/>
  <c r="I25" i="16"/>
  <c r="G27" i="16"/>
  <c r="K26" i="16"/>
  <c r="K27" i="16"/>
  <c r="D27" i="16"/>
  <c r="J25" i="16"/>
  <c r="H26" i="16"/>
  <c r="D26" i="16"/>
  <c r="B25" i="16"/>
  <c r="L25" i="16"/>
  <c r="F24" i="16"/>
  <c r="H25" i="16"/>
  <c r="F27" i="16"/>
  <c r="D25" i="16"/>
  <c r="B27" i="16"/>
  <c r="L26" i="16"/>
  <c r="J27" i="16"/>
  <c r="F26" i="16"/>
  <c r="L24" i="16"/>
  <c r="D24" i="16"/>
  <c r="J24" i="16"/>
  <c r="Q25" i="16"/>
  <c r="Q26" i="16"/>
  <c r="Q27" i="16"/>
  <c r="Q24" i="16"/>
  <c r="S27" i="16"/>
  <c r="S24" i="16"/>
  <c r="S25" i="16"/>
  <c r="S26" i="16"/>
  <c r="R26" i="16"/>
  <c r="R27" i="16"/>
  <c r="R24" i="16"/>
  <c r="R25" i="16"/>
  <c r="B24" i="16"/>
  <c r="H6" i="16"/>
  <c r="B147" i="16"/>
  <c r="C147" i="16"/>
  <c r="F6" i="16"/>
  <c r="C5" i="16"/>
  <c r="C6" i="16"/>
  <c r="D6" i="16"/>
  <c r="G5" i="16"/>
  <c r="J6" i="16"/>
  <c r="K5" i="16"/>
  <c r="K6" i="16"/>
  <c r="G6" i="16"/>
  <c r="L6" i="16"/>
  <c r="D5" i="16"/>
  <c r="H5" i="16"/>
  <c r="L5" i="16"/>
  <c r="E5" i="16"/>
  <c r="I5" i="16"/>
  <c r="I6" i="16"/>
  <c r="E6" i="16"/>
  <c r="F5" i="16"/>
  <c r="J5" i="16"/>
  <c r="K300" i="11"/>
  <c r="K320" i="11"/>
  <c r="I321" i="11"/>
  <c r="F20" i="4"/>
  <c r="I20" i="9"/>
  <c r="H138" i="16"/>
  <c r="Y115" i="16"/>
  <c r="L24" i="5"/>
  <c r="L33" i="5"/>
  <c r="X115" i="16"/>
  <c r="K24" i="5"/>
  <c r="K33" i="5"/>
  <c r="I11" i="5"/>
  <c r="F18" i="16"/>
  <c r="J18" i="16"/>
  <c r="K18" i="16"/>
  <c r="C18" i="16"/>
  <c r="F321" i="11"/>
  <c r="G286" i="11"/>
  <c r="E139" i="16"/>
  <c r="K193" i="16"/>
  <c r="G151" i="16"/>
  <c r="J160" i="16"/>
  <c r="J165" i="16"/>
  <c r="B20" i="4"/>
  <c r="B20" i="17"/>
  <c r="F84" i="20"/>
  <c r="F83" i="20"/>
  <c r="F73" i="20"/>
  <c r="F286" i="11"/>
  <c r="D321" i="11"/>
  <c r="D300" i="11"/>
  <c r="D320" i="11"/>
  <c r="I94" i="16"/>
  <c r="I130" i="16"/>
  <c r="G139" i="16"/>
  <c r="G157" i="16"/>
  <c r="C157" i="16"/>
  <c r="H166" i="16"/>
  <c r="D166" i="16"/>
  <c r="J166" i="16"/>
  <c r="C193" i="16"/>
  <c r="B151" i="16"/>
  <c r="E18" i="16"/>
  <c r="F103" i="16"/>
  <c r="C151" i="16"/>
  <c r="F160" i="16"/>
  <c r="F165" i="16"/>
  <c r="E20" i="4"/>
  <c r="F20" i="9"/>
  <c r="K20" i="6"/>
  <c r="G320" i="11"/>
  <c r="H73" i="20"/>
  <c r="K184" i="16"/>
  <c r="G184" i="16"/>
  <c r="C184" i="16"/>
  <c r="B94" i="16"/>
  <c r="I73" i="20"/>
  <c r="I139" i="16"/>
  <c r="G148" i="16"/>
  <c r="C148" i="16"/>
  <c r="X306" i="16"/>
  <c r="E193" i="16"/>
  <c r="F124" i="16"/>
  <c r="K157" i="16"/>
  <c r="I307" i="11"/>
  <c r="G130" i="16"/>
  <c r="I193" i="16"/>
  <c r="L72" i="27"/>
  <c r="K151" i="16"/>
  <c r="F20" i="12"/>
  <c r="G321" i="11"/>
  <c r="G80" i="20"/>
  <c r="H69" i="20"/>
  <c r="G69" i="20"/>
  <c r="G84" i="20"/>
  <c r="J300" i="11"/>
  <c r="J320" i="11"/>
  <c r="J286" i="11"/>
  <c r="B103" i="16"/>
  <c r="D103" i="16"/>
  <c r="K139" i="16"/>
  <c r="G193" i="16"/>
  <c r="I127" i="16"/>
  <c r="J72" i="27"/>
  <c r="G20" i="7"/>
  <c r="Y335" i="16"/>
  <c r="C198" i="16"/>
  <c r="C201" i="16"/>
  <c r="D18" i="16"/>
  <c r="G20" i="17"/>
  <c r="G20" i="6"/>
  <c r="K21" i="8"/>
  <c r="I147" i="16"/>
  <c r="G147" i="16"/>
  <c r="E147" i="16"/>
  <c r="B20" i="12"/>
  <c r="D20" i="4"/>
  <c r="G18" i="16"/>
  <c r="K84" i="20"/>
  <c r="C61" i="27"/>
  <c r="C20" i="4"/>
  <c r="B17" i="16"/>
  <c r="B18" i="16"/>
  <c r="B11" i="10"/>
  <c r="I18" i="16"/>
  <c r="L20" i="6"/>
  <c r="I174" i="16"/>
  <c r="C174" i="16"/>
  <c r="G174" i="16"/>
  <c r="E111" i="16"/>
  <c r="K26" i="3"/>
  <c r="K29" i="3"/>
  <c r="E26" i="3"/>
  <c r="E29" i="3"/>
  <c r="C26" i="3"/>
  <c r="C29" i="3"/>
  <c r="H29" i="3"/>
  <c r="H26" i="3"/>
  <c r="D29" i="3"/>
  <c r="D26" i="3"/>
  <c r="L29" i="3"/>
  <c r="L26" i="3"/>
  <c r="G26" i="3"/>
  <c r="G29" i="3"/>
  <c r="F26" i="3"/>
  <c r="F29" i="3"/>
  <c r="B26" i="3"/>
  <c r="B29" i="3"/>
  <c r="I26" i="3"/>
  <c r="I29" i="3"/>
  <c r="D174" i="16"/>
  <c r="G165" i="16"/>
  <c r="C115" i="16"/>
  <c r="C120" i="16"/>
  <c r="D115" i="16"/>
  <c r="D120" i="16"/>
  <c r="H115" i="16"/>
  <c r="H120" i="16"/>
  <c r="H24" i="5"/>
  <c r="H33" i="5"/>
  <c r="C24" i="5"/>
  <c r="D111" i="16"/>
  <c r="H111" i="16"/>
  <c r="B266" i="16"/>
  <c r="B93" i="16"/>
  <c r="H20" i="17"/>
  <c r="H32" i="17"/>
  <c r="H78" i="16"/>
  <c r="H84" i="16"/>
  <c r="K20" i="17"/>
  <c r="C20" i="17"/>
  <c r="C78" i="16"/>
  <c r="C84" i="16"/>
  <c r="K111" i="16"/>
  <c r="H165" i="16"/>
  <c r="X78" i="16"/>
  <c r="D165" i="16"/>
  <c r="L169" i="16"/>
  <c r="L263" i="16"/>
  <c r="L25" i="11"/>
  <c r="L28" i="11"/>
  <c r="W127" i="16"/>
  <c r="D20" i="6"/>
  <c r="H124" i="16"/>
  <c r="H129" i="16"/>
  <c r="C127" i="16"/>
  <c r="L28" i="18"/>
  <c r="K172" i="16"/>
  <c r="X172" i="16"/>
  <c r="J111" i="16"/>
  <c r="L55" i="16"/>
  <c r="D25" i="11"/>
  <c r="D28" i="11"/>
  <c r="I29" i="14"/>
  <c r="F29" i="14"/>
  <c r="E29" i="14"/>
  <c r="B29" i="14"/>
  <c r="L275" i="11"/>
  <c r="C275" i="11"/>
  <c r="C28" i="10"/>
  <c r="C25" i="10"/>
  <c r="C20" i="10"/>
  <c r="E28" i="10"/>
  <c r="E25" i="10"/>
  <c r="C160" i="16"/>
  <c r="C165" i="16"/>
  <c r="E160" i="16"/>
  <c r="E165" i="16"/>
  <c r="D28" i="10"/>
  <c r="D25" i="10"/>
  <c r="H28" i="10"/>
  <c r="H25" i="10"/>
  <c r="G28" i="10"/>
  <c r="G25" i="10"/>
  <c r="B28" i="10"/>
  <c r="B25" i="10"/>
  <c r="H30" i="9"/>
  <c r="H26" i="9"/>
  <c r="H151" i="16"/>
  <c r="H156" i="16"/>
  <c r="H20" i="9"/>
  <c r="F26" i="9"/>
  <c r="F30" i="9"/>
  <c r="D30" i="9"/>
  <c r="D26" i="9"/>
  <c r="E30" i="9"/>
  <c r="E26" i="9"/>
  <c r="F151" i="16"/>
  <c r="F156" i="16"/>
  <c r="D151" i="16"/>
  <c r="D156" i="16"/>
  <c r="E151" i="16"/>
  <c r="E156" i="16"/>
  <c r="C20" i="7"/>
  <c r="E29" i="7"/>
  <c r="E25" i="7"/>
  <c r="E20" i="7"/>
  <c r="E133" i="16"/>
  <c r="E138" i="16"/>
  <c r="B29" i="7"/>
  <c r="B25" i="7"/>
  <c r="C25" i="7"/>
  <c r="C29" i="7"/>
  <c r="B133" i="16"/>
  <c r="B138" i="16"/>
  <c r="C133" i="16"/>
  <c r="C138" i="16"/>
  <c r="D129" i="16"/>
  <c r="E27" i="6"/>
  <c r="E24" i="6"/>
  <c r="C124" i="16"/>
  <c r="E124" i="16"/>
  <c r="E129" i="16"/>
  <c r="D27" i="6"/>
  <c r="D24" i="6"/>
  <c r="H27" i="6"/>
  <c r="H24" i="6"/>
  <c r="G24" i="6"/>
  <c r="G27" i="6"/>
  <c r="B24" i="6"/>
  <c r="B27" i="6"/>
  <c r="C24" i="6"/>
  <c r="C27" i="6"/>
  <c r="E20" i="6"/>
  <c r="G124" i="16"/>
  <c r="G129" i="16"/>
  <c r="B124" i="16"/>
  <c r="B129" i="16"/>
  <c r="I33" i="5"/>
  <c r="C33" i="5"/>
  <c r="B24" i="5"/>
  <c r="B33" i="5"/>
  <c r="E30" i="5"/>
  <c r="E24" i="5"/>
  <c r="B115" i="16"/>
  <c r="G33" i="5"/>
  <c r="F33" i="5"/>
  <c r="D33" i="5"/>
  <c r="G115" i="16"/>
  <c r="G120" i="16"/>
  <c r="F62" i="16"/>
  <c r="F48" i="16"/>
  <c r="G93" i="16"/>
  <c r="F266" i="16"/>
  <c r="C25" i="18"/>
  <c r="G21" i="18"/>
  <c r="B25" i="18"/>
  <c r="E25" i="18"/>
  <c r="J25" i="18"/>
  <c r="K84" i="16"/>
  <c r="B83" i="16"/>
  <c r="B32" i="17"/>
  <c r="G32" i="17"/>
  <c r="F20" i="17"/>
  <c r="E266" i="16"/>
  <c r="F265" i="16"/>
  <c r="B54" i="16"/>
  <c r="B47" i="16"/>
  <c r="L46" i="16"/>
  <c r="D55" i="16"/>
  <c r="D48" i="16"/>
  <c r="L54" i="16"/>
  <c r="L47" i="16"/>
  <c r="E55" i="16"/>
  <c r="E48" i="16"/>
  <c r="J55" i="16"/>
  <c r="J48" i="16"/>
  <c r="H55" i="16"/>
  <c r="H48" i="16"/>
  <c r="K46" i="16"/>
  <c r="E198" i="16"/>
  <c r="E201" i="16"/>
  <c r="L271" i="11"/>
  <c r="J138" i="16"/>
  <c r="K129" i="16"/>
  <c r="E265" i="16"/>
  <c r="X160" i="16"/>
  <c r="E54" i="16"/>
  <c r="I54" i="16"/>
  <c r="G53" i="16"/>
  <c r="D53" i="16"/>
  <c r="I53" i="16"/>
  <c r="E53" i="16"/>
  <c r="F53" i="16"/>
  <c r="H54" i="16"/>
  <c r="C53" i="16"/>
  <c r="G54" i="16"/>
  <c r="H53" i="16"/>
  <c r="C55" i="16"/>
  <c r="F54" i="16"/>
  <c r="S62" i="16"/>
  <c r="Y62" i="16"/>
  <c r="D266" i="16"/>
  <c r="S266" i="16"/>
  <c r="B23" i="22"/>
  <c r="L23" i="22"/>
  <c r="E23" i="22"/>
  <c r="G23" i="22"/>
  <c r="C23" i="22"/>
  <c r="I23" i="22"/>
  <c r="K20" i="23"/>
  <c r="D20" i="23"/>
  <c r="H20" i="23"/>
  <c r="J20" i="23"/>
  <c r="D23" i="28"/>
  <c r="I23" i="28"/>
  <c r="C23" i="28"/>
  <c r="F23" i="28"/>
  <c r="B23" i="28"/>
  <c r="G23" i="28"/>
  <c r="B265" i="16"/>
  <c r="D61" i="16"/>
  <c r="D47" i="16"/>
  <c r="J20" i="14"/>
  <c r="J198" i="16"/>
  <c r="J201" i="16"/>
  <c r="C265" i="16"/>
  <c r="K20" i="14"/>
  <c r="K198" i="16"/>
  <c r="R61" i="16"/>
  <c r="C47" i="16"/>
  <c r="I265" i="16"/>
  <c r="G198" i="16"/>
  <c r="G20" i="14"/>
  <c r="G29" i="14"/>
  <c r="D265" i="16"/>
  <c r="L20" i="14"/>
  <c r="L29" i="14"/>
  <c r="H265" i="16"/>
  <c r="E20" i="11"/>
  <c r="E169" i="16"/>
  <c r="E174" i="16"/>
  <c r="Y336" i="16"/>
  <c r="E59" i="16"/>
  <c r="Y171" i="16"/>
  <c r="W171" i="16"/>
  <c r="G20" i="11"/>
  <c r="F20" i="11"/>
  <c r="F169" i="16"/>
  <c r="F174" i="16"/>
  <c r="B20" i="11"/>
  <c r="B169" i="16"/>
  <c r="B174" i="16"/>
  <c r="K20" i="11"/>
  <c r="K169" i="16"/>
  <c r="X169" i="16"/>
  <c r="J172" i="16"/>
  <c r="Q62" i="16"/>
  <c r="W62" i="16"/>
  <c r="H266" i="16"/>
  <c r="Y160" i="16"/>
  <c r="C59" i="16"/>
  <c r="L20" i="7"/>
  <c r="D20" i="7"/>
  <c r="D133" i="16"/>
  <c r="D138" i="16"/>
  <c r="I20" i="7"/>
  <c r="I133" i="16"/>
  <c r="I138" i="16"/>
  <c r="F20" i="7"/>
  <c r="F133" i="16"/>
  <c r="F138" i="16"/>
  <c r="G59" i="16"/>
  <c r="I62" i="16"/>
  <c r="I266" i="16"/>
  <c r="W115" i="16"/>
  <c r="F120" i="16"/>
  <c r="I120" i="16"/>
  <c r="W106" i="16"/>
  <c r="G62" i="16"/>
  <c r="G109" i="16"/>
  <c r="Y106" i="16"/>
  <c r="Y97" i="16"/>
  <c r="H21" i="18"/>
  <c r="H88" i="16"/>
  <c r="H93" i="16"/>
  <c r="F21" i="18"/>
  <c r="F88" i="16"/>
  <c r="F93" i="16"/>
  <c r="L21" i="18"/>
  <c r="H59" i="16"/>
  <c r="E93" i="16"/>
  <c r="F59" i="16"/>
  <c r="C93" i="16"/>
  <c r="J93" i="16"/>
  <c r="W78" i="16"/>
  <c r="J84" i="16"/>
  <c r="B84" i="16"/>
  <c r="Y78" i="16"/>
  <c r="Q59" i="16"/>
  <c r="E70" i="16"/>
  <c r="I70" i="16"/>
  <c r="C70" i="16"/>
  <c r="B70" i="16"/>
  <c r="F70" i="16"/>
  <c r="J70" i="16"/>
  <c r="D70" i="16"/>
  <c r="G70" i="16"/>
  <c r="K70" i="16"/>
  <c r="H70" i="16"/>
  <c r="Y60" i="16"/>
  <c r="S264" i="16"/>
  <c r="X60" i="16"/>
  <c r="R264" i="16"/>
  <c r="D84" i="16"/>
  <c r="E84" i="16"/>
  <c r="L23" i="28"/>
  <c r="X336" i="16"/>
  <c r="F192" i="16"/>
  <c r="H192" i="16"/>
  <c r="J129" i="16"/>
  <c r="X335" i="16"/>
  <c r="E192" i="16"/>
  <c r="K192" i="16"/>
  <c r="K194" i="16"/>
  <c r="D192" i="16"/>
  <c r="W335" i="16"/>
  <c r="K20" i="4"/>
  <c r="I59" i="16"/>
  <c r="H18" i="16"/>
  <c r="H19" i="16"/>
  <c r="H24" i="16"/>
  <c r="L27" i="16"/>
  <c r="L41" i="16"/>
  <c r="I20" i="12"/>
  <c r="H20" i="12"/>
  <c r="Y178" i="16"/>
  <c r="L20" i="12"/>
  <c r="E20" i="12"/>
  <c r="L18" i="16"/>
  <c r="J156" i="16"/>
  <c r="X110" i="16"/>
  <c r="I20" i="17"/>
  <c r="Y337" i="16"/>
  <c r="K147" i="16"/>
  <c r="X142" i="16"/>
  <c r="X329" i="16"/>
  <c r="X322" i="16"/>
  <c r="W306" i="16"/>
  <c r="Y329" i="16"/>
  <c r="Y322" i="16"/>
  <c r="X106" i="16"/>
  <c r="J20" i="11"/>
  <c r="H271" i="11"/>
  <c r="H275" i="11"/>
  <c r="D271" i="11"/>
  <c r="D275" i="11"/>
  <c r="B271" i="11"/>
  <c r="I271" i="11"/>
  <c r="I275" i="11"/>
  <c r="C271" i="11"/>
  <c r="J20" i="13"/>
  <c r="W178" i="16"/>
  <c r="J20" i="12"/>
  <c r="I20" i="13"/>
  <c r="C20" i="13"/>
  <c r="C19" i="16"/>
  <c r="J19" i="16"/>
  <c r="K19" i="16"/>
  <c r="F19" i="16"/>
  <c r="E19" i="16"/>
  <c r="D147" i="16"/>
  <c r="D21" i="8"/>
  <c r="F147" i="16"/>
  <c r="F21" i="8"/>
  <c r="D59" i="16"/>
  <c r="D20" i="17"/>
  <c r="I19" i="16"/>
  <c r="F129" i="16"/>
  <c r="F20" i="6"/>
  <c r="Y142" i="16"/>
  <c r="L21" i="8"/>
  <c r="B111" i="16"/>
  <c r="G19" i="16"/>
  <c r="D19" i="16"/>
  <c r="I20" i="6"/>
  <c r="K20" i="9"/>
  <c r="B20" i="9"/>
  <c r="J20" i="17"/>
  <c r="W160" i="16"/>
  <c r="J20" i="10"/>
  <c r="D20" i="14"/>
  <c r="D29" i="14"/>
  <c r="C20" i="14"/>
  <c r="C29" i="14"/>
  <c r="G20" i="4"/>
  <c r="F20" i="10"/>
  <c r="C20" i="9"/>
  <c r="H21" i="8"/>
  <c r="J21" i="8"/>
  <c r="G156" i="16"/>
  <c r="G20" i="9"/>
  <c r="R62" i="16"/>
  <c r="F55" i="16"/>
  <c r="K32" i="17"/>
  <c r="C32" i="17"/>
  <c r="J263" i="16"/>
  <c r="Q263" i="16"/>
  <c r="J47" i="16"/>
  <c r="R292" i="16"/>
  <c r="V278" i="16"/>
  <c r="R278" i="16"/>
  <c r="K47" i="16"/>
  <c r="R266" i="16"/>
  <c r="S280" i="16"/>
  <c r="W280" i="16"/>
  <c r="S294" i="16"/>
  <c r="S278" i="16"/>
  <c r="W278" i="16"/>
  <c r="S292" i="16"/>
  <c r="L174" i="16"/>
  <c r="L176" i="16"/>
  <c r="Y169" i="16"/>
  <c r="C129" i="16"/>
  <c r="L19" i="16"/>
  <c r="L52" i="16"/>
  <c r="L45" i="16"/>
  <c r="I64" i="16"/>
  <c r="I28" i="18"/>
  <c r="I21" i="18"/>
  <c r="I88" i="16"/>
  <c r="I93" i="16"/>
  <c r="J29" i="14"/>
  <c r="K29" i="14"/>
  <c r="G275" i="11"/>
  <c r="J275" i="11"/>
  <c r="G271" i="11"/>
  <c r="E275" i="11"/>
  <c r="B275" i="11"/>
  <c r="K275" i="11"/>
  <c r="F271" i="11"/>
  <c r="B120" i="16"/>
  <c r="E33" i="5"/>
  <c r="H25" i="18"/>
  <c r="G25" i="18"/>
  <c r="F25" i="18"/>
  <c r="L25" i="18"/>
  <c r="D32" i="17"/>
  <c r="I32" i="17"/>
  <c r="J32" i="17"/>
  <c r="F32" i="17"/>
  <c r="B55" i="16"/>
  <c r="B48" i="16"/>
  <c r="I45" i="16"/>
  <c r="I52" i="16"/>
  <c r="I55" i="16"/>
  <c r="I48" i="16"/>
  <c r="E45" i="16"/>
  <c r="E52" i="16"/>
  <c r="K55" i="16"/>
  <c r="K48" i="16"/>
  <c r="D45" i="16"/>
  <c r="D52" i="16"/>
  <c r="J46" i="16"/>
  <c r="F52" i="16"/>
  <c r="F45" i="16"/>
  <c r="G55" i="16"/>
  <c r="G48" i="16"/>
  <c r="G52" i="16"/>
  <c r="G45" i="16"/>
  <c r="C52" i="16"/>
  <c r="C45" i="16"/>
  <c r="J45" i="16"/>
  <c r="J52" i="16"/>
  <c r="H45" i="16"/>
  <c r="H52" i="16"/>
  <c r="J174" i="16"/>
  <c r="J176" i="16"/>
  <c r="C266" i="16"/>
  <c r="F275" i="11"/>
  <c r="X62" i="16"/>
  <c r="J271" i="11"/>
  <c r="E271" i="11"/>
  <c r="X61" i="16"/>
  <c r="Y59" i="16"/>
  <c r="D54" i="16"/>
  <c r="K54" i="16"/>
  <c r="C54" i="16"/>
  <c r="J54" i="16"/>
  <c r="J265" i="16"/>
  <c r="K174" i="16"/>
  <c r="K176" i="16"/>
  <c r="Q61" i="16"/>
  <c r="W61" i="16"/>
  <c r="S265" i="16"/>
  <c r="S61" i="16"/>
  <c r="Y61" i="16"/>
  <c r="G201" i="16"/>
  <c r="G265" i="16"/>
  <c r="K201" i="16"/>
  <c r="K265" i="16"/>
  <c r="K271" i="11"/>
  <c r="W172" i="16"/>
  <c r="W337" i="16"/>
  <c r="K20" i="7"/>
  <c r="K133" i="16"/>
  <c r="K138" i="16"/>
  <c r="Y133" i="16"/>
  <c r="G111" i="16"/>
  <c r="G266" i="16"/>
  <c r="S263" i="16"/>
  <c r="D21" i="18"/>
  <c r="D88" i="16"/>
  <c r="K21" i="18"/>
  <c r="K88" i="16"/>
  <c r="W60" i="16"/>
  <c r="Q264" i="16"/>
  <c r="E71" i="16"/>
  <c r="I71" i="16"/>
  <c r="D71" i="16"/>
  <c r="F71" i="16"/>
  <c r="J71" i="16"/>
  <c r="C71" i="16"/>
  <c r="B71" i="16"/>
  <c r="G71" i="16"/>
  <c r="K71" i="16"/>
  <c r="H71" i="16"/>
  <c r="E72" i="16"/>
  <c r="I72" i="16"/>
  <c r="B72" i="16"/>
  <c r="F72" i="16"/>
  <c r="J72" i="16"/>
  <c r="G72" i="16"/>
  <c r="K72" i="16"/>
  <c r="C72" i="16"/>
  <c r="D72" i="16"/>
  <c r="H72" i="16"/>
  <c r="F84" i="16"/>
  <c r="G84" i="16"/>
  <c r="S59" i="16"/>
  <c r="W188" i="16"/>
  <c r="J192" i="16"/>
  <c r="J194" i="16"/>
  <c r="W189" i="16"/>
  <c r="W336" i="16"/>
  <c r="X337" i="16"/>
  <c r="J147" i="16"/>
  <c r="W142" i="16"/>
  <c r="K156" i="16"/>
  <c r="X151" i="16"/>
  <c r="X97" i="16"/>
  <c r="L64" i="16"/>
  <c r="C192" i="16"/>
  <c r="I192" i="16"/>
  <c r="C156" i="16"/>
  <c r="H147" i="16"/>
  <c r="B156" i="16"/>
  <c r="I129" i="16"/>
  <c r="E64" i="16"/>
  <c r="K263" i="16"/>
  <c r="R265" i="16"/>
  <c r="R294" i="16"/>
  <c r="V280" i="16"/>
  <c r="R280" i="16"/>
  <c r="Q277" i="16"/>
  <c r="Q291" i="16"/>
  <c r="U277" i="16"/>
  <c r="Q265" i="16"/>
  <c r="Q292" i="16"/>
  <c r="U278" i="16"/>
  <c r="Q278" i="16"/>
  <c r="Q266" i="16"/>
  <c r="S291" i="16"/>
  <c r="S277" i="16"/>
  <c r="W277" i="16"/>
  <c r="S279" i="16"/>
  <c r="W279" i="16"/>
  <c r="S293" i="16"/>
  <c r="L268" i="16"/>
  <c r="AC263" i="16"/>
  <c r="I25" i="18"/>
  <c r="K25" i="18"/>
  <c r="D25" i="18"/>
  <c r="B52" i="16"/>
  <c r="B45" i="16"/>
  <c r="K52" i="16"/>
  <c r="K45" i="16"/>
  <c r="X133" i="16"/>
  <c r="Q64" i="16"/>
  <c r="S64" i="16"/>
  <c r="J268" i="16"/>
  <c r="D93" i="16"/>
  <c r="K93" i="16"/>
  <c r="R59" i="16"/>
  <c r="R64" i="16"/>
  <c r="E68" i="16"/>
  <c r="E73" i="16"/>
  <c r="I68" i="16"/>
  <c r="I73" i="16"/>
  <c r="B64" i="16"/>
  <c r="F68" i="16"/>
  <c r="F73" i="16"/>
  <c r="J68" i="16"/>
  <c r="J73" i="16"/>
  <c r="B68" i="16"/>
  <c r="B73" i="16"/>
  <c r="G68" i="16"/>
  <c r="G73" i="16"/>
  <c r="K68" i="16"/>
  <c r="K73" i="16"/>
  <c r="D68" i="16"/>
  <c r="D73" i="16"/>
  <c r="H68" i="16"/>
  <c r="H73" i="16"/>
  <c r="C68" i="16"/>
  <c r="C73" i="16"/>
  <c r="J64" i="16"/>
  <c r="W59" i="16"/>
  <c r="Y334" i="16"/>
  <c r="K64" i="16"/>
  <c r="W334" i="16"/>
  <c r="G64" i="16"/>
  <c r="C64" i="16"/>
  <c r="F64" i="16"/>
  <c r="D64" i="16"/>
  <c r="H64" i="16"/>
  <c r="Q270" i="16"/>
  <c r="Q269" i="16"/>
  <c r="Q279" i="16"/>
  <c r="Q293" i="16"/>
  <c r="U279" i="16"/>
  <c r="Q294" i="16"/>
  <c r="U280" i="16"/>
  <c r="Q280" i="16"/>
  <c r="V279" i="16"/>
  <c r="R279" i="16"/>
  <c r="R293" i="16"/>
  <c r="X334" i="16"/>
  <c r="Q268" i="16"/>
  <c r="X59" i="16"/>
  <c r="K268" i="16"/>
  <c r="R263" i="16"/>
  <c r="S268" i="16"/>
  <c r="Q296" i="16"/>
  <c r="Q297" i="16"/>
  <c r="Q309" i="16"/>
  <c r="U282" i="16"/>
  <c r="Q282" i="16"/>
  <c r="V277" i="16"/>
  <c r="R277" i="16"/>
  <c r="R291" i="16"/>
  <c r="R268" i="16"/>
  <c r="S296" i="16"/>
  <c r="S297" i="16"/>
  <c r="S309" i="16"/>
  <c r="S282" i="16"/>
  <c r="W282" i="16"/>
  <c r="I72" i="27"/>
  <c r="I65" i="27"/>
  <c r="R296" i="16"/>
  <c r="R297" i="16"/>
  <c r="R309" i="16"/>
  <c r="V282" i="16"/>
  <c r="R282" i="16"/>
  <c r="I263" i="16"/>
  <c r="I268" i="16"/>
  <c r="I22" i="27"/>
  <c r="G65" i="27"/>
  <c r="G72" i="27"/>
  <c r="H65" i="27"/>
  <c r="H72" i="27"/>
  <c r="F65" i="27"/>
  <c r="F72" i="27"/>
  <c r="E72" i="27"/>
  <c r="E65" i="27"/>
  <c r="D72" i="27"/>
  <c r="D65" i="27"/>
  <c r="C72" i="27"/>
  <c r="C65" i="27"/>
  <c r="B72" i="27"/>
  <c r="B65" i="27"/>
  <c r="D17" i="27"/>
  <c r="E17" i="27"/>
  <c r="E22" i="27"/>
  <c r="F17" i="27"/>
  <c r="B17" i="27"/>
  <c r="C17" i="27"/>
  <c r="C22" i="27"/>
  <c r="H22" i="27"/>
  <c r="G17" i="27"/>
  <c r="G22" i="27"/>
  <c r="B263" i="16"/>
  <c r="B268" i="16"/>
  <c r="F22" i="27"/>
  <c r="D22" i="27"/>
  <c r="B22" i="27"/>
  <c r="C263" i="16"/>
  <c r="C268" i="16"/>
  <c r="F263" i="16"/>
  <c r="F268" i="16"/>
  <c r="D263" i="16"/>
  <c r="D268" i="16"/>
  <c r="E263" i="16"/>
  <c r="E268" i="16"/>
  <c r="H263" i="16"/>
  <c r="H268" i="16"/>
  <c r="G263" i="16"/>
  <c r="G268" i="16"/>
  <c r="B69" i="35"/>
  <c r="B42" i="35"/>
  <c r="B66" i="35"/>
  <c r="B43" i="35"/>
  <c r="B15" i="35"/>
  <c r="B20" i="35"/>
  <c r="C44" i="35"/>
  <c r="B26" i="35"/>
  <c r="B48" i="35"/>
  <c r="B53" i="35"/>
  <c r="B29" i="35"/>
  <c r="B70" i="35"/>
</calcChain>
</file>

<file path=xl/comments1.xml><?xml version="1.0" encoding="utf-8"?>
<comments xmlns="http://schemas.openxmlformats.org/spreadsheetml/2006/main">
  <authors>
    <author>Joyce Robinson</author>
    <author>Brent Worthington</author>
    <author>Steven Olson</author>
  </authors>
  <commentList>
    <comment ref="K13" authorId="0" shapeId="0">
      <text>
        <r>
          <rPr>
            <b/>
            <sz val="9"/>
            <color indexed="81"/>
            <rFont val="Tahoma"/>
            <family val="2"/>
          </rPr>
          <t>Joyce Robinson:</t>
        </r>
        <r>
          <rPr>
            <sz val="9"/>
            <color indexed="81"/>
            <rFont val="Tahoma"/>
            <family val="2"/>
          </rPr>
          <t xml:space="preserve">
Includes Other Governmental Funds</t>
        </r>
      </text>
    </comment>
    <comment ref="L13" authorId="0" shapeId="0">
      <text>
        <r>
          <rPr>
            <b/>
            <sz val="9"/>
            <color indexed="81"/>
            <rFont val="Tahoma"/>
            <family val="2"/>
          </rPr>
          <t>Joyce Robinson:</t>
        </r>
        <r>
          <rPr>
            <sz val="9"/>
            <color indexed="81"/>
            <rFont val="Tahoma"/>
            <family val="2"/>
          </rPr>
          <t xml:space="preserve">
Includes Other Governmental Funds</t>
        </r>
      </text>
    </comment>
    <comment ref="B59" authorId="1" shapeId="0">
      <text>
        <r>
          <rPr>
            <b/>
            <sz val="9"/>
            <color indexed="81"/>
            <rFont val="Tahoma"/>
            <family val="2"/>
          </rPr>
          <t>Brent Worthington:</t>
        </r>
        <r>
          <rPr>
            <sz val="9"/>
            <color indexed="81"/>
            <rFont val="Tahoma"/>
            <family val="2"/>
          </rPr>
          <t xml:space="preserve">
Less (B-O O110)
</t>
        </r>
      </text>
    </comment>
    <comment ref="C59" authorId="1" shapeId="0">
      <text>
        <r>
          <rPr>
            <b/>
            <sz val="9"/>
            <color indexed="81"/>
            <rFont val="Tahoma"/>
            <family val="2"/>
          </rPr>
          <t>Brent Worthington:</t>
        </r>
        <r>
          <rPr>
            <sz val="9"/>
            <color indexed="81"/>
            <rFont val="Tahoma"/>
            <family val="2"/>
          </rPr>
          <t xml:space="preserve">
Less (B-O O110)
</t>
        </r>
      </text>
    </comment>
    <comment ref="D59" authorId="1" shapeId="0">
      <text>
        <r>
          <rPr>
            <b/>
            <sz val="9"/>
            <color indexed="81"/>
            <rFont val="Tahoma"/>
            <family val="2"/>
          </rPr>
          <t>Brent Worthington:</t>
        </r>
        <r>
          <rPr>
            <sz val="9"/>
            <color indexed="81"/>
            <rFont val="Tahoma"/>
            <family val="2"/>
          </rPr>
          <t xml:space="preserve">
Less (B-O O110)
</t>
        </r>
      </text>
    </comment>
    <comment ref="E59" authorId="1" shapeId="0">
      <text>
        <r>
          <rPr>
            <b/>
            <sz val="9"/>
            <color indexed="81"/>
            <rFont val="Tahoma"/>
            <family val="2"/>
          </rPr>
          <t>Brent Worthington:</t>
        </r>
        <r>
          <rPr>
            <sz val="9"/>
            <color indexed="81"/>
            <rFont val="Tahoma"/>
            <family val="2"/>
          </rPr>
          <t xml:space="preserve">
Less (B-O O110)
</t>
        </r>
      </text>
    </comment>
    <comment ref="F59" authorId="1" shapeId="0">
      <text>
        <r>
          <rPr>
            <b/>
            <sz val="9"/>
            <color indexed="81"/>
            <rFont val="Tahoma"/>
            <family val="2"/>
          </rPr>
          <t>Brent Worthington:</t>
        </r>
        <r>
          <rPr>
            <sz val="9"/>
            <color indexed="81"/>
            <rFont val="Tahoma"/>
            <family val="2"/>
          </rPr>
          <t xml:space="preserve">
Less (B-O O110)
</t>
        </r>
      </text>
    </comment>
    <comment ref="G59" authorId="1" shapeId="0">
      <text>
        <r>
          <rPr>
            <b/>
            <sz val="9"/>
            <color indexed="81"/>
            <rFont val="Tahoma"/>
            <family val="2"/>
          </rPr>
          <t>Brent Worthington:</t>
        </r>
        <r>
          <rPr>
            <sz val="9"/>
            <color indexed="81"/>
            <rFont val="Tahoma"/>
            <family val="2"/>
          </rPr>
          <t xml:space="preserve">
Less (B-O O110)
</t>
        </r>
      </text>
    </comment>
    <comment ref="H59" authorId="1" shapeId="0">
      <text>
        <r>
          <rPr>
            <b/>
            <sz val="9"/>
            <color indexed="81"/>
            <rFont val="Tahoma"/>
            <family val="2"/>
          </rPr>
          <t>Brent Worthington:</t>
        </r>
        <r>
          <rPr>
            <sz val="9"/>
            <color indexed="81"/>
            <rFont val="Tahoma"/>
            <family val="2"/>
          </rPr>
          <t xml:space="preserve">
Less (B-O O110)
</t>
        </r>
      </text>
    </comment>
    <comment ref="I59" authorId="1" shapeId="0">
      <text>
        <r>
          <rPr>
            <b/>
            <sz val="9"/>
            <color indexed="81"/>
            <rFont val="Tahoma"/>
            <family val="2"/>
          </rPr>
          <t>Brent Worthington:</t>
        </r>
        <r>
          <rPr>
            <sz val="9"/>
            <color indexed="81"/>
            <rFont val="Tahoma"/>
            <family val="2"/>
          </rPr>
          <t xml:space="preserve">
Less (B-O O110)
</t>
        </r>
      </text>
    </comment>
    <comment ref="J59" authorId="1" shapeId="0">
      <text>
        <r>
          <rPr>
            <b/>
            <sz val="9"/>
            <color indexed="81"/>
            <rFont val="Tahoma"/>
            <family val="2"/>
          </rPr>
          <t>Brent Worthington:</t>
        </r>
        <r>
          <rPr>
            <sz val="9"/>
            <color indexed="81"/>
            <rFont val="Tahoma"/>
            <family val="2"/>
          </rPr>
          <t xml:space="preserve">
Less (B-O O110)
JAR:
Includes transfers</t>
        </r>
      </text>
    </comment>
    <comment ref="K59" authorId="1" shapeId="0">
      <text>
        <r>
          <rPr>
            <b/>
            <sz val="9"/>
            <color indexed="81"/>
            <rFont val="Tahoma"/>
            <family val="2"/>
          </rPr>
          <t>Brent Worthington:</t>
        </r>
        <r>
          <rPr>
            <sz val="9"/>
            <color indexed="81"/>
            <rFont val="Tahoma"/>
            <family val="2"/>
          </rPr>
          <t xml:space="preserve">
Less (B-O O110)
JAR:
Includes transfers</t>
        </r>
      </text>
    </comment>
    <comment ref="L59" authorId="1" shapeId="0">
      <text>
        <r>
          <rPr>
            <b/>
            <sz val="9"/>
            <color indexed="81"/>
            <rFont val="Tahoma"/>
            <family val="2"/>
          </rPr>
          <t>Brent Worthington:</t>
        </r>
        <r>
          <rPr>
            <sz val="9"/>
            <color indexed="81"/>
            <rFont val="Tahoma"/>
            <family val="2"/>
          </rPr>
          <t xml:space="preserve">
Less (B-O O110)
JAR:
Includes transfers</t>
        </r>
      </text>
    </comment>
    <comment ref="N59" authorId="1" shapeId="0">
      <text>
        <r>
          <rPr>
            <b/>
            <sz val="9"/>
            <color indexed="81"/>
            <rFont val="Tahoma"/>
            <family val="2"/>
          </rPr>
          <t>Brent Worthington:</t>
        </r>
        <r>
          <rPr>
            <sz val="9"/>
            <color indexed="81"/>
            <rFont val="Tahoma"/>
            <family val="2"/>
          </rPr>
          <t xml:space="preserve">
Less (B-O O110)
JAR:
Includes transfers</t>
        </r>
      </text>
    </comment>
    <comment ref="O59" authorId="1" shapeId="0">
      <text>
        <r>
          <rPr>
            <b/>
            <sz val="9"/>
            <color indexed="81"/>
            <rFont val="Tahoma"/>
            <family val="2"/>
          </rPr>
          <t>Brent Worthington:</t>
        </r>
        <r>
          <rPr>
            <sz val="9"/>
            <color indexed="81"/>
            <rFont val="Tahoma"/>
            <family val="2"/>
          </rPr>
          <t xml:space="preserve">
Less (B-O O110)
JAR:
Includes transfers</t>
        </r>
      </text>
    </comment>
    <comment ref="P59" authorId="1" shapeId="0">
      <text>
        <r>
          <rPr>
            <b/>
            <sz val="9"/>
            <color indexed="81"/>
            <rFont val="Tahoma"/>
            <family val="2"/>
          </rPr>
          <t>Brent Worthington:</t>
        </r>
        <r>
          <rPr>
            <sz val="9"/>
            <color indexed="81"/>
            <rFont val="Tahoma"/>
            <family val="2"/>
          </rPr>
          <t xml:space="preserve">
Less (B-O O110)
JAR:
Includes transfers</t>
        </r>
      </text>
    </comment>
    <comment ref="B61" authorId="1" shapeId="0">
      <text>
        <r>
          <rPr>
            <b/>
            <sz val="9"/>
            <color indexed="81"/>
            <rFont val="Tahoma"/>
            <family val="2"/>
          </rPr>
          <t>Brent Worthington:</t>
        </r>
        <r>
          <rPr>
            <sz val="9"/>
            <color indexed="81"/>
            <rFont val="Tahoma"/>
            <family val="2"/>
          </rPr>
          <t xml:space="preserve">
Less (B-O O110)
</t>
        </r>
      </text>
    </comment>
    <comment ref="B62" authorId="1" shapeId="0">
      <text>
        <r>
          <rPr>
            <b/>
            <sz val="9"/>
            <color indexed="81"/>
            <rFont val="Tahoma"/>
            <family val="2"/>
          </rPr>
          <t>Brent Worthington:</t>
        </r>
        <r>
          <rPr>
            <sz val="9"/>
            <color indexed="81"/>
            <rFont val="Tahoma"/>
            <family val="2"/>
          </rPr>
          <t xml:space="preserve">
Less (B-O O110)
</t>
        </r>
      </text>
    </comment>
    <comment ref="C62" authorId="1" shapeId="0">
      <text>
        <r>
          <rPr>
            <b/>
            <sz val="9"/>
            <color indexed="81"/>
            <rFont val="Tahoma"/>
            <family val="2"/>
          </rPr>
          <t>Brent Worthington:</t>
        </r>
        <r>
          <rPr>
            <sz val="9"/>
            <color indexed="81"/>
            <rFont val="Tahoma"/>
            <family val="2"/>
          </rPr>
          <t xml:space="preserve">
???
</t>
        </r>
      </text>
    </comment>
    <comment ref="D62" authorId="1" shapeId="0">
      <text>
        <r>
          <rPr>
            <b/>
            <sz val="9"/>
            <color indexed="81"/>
            <rFont val="Tahoma"/>
            <family val="2"/>
          </rPr>
          <t>Brent Worthington:</t>
        </r>
        <r>
          <rPr>
            <sz val="9"/>
            <color indexed="81"/>
            <rFont val="Tahoma"/>
            <family val="2"/>
          </rPr>
          <t xml:space="preserve">
???
</t>
        </r>
      </text>
    </comment>
    <comment ref="E62" authorId="1" shapeId="0">
      <text>
        <r>
          <rPr>
            <b/>
            <sz val="9"/>
            <color indexed="81"/>
            <rFont val="Tahoma"/>
            <family val="2"/>
          </rPr>
          <t>Brent Worthington:</t>
        </r>
        <r>
          <rPr>
            <sz val="9"/>
            <color indexed="81"/>
            <rFont val="Tahoma"/>
            <family val="2"/>
          </rPr>
          <t xml:space="preserve">
???
</t>
        </r>
      </text>
    </comment>
    <comment ref="F62" authorId="1" shapeId="0">
      <text>
        <r>
          <rPr>
            <b/>
            <sz val="9"/>
            <color indexed="81"/>
            <rFont val="Tahoma"/>
            <family val="2"/>
          </rPr>
          <t>Brent Worthington:</t>
        </r>
        <r>
          <rPr>
            <sz val="9"/>
            <color indexed="81"/>
            <rFont val="Tahoma"/>
            <family val="2"/>
          </rPr>
          <t xml:space="preserve">
???
</t>
        </r>
      </text>
    </comment>
    <comment ref="G62" authorId="1" shapeId="0">
      <text>
        <r>
          <rPr>
            <b/>
            <sz val="9"/>
            <color indexed="81"/>
            <rFont val="Tahoma"/>
            <family val="2"/>
          </rPr>
          <t>Brent Worthington:</t>
        </r>
        <r>
          <rPr>
            <sz val="9"/>
            <color indexed="81"/>
            <rFont val="Tahoma"/>
            <family val="2"/>
          </rPr>
          <t xml:space="preserve">
???
</t>
        </r>
      </text>
    </comment>
    <comment ref="H62" authorId="1" shapeId="0">
      <text>
        <r>
          <rPr>
            <b/>
            <sz val="9"/>
            <color indexed="81"/>
            <rFont val="Tahoma"/>
            <family val="2"/>
          </rPr>
          <t>Brent Worthington:</t>
        </r>
        <r>
          <rPr>
            <sz val="9"/>
            <color indexed="81"/>
            <rFont val="Tahoma"/>
            <family val="2"/>
          </rPr>
          <t xml:space="preserve">
???
</t>
        </r>
      </text>
    </comment>
    <comment ref="I62" authorId="1" shapeId="0">
      <text>
        <r>
          <rPr>
            <b/>
            <sz val="9"/>
            <color indexed="81"/>
            <rFont val="Tahoma"/>
            <family val="2"/>
          </rPr>
          <t>Brent Worthington:</t>
        </r>
        <r>
          <rPr>
            <sz val="9"/>
            <color indexed="81"/>
            <rFont val="Tahoma"/>
            <family val="2"/>
          </rPr>
          <t xml:space="preserve">
???
</t>
        </r>
      </text>
    </comment>
    <comment ref="J62" authorId="1" shapeId="0">
      <text>
        <r>
          <rPr>
            <b/>
            <sz val="9"/>
            <color indexed="81"/>
            <rFont val="Tahoma"/>
            <family val="2"/>
          </rPr>
          <t>Brent Worthington:</t>
        </r>
        <r>
          <rPr>
            <sz val="9"/>
            <color indexed="81"/>
            <rFont val="Tahoma"/>
            <family val="2"/>
          </rPr>
          <t xml:space="preserve">
???
</t>
        </r>
      </text>
    </comment>
    <comment ref="K62" authorId="1" shapeId="0">
      <text>
        <r>
          <rPr>
            <b/>
            <sz val="9"/>
            <color indexed="81"/>
            <rFont val="Tahoma"/>
            <family val="2"/>
          </rPr>
          <t>Brent Worthington:</t>
        </r>
        <r>
          <rPr>
            <sz val="9"/>
            <color indexed="81"/>
            <rFont val="Tahoma"/>
            <family val="2"/>
          </rPr>
          <t xml:space="preserve">
???
</t>
        </r>
      </text>
    </comment>
    <comment ref="L62" authorId="1" shapeId="0">
      <text>
        <r>
          <rPr>
            <b/>
            <sz val="9"/>
            <color indexed="81"/>
            <rFont val="Tahoma"/>
            <family val="2"/>
          </rPr>
          <t>Brent Worthington:</t>
        </r>
        <r>
          <rPr>
            <sz val="9"/>
            <color indexed="81"/>
            <rFont val="Tahoma"/>
            <family val="2"/>
          </rPr>
          <t xml:space="preserve">
???
</t>
        </r>
      </text>
    </comment>
    <comment ref="N62" authorId="1" shapeId="0">
      <text>
        <r>
          <rPr>
            <b/>
            <sz val="9"/>
            <color indexed="81"/>
            <rFont val="Tahoma"/>
            <family val="2"/>
          </rPr>
          <t>Brent Worthington:</t>
        </r>
        <r>
          <rPr>
            <sz val="9"/>
            <color indexed="81"/>
            <rFont val="Tahoma"/>
            <family val="2"/>
          </rPr>
          <t xml:space="preserve">
???
</t>
        </r>
      </text>
    </comment>
    <comment ref="O62" authorId="1" shapeId="0">
      <text>
        <r>
          <rPr>
            <b/>
            <sz val="9"/>
            <color indexed="81"/>
            <rFont val="Tahoma"/>
            <family val="2"/>
          </rPr>
          <t>Brent Worthington:</t>
        </r>
        <r>
          <rPr>
            <sz val="9"/>
            <color indexed="81"/>
            <rFont val="Tahoma"/>
            <family val="2"/>
          </rPr>
          <t xml:space="preserve">
???
</t>
        </r>
      </text>
    </comment>
    <comment ref="P62" authorId="1" shapeId="0">
      <text>
        <r>
          <rPr>
            <b/>
            <sz val="9"/>
            <color indexed="81"/>
            <rFont val="Tahoma"/>
            <family val="2"/>
          </rPr>
          <t>Brent Worthington:</t>
        </r>
        <r>
          <rPr>
            <sz val="9"/>
            <color indexed="81"/>
            <rFont val="Tahoma"/>
            <family val="2"/>
          </rPr>
          <t xml:space="preserve">
???
</t>
        </r>
      </text>
    </comment>
    <comment ref="D81" authorId="2" shapeId="0">
      <text>
        <r>
          <rPr>
            <b/>
            <sz val="9"/>
            <color indexed="81"/>
            <rFont val="Calibri"/>
            <family val="2"/>
          </rPr>
          <t>Steven Olson:</t>
        </r>
        <r>
          <rPr>
            <sz val="9"/>
            <color indexed="81"/>
            <rFont val="Calibri"/>
            <family val="2"/>
          </rPr>
          <t xml:space="preserve">
GenFundSum  
2010  $1,803,833
</t>
        </r>
      </text>
    </comment>
    <comment ref="I81" authorId="1" shapeId="0">
      <text>
        <r>
          <rPr>
            <b/>
            <sz val="9"/>
            <color indexed="81"/>
            <rFont val="Tahoma"/>
            <family val="2"/>
          </rPr>
          <t>Brent Worthington:</t>
        </r>
        <r>
          <rPr>
            <sz val="9"/>
            <color indexed="81"/>
            <rFont val="Tahoma"/>
            <family val="2"/>
          </rPr>
          <t xml:space="preserve">
Corrected Formula</t>
        </r>
      </text>
    </comment>
    <comment ref="K81" authorId="1" shapeId="0">
      <text>
        <r>
          <rPr>
            <b/>
            <sz val="9"/>
            <color indexed="81"/>
            <rFont val="Tahoma"/>
            <family val="2"/>
          </rPr>
          <t>Brent Worthington:</t>
        </r>
        <r>
          <rPr>
            <sz val="9"/>
            <color indexed="81"/>
            <rFont val="Tahoma"/>
            <family val="2"/>
          </rPr>
          <t xml:space="preserve">
Corrected Formula</t>
        </r>
      </text>
    </comment>
    <comment ref="L81" authorId="1" shapeId="0">
      <text>
        <r>
          <rPr>
            <b/>
            <sz val="9"/>
            <color indexed="81"/>
            <rFont val="Tahoma"/>
            <family val="2"/>
          </rPr>
          <t>Brent Worthington:</t>
        </r>
        <r>
          <rPr>
            <sz val="9"/>
            <color indexed="81"/>
            <rFont val="Tahoma"/>
            <family val="2"/>
          </rPr>
          <t xml:space="preserve">
Corrected Formula</t>
        </r>
      </text>
    </comment>
    <comment ref="I97" authorId="1" shapeId="0">
      <text>
        <r>
          <rPr>
            <b/>
            <sz val="9"/>
            <color indexed="81"/>
            <rFont val="Tahoma"/>
            <family val="2"/>
          </rPr>
          <t>Brent Worthington:</t>
        </r>
        <r>
          <rPr>
            <sz val="9"/>
            <color indexed="81"/>
            <rFont val="Tahoma"/>
            <family val="2"/>
          </rPr>
          <t xml:space="preserve">
Corrected Formula</t>
        </r>
      </text>
    </comment>
    <comment ref="I106" authorId="1" shapeId="0">
      <text>
        <r>
          <rPr>
            <b/>
            <sz val="9"/>
            <color indexed="81"/>
            <rFont val="Tahoma"/>
            <family val="2"/>
          </rPr>
          <t>Brent Worthington:</t>
        </r>
        <r>
          <rPr>
            <sz val="9"/>
            <color indexed="81"/>
            <rFont val="Tahoma"/>
            <family val="2"/>
          </rPr>
          <t xml:space="preserve">
Correct</t>
        </r>
      </text>
    </comment>
    <comment ref="K106" authorId="1" shapeId="0">
      <text>
        <r>
          <rPr>
            <b/>
            <sz val="9"/>
            <color indexed="81"/>
            <rFont val="Tahoma"/>
            <family val="2"/>
          </rPr>
          <t>Brent Worthington:</t>
        </r>
        <r>
          <rPr>
            <sz val="9"/>
            <color indexed="81"/>
            <rFont val="Tahoma"/>
            <family val="2"/>
          </rPr>
          <t xml:space="preserve">
Correct</t>
        </r>
      </text>
    </comment>
    <comment ref="L106" authorId="1" shapeId="0">
      <text>
        <r>
          <rPr>
            <b/>
            <sz val="9"/>
            <color indexed="81"/>
            <rFont val="Tahoma"/>
            <family val="2"/>
          </rPr>
          <t>Brent Worthington:</t>
        </r>
        <r>
          <rPr>
            <sz val="9"/>
            <color indexed="81"/>
            <rFont val="Tahoma"/>
            <family val="2"/>
          </rPr>
          <t xml:space="preserve">
Correct</t>
        </r>
      </text>
    </comment>
    <comment ref="R106" authorId="1" shapeId="0">
      <text>
        <r>
          <rPr>
            <b/>
            <sz val="9"/>
            <color indexed="81"/>
            <rFont val="Tahoma"/>
            <family val="2"/>
          </rPr>
          <t>Brent Worthington:</t>
        </r>
        <r>
          <rPr>
            <sz val="9"/>
            <color indexed="81"/>
            <rFont val="Tahoma"/>
            <family val="2"/>
          </rPr>
          <t xml:space="preserve">
???
</t>
        </r>
      </text>
    </comment>
    <comment ref="Q115" authorId="1" shapeId="0">
      <text>
        <r>
          <rPr>
            <b/>
            <sz val="9"/>
            <color indexed="81"/>
            <rFont val="Tahoma"/>
            <family val="2"/>
          </rPr>
          <t>Brent Worthington:</t>
        </r>
        <r>
          <rPr>
            <sz val="9"/>
            <color indexed="81"/>
            <rFont val="Tahoma"/>
            <family val="2"/>
          </rPr>
          <t xml:space="preserve">
???</t>
        </r>
      </text>
    </comment>
    <comment ref="I124" authorId="1" shapeId="0">
      <text>
        <r>
          <rPr>
            <b/>
            <sz val="9"/>
            <color indexed="81"/>
            <rFont val="Tahoma"/>
            <family val="2"/>
          </rPr>
          <t>Brent Worthington:</t>
        </r>
        <r>
          <rPr>
            <sz val="9"/>
            <color indexed="81"/>
            <rFont val="Tahoma"/>
            <family val="2"/>
          </rPr>
          <t xml:space="preserve">
Correct
</t>
        </r>
      </text>
    </comment>
    <comment ref="R127" authorId="1" shapeId="0">
      <text>
        <r>
          <rPr>
            <b/>
            <sz val="9"/>
            <color indexed="81"/>
            <rFont val="Tahoma"/>
            <family val="2"/>
          </rPr>
          <t>Brent Worthington:</t>
        </r>
        <r>
          <rPr>
            <sz val="9"/>
            <color indexed="81"/>
            <rFont val="Tahoma"/>
            <family val="2"/>
          </rPr>
          <t xml:space="preserve">
??
</t>
        </r>
      </text>
    </comment>
    <comment ref="S127" authorId="1" shapeId="0">
      <text>
        <r>
          <rPr>
            <b/>
            <sz val="9"/>
            <color indexed="81"/>
            <rFont val="Tahoma"/>
            <family val="2"/>
          </rPr>
          <t>Brent Worthington:</t>
        </r>
        <r>
          <rPr>
            <sz val="9"/>
            <color indexed="81"/>
            <rFont val="Tahoma"/>
            <family val="2"/>
          </rPr>
          <t xml:space="preserve">
??</t>
        </r>
      </text>
    </comment>
    <comment ref="J148" authorId="0" shapeId="0">
      <text>
        <r>
          <rPr>
            <b/>
            <sz val="9"/>
            <color indexed="81"/>
            <rFont val="Tahoma"/>
            <family val="2"/>
          </rPr>
          <t>Joyce Robinson:</t>
        </r>
        <r>
          <rPr>
            <sz val="9"/>
            <color indexed="81"/>
            <rFont val="Tahoma"/>
            <family val="2"/>
          </rPr>
          <t xml:space="preserve">
includes Internal Svcs</t>
        </r>
      </text>
    </comment>
    <comment ref="K148" authorId="0" shapeId="0">
      <text>
        <r>
          <rPr>
            <b/>
            <sz val="9"/>
            <color indexed="81"/>
            <rFont val="Tahoma"/>
            <family val="2"/>
          </rPr>
          <t>Joyce Robinson:</t>
        </r>
        <r>
          <rPr>
            <sz val="9"/>
            <color indexed="81"/>
            <rFont val="Tahoma"/>
            <family val="2"/>
          </rPr>
          <t xml:space="preserve">
includes Internal Svcs</t>
        </r>
      </text>
    </comment>
    <comment ref="L148" authorId="0" shapeId="0">
      <text>
        <r>
          <rPr>
            <b/>
            <sz val="9"/>
            <color indexed="81"/>
            <rFont val="Tahoma"/>
            <family val="2"/>
          </rPr>
          <t>Joyce Robinson:</t>
        </r>
        <r>
          <rPr>
            <sz val="9"/>
            <color indexed="81"/>
            <rFont val="Tahoma"/>
            <family val="2"/>
          </rPr>
          <t xml:space="preserve">
includes Internal Svcs</t>
        </r>
      </text>
    </comment>
    <comment ref="J175" authorId="0" shapeId="0">
      <text>
        <r>
          <rPr>
            <b/>
            <sz val="9"/>
            <color indexed="81"/>
            <rFont val="Tahoma"/>
            <family val="2"/>
          </rPr>
          <t>Joyce Robinson:</t>
        </r>
        <r>
          <rPr>
            <sz val="9"/>
            <color indexed="81"/>
            <rFont val="Tahoma"/>
            <family val="2"/>
          </rPr>
          <t xml:space="preserve">
Picked up FTE from budget book, not CAFR</t>
        </r>
      </text>
    </comment>
    <comment ref="K175" authorId="0" shapeId="0">
      <text>
        <r>
          <rPr>
            <b/>
            <sz val="9"/>
            <color indexed="81"/>
            <rFont val="Tahoma"/>
            <family val="2"/>
          </rPr>
          <t>Joyce Robinson:</t>
        </r>
        <r>
          <rPr>
            <sz val="9"/>
            <color indexed="81"/>
            <rFont val="Tahoma"/>
            <family val="2"/>
          </rPr>
          <t xml:space="preserve">
Picked up FTE from budget book, not CAFR</t>
        </r>
      </text>
    </comment>
    <comment ref="L175" authorId="0" shapeId="0">
      <text>
        <r>
          <rPr>
            <b/>
            <sz val="9"/>
            <color indexed="81"/>
            <rFont val="Tahoma"/>
            <family val="2"/>
          </rPr>
          <t>Joyce Robinson:</t>
        </r>
        <r>
          <rPr>
            <sz val="9"/>
            <color indexed="81"/>
            <rFont val="Tahoma"/>
            <family val="2"/>
          </rPr>
          <t xml:space="preserve">
Picked up FTE from budget book, not CAFR</t>
        </r>
      </text>
    </comment>
    <comment ref="D187" authorId="2" shapeId="0">
      <text>
        <r>
          <rPr>
            <b/>
            <sz val="9"/>
            <color indexed="81"/>
            <rFont val="Calibri"/>
            <family val="2"/>
          </rPr>
          <t>Steven Olson:</t>
        </r>
        <r>
          <rPr>
            <sz val="9"/>
            <color indexed="81"/>
            <rFont val="Calibri"/>
            <family val="2"/>
          </rPr>
          <t xml:space="preserve">
GenFend Sum 2010 $10,673,095
</t>
        </r>
      </text>
    </comment>
    <comment ref="J193" authorId="0" shapeId="0">
      <text>
        <r>
          <rPr>
            <b/>
            <sz val="9"/>
            <color indexed="81"/>
            <rFont val="Tahoma"/>
            <family val="2"/>
          </rPr>
          <t>Joyce Robinson:</t>
        </r>
        <r>
          <rPr>
            <sz val="9"/>
            <color indexed="81"/>
            <rFont val="Tahoma"/>
            <family val="2"/>
          </rPr>
          <t xml:space="preserve">
GF FTEs only</t>
        </r>
      </text>
    </comment>
    <comment ref="K193" authorId="0" shapeId="0">
      <text>
        <r>
          <rPr>
            <b/>
            <sz val="9"/>
            <color indexed="81"/>
            <rFont val="Tahoma"/>
            <family val="2"/>
          </rPr>
          <t>Joyce Robinson:</t>
        </r>
        <r>
          <rPr>
            <sz val="9"/>
            <color indexed="81"/>
            <rFont val="Tahoma"/>
            <family val="2"/>
          </rPr>
          <t xml:space="preserve">
GF FTEs only</t>
        </r>
      </text>
    </comment>
    <comment ref="L193" authorId="0" shapeId="0">
      <text>
        <r>
          <rPr>
            <b/>
            <sz val="9"/>
            <color indexed="81"/>
            <rFont val="Tahoma"/>
            <family val="2"/>
          </rPr>
          <t>Joyce Robinson:</t>
        </r>
        <r>
          <rPr>
            <sz val="9"/>
            <color indexed="81"/>
            <rFont val="Tahoma"/>
            <family val="2"/>
          </rPr>
          <t xml:space="preserve">
GF FTEs only</t>
        </r>
      </text>
    </comment>
    <comment ref="B309" authorId="1" shapeId="0">
      <text>
        <r>
          <rPr>
            <b/>
            <sz val="9"/>
            <color indexed="81"/>
            <rFont val="Tahoma"/>
            <family val="2"/>
          </rPr>
          <t>Brent Worthington:</t>
        </r>
        <r>
          <rPr>
            <sz val="9"/>
            <color indexed="81"/>
            <rFont val="Tahoma"/>
            <family val="2"/>
          </rPr>
          <t xml:space="preserve">
Incorrect Formula (Included Enterprise Funds)
</t>
        </r>
      </text>
    </comment>
    <comment ref="C309" authorId="1" shapeId="0">
      <text>
        <r>
          <rPr>
            <b/>
            <sz val="9"/>
            <color indexed="81"/>
            <rFont val="Tahoma"/>
            <family val="2"/>
          </rPr>
          <t>Brent Worthington:</t>
        </r>
        <r>
          <rPr>
            <sz val="9"/>
            <color indexed="81"/>
            <rFont val="Tahoma"/>
            <family val="2"/>
          </rPr>
          <t xml:space="preserve">
Incorrect Formula (Included Enterprise Funds)
</t>
        </r>
      </text>
    </comment>
    <comment ref="D309" authorId="1" shapeId="0">
      <text>
        <r>
          <rPr>
            <b/>
            <sz val="9"/>
            <color indexed="81"/>
            <rFont val="Tahoma"/>
            <family val="2"/>
          </rPr>
          <t>Brent Worthington:</t>
        </r>
        <r>
          <rPr>
            <sz val="9"/>
            <color indexed="81"/>
            <rFont val="Tahoma"/>
            <family val="2"/>
          </rPr>
          <t xml:space="preserve">
Incorrect Formula (Included Enterprise Funds)
</t>
        </r>
      </text>
    </comment>
    <comment ref="E309" authorId="1" shapeId="0">
      <text>
        <r>
          <rPr>
            <b/>
            <sz val="9"/>
            <color indexed="81"/>
            <rFont val="Tahoma"/>
            <family val="2"/>
          </rPr>
          <t>Brent Worthington:</t>
        </r>
        <r>
          <rPr>
            <sz val="9"/>
            <color indexed="81"/>
            <rFont val="Tahoma"/>
            <family val="2"/>
          </rPr>
          <t xml:space="preserve">
Incorrect Formula (Included Enterprise Funds)
</t>
        </r>
      </text>
    </comment>
    <comment ref="F309" authorId="1" shapeId="0">
      <text>
        <r>
          <rPr>
            <b/>
            <sz val="9"/>
            <color indexed="81"/>
            <rFont val="Tahoma"/>
            <family val="2"/>
          </rPr>
          <t>Brent Worthington:</t>
        </r>
        <r>
          <rPr>
            <sz val="9"/>
            <color indexed="81"/>
            <rFont val="Tahoma"/>
            <family val="2"/>
          </rPr>
          <t xml:space="preserve">
Incorrect Formula (Included Enterprise Funds)
</t>
        </r>
      </text>
    </comment>
    <comment ref="G309" authorId="1" shapeId="0">
      <text>
        <r>
          <rPr>
            <b/>
            <sz val="9"/>
            <color indexed="81"/>
            <rFont val="Tahoma"/>
            <family val="2"/>
          </rPr>
          <t>Brent Worthington:</t>
        </r>
        <r>
          <rPr>
            <sz val="9"/>
            <color indexed="81"/>
            <rFont val="Tahoma"/>
            <family val="2"/>
          </rPr>
          <t xml:space="preserve">
Incorrect Formula (Included Enterprise Funds)
</t>
        </r>
      </text>
    </comment>
    <comment ref="H309" authorId="1" shapeId="0">
      <text>
        <r>
          <rPr>
            <b/>
            <sz val="9"/>
            <color indexed="81"/>
            <rFont val="Tahoma"/>
            <family val="2"/>
          </rPr>
          <t>Brent Worthington:</t>
        </r>
        <r>
          <rPr>
            <sz val="9"/>
            <color indexed="81"/>
            <rFont val="Tahoma"/>
            <family val="2"/>
          </rPr>
          <t xml:space="preserve">
Incorrect Formula (Included Enterprise Funds)
</t>
        </r>
      </text>
    </comment>
    <comment ref="I309" authorId="1" shapeId="0">
      <text>
        <r>
          <rPr>
            <b/>
            <sz val="9"/>
            <color indexed="81"/>
            <rFont val="Tahoma"/>
            <family val="2"/>
          </rPr>
          <t>Brent Worthington:</t>
        </r>
        <r>
          <rPr>
            <sz val="9"/>
            <color indexed="81"/>
            <rFont val="Tahoma"/>
            <family val="2"/>
          </rPr>
          <t xml:space="preserve">
Incorrect Formula (Included Enterprise Funds)
</t>
        </r>
      </text>
    </comment>
    <comment ref="J309" authorId="1" shapeId="0">
      <text>
        <r>
          <rPr>
            <b/>
            <sz val="9"/>
            <color indexed="81"/>
            <rFont val="Tahoma"/>
            <family val="2"/>
          </rPr>
          <t>Brent Worthington:</t>
        </r>
        <r>
          <rPr>
            <sz val="9"/>
            <color indexed="81"/>
            <rFont val="Tahoma"/>
            <family val="2"/>
          </rPr>
          <t xml:space="preserve">
Incorrect Formula (Included Enterprise Funds)
</t>
        </r>
      </text>
    </comment>
    <comment ref="K309" authorId="1" shapeId="0">
      <text>
        <r>
          <rPr>
            <b/>
            <sz val="9"/>
            <color indexed="81"/>
            <rFont val="Tahoma"/>
            <family val="2"/>
          </rPr>
          <t>Brent Worthington:</t>
        </r>
        <r>
          <rPr>
            <sz val="9"/>
            <color indexed="81"/>
            <rFont val="Tahoma"/>
            <family val="2"/>
          </rPr>
          <t xml:space="preserve">
Incorrect Formula (Included Enterprise Funds)
</t>
        </r>
      </text>
    </comment>
    <comment ref="L309" authorId="1" shapeId="0">
      <text>
        <r>
          <rPr>
            <b/>
            <sz val="9"/>
            <color indexed="81"/>
            <rFont val="Tahoma"/>
            <family val="2"/>
          </rPr>
          <t>Brent Worthington:</t>
        </r>
        <r>
          <rPr>
            <sz val="9"/>
            <color indexed="81"/>
            <rFont val="Tahoma"/>
            <family val="2"/>
          </rPr>
          <t xml:space="preserve">
Incorrect Formula (Included Enterprise Funds)
</t>
        </r>
      </text>
    </comment>
  </commentList>
</comments>
</file>

<file path=xl/comments10.xml><?xml version="1.0" encoding="utf-8"?>
<comments xmlns="http://schemas.openxmlformats.org/spreadsheetml/2006/main">
  <authors>
    <author>Steven Olson</author>
  </authors>
  <commentList>
    <comment ref="A8" authorId="0" shapeId="0">
      <text>
        <r>
          <rPr>
            <b/>
            <sz val="9"/>
            <color indexed="81"/>
            <rFont val="Calibri"/>
            <family val="2"/>
          </rPr>
          <t>Steven Olson:</t>
        </r>
        <r>
          <rPr>
            <sz val="9"/>
            <color indexed="81"/>
            <rFont val="Calibri"/>
            <family val="2"/>
          </rPr>
          <t xml:space="preserve">
Moved from Develop SVC to City Mgr in 2015
</t>
        </r>
      </text>
    </comment>
    <comment ref="A27"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1.xml><?xml version="1.0" encoding="utf-8"?>
<comments xmlns="http://schemas.openxmlformats.org/spreadsheetml/2006/main">
  <authors>
    <author>Steven Olson</author>
  </authors>
  <commentList>
    <comment ref="A31"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A39" authorId="0" shapeId="0">
      <text>
        <r>
          <rPr>
            <b/>
            <sz val="9"/>
            <color indexed="81"/>
            <rFont val="Calibri"/>
            <family val="2"/>
          </rPr>
          <t>Steven Olson:</t>
        </r>
        <r>
          <rPr>
            <sz val="9"/>
            <color indexed="81"/>
            <rFont val="Calibri"/>
            <family val="2"/>
          </rPr>
          <t xml:space="preserve">
Changed from Administration
 to Development Svc in 1020
</t>
        </r>
      </text>
    </comment>
    <comment ref="A42" authorId="0" shapeId="0">
      <text>
        <r>
          <rPr>
            <b/>
            <sz val="9"/>
            <color indexed="81"/>
            <rFont val="Calibri"/>
            <family val="2"/>
          </rPr>
          <t>Steven Olson:</t>
        </r>
        <r>
          <rPr>
            <sz val="9"/>
            <color indexed="81"/>
            <rFont val="Calibri"/>
            <family val="2"/>
          </rPr>
          <t xml:space="preserve">
Changed fm Comm &amp; Strat Planning to Current Planning in 2017 Budget
</t>
        </r>
      </text>
    </comment>
    <comment ref="A69" authorId="0" shapeId="0">
      <text>
        <r>
          <rPr>
            <b/>
            <sz val="9"/>
            <color indexed="81"/>
            <rFont val="Calibri"/>
            <family val="2"/>
          </rPr>
          <t>Steven Olson:</t>
        </r>
        <r>
          <rPr>
            <sz val="9"/>
            <color indexed="81"/>
            <rFont val="Calibri"/>
            <family val="2"/>
          </rPr>
          <t xml:space="preserve">
Changed from Administration
 to Development Svc in 1020
</t>
        </r>
      </text>
    </comment>
    <comment ref="A72" authorId="0" shapeId="0">
      <text>
        <r>
          <rPr>
            <b/>
            <sz val="9"/>
            <color indexed="81"/>
            <rFont val="Calibri"/>
            <family val="2"/>
          </rPr>
          <t>Steven Olson:</t>
        </r>
        <r>
          <rPr>
            <sz val="9"/>
            <color indexed="81"/>
            <rFont val="Calibri"/>
            <family val="2"/>
          </rPr>
          <t xml:space="preserve">
Changed fm Comm &amp; Strat Planning to Current Planning in 2017 Budget
</t>
        </r>
      </text>
    </comment>
    <comment ref="A323"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2.xml><?xml version="1.0" encoding="utf-8"?>
<comments xmlns="http://schemas.openxmlformats.org/spreadsheetml/2006/main">
  <authors>
    <author>Joyce Robinson</author>
    <author>Steven Olson</author>
  </authors>
  <commentList>
    <comment ref="J6" authorId="0" shapeId="0">
      <text>
        <r>
          <rPr>
            <b/>
            <sz val="9"/>
            <color indexed="81"/>
            <rFont val="Tahoma"/>
            <family val="2"/>
          </rPr>
          <t>Joyce Robinson:</t>
        </r>
        <r>
          <rPr>
            <sz val="9"/>
            <color indexed="81"/>
            <rFont val="Tahoma"/>
            <family val="2"/>
          </rPr>
          <t xml:space="preserve">
Includes economic incentives fund</t>
        </r>
      </text>
    </comment>
    <comment ref="K6" authorId="0" shapeId="0">
      <text>
        <r>
          <rPr>
            <b/>
            <sz val="9"/>
            <color indexed="81"/>
            <rFont val="Tahoma"/>
            <family val="2"/>
          </rPr>
          <t>Joyce Robinson:</t>
        </r>
        <r>
          <rPr>
            <sz val="9"/>
            <color indexed="81"/>
            <rFont val="Tahoma"/>
            <family val="2"/>
          </rPr>
          <t xml:space="preserve">
Includes economic incentives fund</t>
        </r>
      </text>
    </comment>
    <comment ref="L6" authorId="0" shapeId="0">
      <text>
        <r>
          <rPr>
            <b/>
            <sz val="9"/>
            <color indexed="81"/>
            <rFont val="Tahoma"/>
            <family val="2"/>
          </rPr>
          <t>Joyce Robinson:</t>
        </r>
        <r>
          <rPr>
            <sz val="9"/>
            <color indexed="81"/>
            <rFont val="Tahoma"/>
            <family val="2"/>
          </rPr>
          <t xml:space="preserve">
Includes economic incentives fund</t>
        </r>
      </text>
    </comment>
    <comment ref="A25" authorId="1"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3.xml><?xml version="1.0" encoding="utf-8"?>
<comments xmlns="http://schemas.openxmlformats.org/spreadsheetml/2006/main">
  <authors>
    <author>Steven Olson</author>
  </authors>
  <commentLis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E42" authorId="0" shapeId="0">
      <text>
        <r>
          <rPr>
            <b/>
            <sz val="9"/>
            <color indexed="81"/>
            <rFont val="Calibri"/>
            <family val="2"/>
          </rPr>
          <t>Steven Olson:</t>
        </r>
        <r>
          <rPr>
            <sz val="9"/>
            <color indexed="81"/>
            <rFont val="Calibri"/>
            <family val="2"/>
          </rPr>
          <t xml:space="preserve">
Purchasing and Accounting Combined </t>
        </r>
      </text>
    </comment>
    <comment ref="C54" authorId="0" shapeId="0">
      <text>
        <r>
          <rPr>
            <b/>
            <sz val="9"/>
            <color indexed="81"/>
            <rFont val="Calibri"/>
            <family val="2"/>
          </rPr>
          <t>Steven Olson:</t>
        </r>
        <r>
          <rPr>
            <sz val="9"/>
            <color indexed="81"/>
            <rFont val="Calibri"/>
            <family val="2"/>
          </rPr>
          <t xml:space="preserve">
Utility Billing/Meter Reading separate until 2011 Budget.  Combined into Revenue 2011  Budget
</t>
        </r>
      </text>
    </comment>
    <comment ref="D54" authorId="0" shapeId="0">
      <text>
        <r>
          <rPr>
            <b/>
            <sz val="9"/>
            <color indexed="81"/>
            <rFont val="Calibri"/>
            <family val="2"/>
          </rPr>
          <t>Steven Olson:</t>
        </r>
        <r>
          <rPr>
            <sz val="9"/>
            <color indexed="81"/>
            <rFont val="Calibri"/>
            <family val="2"/>
          </rPr>
          <t xml:space="preserve">
Utility Billing/Meter Reading separate until 2011 Budget.  Combined into Revenue 2011  Budget
</t>
        </r>
      </text>
    </comment>
  </commentList>
</comments>
</file>

<file path=xl/comments14.xml><?xml version="1.0" encoding="utf-8"?>
<comments xmlns="http://schemas.openxmlformats.org/spreadsheetml/2006/main">
  <authors>
    <author>Steven Olson</author>
  </authors>
  <commentList>
    <comment ref="A27"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5.xml><?xml version="1.0" encoding="utf-8"?>
<comments xmlns="http://schemas.openxmlformats.org/spreadsheetml/2006/main">
  <authors>
    <author>Steven Olson</author>
    <author>Jeff Miller</author>
  </authors>
  <commentList>
    <comment ref="A27"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H46" authorId="1" shapeId="0">
      <text>
        <r>
          <rPr>
            <b/>
            <sz val="9"/>
            <color indexed="81"/>
            <rFont val="Tahoma"/>
            <family val="2"/>
          </rPr>
          <t>Jeff Miller:</t>
        </r>
        <r>
          <rPr>
            <sz val="9"/>
            <color indexed="81"/>
            <rFont val="Tahoma"/>
            <family val="2"/>
          </rPr>
          <t xml:space="preserve">
removed $354,696 PEG fee beg balance</t>
        </r>
      </text>
    </comment>
    <comment ref="A79" authorId="0" shapeId="0">
      <text>
        <r>
          <rPr>
            <b/>
            <sz val="9"/>
            <color indexed="81"/>
            <rFont val="Calibri"/>
            <family val="2"/>
          </rPr>
          <t>Steven Olson:</t>
        </r>
        <r>
          <rPr>
            <sz val="9"/>
            <color indexed="81"/>
            <rFont val="Calibri"/>
            <family val="2"/>
          </rPr>
          <t xml:space="preserve">
Changed from Geographic Info Sve to Application SVC 2009 Budget
</t>
        </r>
      </text>
    </comment>
  </commentList>
</comments>
</file>

<file path=xl/comments16.xml><?xml version="1.0" encoding="utf-8"?>
<comments xmlns="http://schemas.openxmlformats.org/spreadsheetml/2006/main">
  <authors>
    <author>Steven Olson</author>
  </authors>
  <commentLis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7.xml><?xml version="1.0" encoding="utf-8"?>
<comments xmlns="http://schemas.openxmlformats.org/spreadsheetml/2006/main">
  <authors>
    <author>Steven Olson</author>
  </authors>
  <commentList>
    <comment ref="A26"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A277"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18.xml><?xml version="1.0" encoding="utf-8"?>
<comments xmlns="http://schemas.openxmlformats.org/spreadsheetml/2006/main">
  <authors>
    <author>Steven Olson</author>
    <author>Joyce Robinson</author>
  </authors>
  <commentList>
    <comment ref="A27"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H45" authorId="1" shapeId="0">
      <text>
        <r>
          <rPr>
            <b/>
            <sz val="9"/>
            <color indexed="81"/>
            <rFont val="Tahoma"/>
            <family val="2"/>
          </rPr>
          <t>Joyce Robinson:</t>
        </r>
        <r>
          <rPr>
            <sz val="9"/>
            <color indexed="81"/>
            <rFont val="Tahoma"/>
            <family val="2"/>
          </rPr>
          <t xml:space="preserve">
New software</t>
        </r>
      </text>
    </comment>
  </commentList>
</comments>
</file>

<file path=xl/comments19.xml><?xml version="1.0" encoding="utf-8"?>
<comments xmlns="http://schemas.openxmlformats.org/spreadsheetml/2006/main">
  <authors>
    <author>Joyce Robinson</author>
    <author>Steven Olson</author>
  </authors>
  <commentList>
    <comment ref="J6" authorId="0" shapeId="0">
      <text>
        <r>
          <rPr>
            <b/>
            <sz val="9"/>
            <color indexed="81"/>
            <rFont val="Tahoma"/>
            <family val="2"/>
          </rPr>
          <t>Joyce Robinson:</t>
        </r>
        <r>
          <rPr>
            <sz val="9"/>
            <color indexed="81"/>
            <rFont val="Tahoma"/>
            <family val="2"/>
          </rPr>
          <t xml:space="preserve">
includes transit</t>
        </r>
      </text>
    </comment>
    <comment ref="K6" authorId="0" shapeId="0">
      <text>
        <r>
          <rPr>
            <b/>
            <sz val="9"/>
            <color indexed="81"/>
            <rFont val="Tahoma"/>
            <family val="2"/>
          </rPr>
          <t>Joyce Robinson:</t>
        </r>
        <r>
          <rPr>
            <sz val="9"/>
            <color indexed="81"/>
            <rFont val="Tahoma"/>
            <family val="2"/>
          </rPr>
          <t xml:space="preserve">
includes transit</t>
        </r>
      </text>
    </comment>
    <comment ref="L6" authorId="0" shapeId="0">
      <text>
        <r>
          <rPr>
            <b/>
            <sz val="9"/>
            <color indexed="81"/>
            <rFont val="Tahoma"/>
            <family val="2"/>
          </rPr>
          <t>Joyce Robinson:</t>
        </r>
        <r>
          <rPr>
            <sz val="9"/>
            <color indexed="81"/>
            <rFont val="Tahoma"/>
            <family val="2"/>
          </rPr>
          <t xml:space="preserve">
includes transit</t>
        </r>
      </text>
    </comment>
    <comment ref="A18" authorId="0" shapeId="0">
      <text>
        <r>
          <rPr>
            <b/>
            <sz val="9"/>
            <color indexed="81"/>
            <rFont val="Tahoma"/>
            <family val="2"/>
          </rPr>
          <t>Joyce Robinson:</t>
        </r>
        <r>
          <rPr>
            <sz val="9"/>
            <color indexed="81"/>
            <rFont val="Tahoma"/>
            <family val="2"/>
          </rPr>
          <t xml:space="preserve">
Transportation and Parking Facility Funds and Streets CEF</t>
        </r>
      </text>
    </comment>
    <comment ref="A70" authorId="1" shapeId="0">
      <text>
        <r>
          <rPr>
            <b/>
            <sz val="9"/>
            <color indexed="81"/>
            <rFont val="Calibri"/>
            <family val="2"/>
          </rPr>
          <t>Steven Olson:</t>
        </r>
        <r>
          <rPr>
            <sz val="9"/>
            <color indexed="81"/>
            <rFont val="Calibri"/>
            <family val="2"/>
          </rPr>
          <t xml:space="preserve">
Changed from Traffic Engineering to Transportation Pgm in @015 Budget
</t>
        </r>
      </text>
    </comment>
    <comment ref="A90" authorId="1" shapeId="0">
      <text>
        <r>
          <rPr>
            <b/>
            <sz val="9"/>
            <color indexed="81"/>
            <rFont val="Calibri"/>
            <family val="2"/>
          </rPr>
          <t>Steven Olson:</t>
        </r>
        <r>
          <rPr>
            <sz val="9"/>
            <color indexed="81"/>
            <rFont val="Calibri"/>
            <family val="2"/>
          </rPr>
          <t xml:space="preserve">
Source - Alan K. 2017.01.30 Loveland Water and Power Data thru 2016</t>
        </r>
      </text>
    </comment>
    <comment ref="A123" authorId="1" shapeId="0">
      <text>
        <r>
          <rPr>
            <b/>
            <sz val="9"/>
            <color indexed="81"/>
            <rFont val="Calibri"/>
            <family val="2"/>
          </rPr>
          <t>Steven Olson:</t>
        </r>
        <r>
          <rPr>
            <sz val="9"/>
            <color indexed="81"/>
            <rFont val="Calibri"/>
            <family val="2"/>
          </rPr>
          <t xml:space="preserve">
Changed from Traffic Engineering to Transportation Pgm in 2013 Budget
</t>
        </r>
      </text>
    </comment>
  </commentList>
</comments>
</file>

<file path=xl/comments2.xml><?xml version="1.0" encoding="utf-8"?>
<comments xmlns="http://schemas.openxmlformats.org/spreadsheetml/2006/main">
  <authors>
    <author>Steven Olson</author>
  </authors>
  <commentList>
    <comment ref="A4" authorId="0" shapeId="0">
      <text>
        <r>
          <rPr>
            <b/>
            <sz val="9"/>
            <color indexed="81"/>
            <rFont val="Calibri"/>
            <family val="2"/>
          </rPr>
          <t>Steven Olson:</t>
        </r>
        <r>
          <rPr>
            <sz val="9"/>
            <color indexed="81"/>
            <rFont val="Calibri"/>
            <family val="2"/>
          </rPr>
          <t xml:space="preserve">
Source: Alsn K - Pop data provided 1/30/17
See Data table - Stats Tab</t>
        </r>
      </text>
    </comment>
  </commentList>
</comments>
</file>

<file path=xl/comments20.xml><?xml version="1.0" encoding="utf-8"?>
<comments xmlns="http://schemas.openxmlformats.org/spreadsheetml/2006/main">
  <authors>
    <author>Steven Olson</author>
  </authors>
  <commentList>
    <comment ref="A8" authorId="0" shapeId="0">
      <text>
        <r>
          <rPr>
            <b/>
            <sz val="9"/>
            <color indexed="81"/>
            <rFont val="Calibri"/>
            <family val="2"/>
          </rPr>
          <t>Steven Olson:</t>
        </r>
        <r>
          <rPr>
            <sz val="9"/>
            <color indexed="81"/>
            <rFont val="Calibri"/>
            <family val="2"/>
          </rPr>
          <t xml:space="preserve">
Moved from Develop SVC to City Mgr in 2015
</t>
        </r>
      </text>
    </comment>
    <comment ref="A27"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A51" authorId="0" shapeId="0">
      <text>
        <r>
          <rPr>
            <b/>
            <sz val="9"/>
            <color indexed="81"/>
            <rFont val="Calibri"/>
            <family val="2"/>
          </rPr>
          <t>Steven Olson:</t>
        </r>
        <r>
          <rPr>
            <sz val="9"/>
            <color indexed="81"/>
            <rFont val="Calibri"/>
            <family val="2"/>
          </rPr>
          <t xml:space="preserve">
Labled as Purchased Services until 2013.  Specifically identified as purchased Power 2o15 Budget
</t>
        </r>
      </text>
    </comment>
  </commentList>
</comments>
</file>

<file path=xl/comments21.xml><?xml version="1.0" encoding="utf-8"?>
<comments xmlns="http://schemas.openxmlformats.org/spreadsheetml/2006/main">
  <authors>
    <author>Steven Olson</author>
  </authors>
  <commentList>
    <comment ref="A28"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22.xml><?xml version="1.0" encoding="utf-8"?>
<comments xmlns="http://schemas.openxmlformats.org/spreadsheetml/2006/main">
  <authors>
    <author>Steven Olson</author>
  </authors>
  <commentList>
    <comment ref="A59"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23.xml><?xml version="1.0" encoding="utf-8"?>
<comments xmlns="http://schemas.openxmlformats.org/spreadsheetml/2006/main">
  <authors>
    <author>Steven Olson</author>
  </authors>
  <commentList>
    <comment ref="A72"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24.xml><?xml version="1.0" encoding="utf-8"?>
<comments xmlns="http://schemas.openxmlformats.org/spreadsheetml/2006/main">
  <authors>
    <author>Matthew Elliott</author>
  </authors>
  <commentList>
    <comment ref="J13" authorId="0" shapeId="0">
      <text>
        <r>
          <rPr>
            <b/>
            <sz val="9"/>
            <color indexed="81"/>
            <rFont val="Tahoma"/>
            <family val="2"/>
          </rPr>
          <t>Matthew Elliott:</t>
        </r>
        <r>
          <rPr>
            <sz val="9"/>
            <color indexed="81"/>
            <rFont val="Tahoma"/>
            <family val="2"/>
          </rPr>
          <t xml:space="preserve">
Transportation &amp; Transit Operating subsidy + Economic Incentives Contribution</t>
        </r>
      </text>
    </comment>
    <comment ref="L14" authorId="0" shapeId="0">
      <text>
        <r>
          <rPr>
            <b/>
            <sz val="9"/>
            <color indexed="81"/>
            <rFont val="Tahoma"/>
            <family val="2"/>
          </rPr>
          <t>Matthew Elliott:</t>
        </r>
        <r>
          <rPr>
            <sz val="9"/>
            <color indexed="81"/>
            <rFont val="Tahoma"/>
            <family val="2"/>
          </rPr>
          <t xml:space="preserve">
Foundry Movie Incentive ($200,000) &amp; Foundry Parking Gargage 144,343
These were the only two easily identifiable thus hence the reason I am not showing us tie to the adopted. Please advise if you wish to handle this differently. 
If you want to match it to the adopted, the amount increased in this row should be decreased out of the Transfers out Capital row</t>
        </r>
      </text>
    </comment>
    <comment ref="J18" authorId="0" shapeId="0">
      <text>
        <r>
          <rPr>
            <b/>
            <sz val="9"/>
            <color indexed="81"/>
            <rFont val="Tahoma"/>
            <family val="2"/>
          </rPr>
          <t>Matthew Elliott:</t>
        </r>
        <r>
          <rPr>
            <sz val="9"/>
            <color indexed="81"/>
            <rFont val="Tahoma"/>
            <family val="2"/>
          </rPr>
          <t xml:space="preserve">
Transportation &amp; Transit Operating subsidy + Economic Incentives Contribution</t>
        </r>
      </text>
    </comment>
    <comment ref="L19" authorId="0" shapeId="0">
      <text>
        <r>
          <rPr>
            <b/>
            <sz val="9"/>
            <color indexed="81"/>
            <rFont val="Tahoma"/>
            <family val="2"/>
          </rPr>
          <t>Matthew Elliott:</t>
        </r>
        <r>
          <rPr>
            <sz val="9"/>
            <color indexed="81"/>
            <rFont val="Tahoma"/>
            <family val="2"/>
          </rPr>
          <t xml:space="preserve">
Foundry Movie Incentive ($200,000) &amp; Foundry Parking Gargage 144,343
These were the only two easily identifiable thus hence the reason I am not showing us tie to the adopted. Please advise if you wish to handle this differently. 
If you want to match it to the adopted, the amount increased in this row should be decreased out of the Transfers out Capital row</t>
        </r>
      </text>
    </comment>
  </commentList>
</comments>
</file>

<file path=xl/comments25.xml><?xml version="1.0" encoding="utf-8"?>
<comments xmlns="http://schemas.openxmlformats.org/spreadsheetml/2006/main">
  <authors>
    <author>Steven Olson</author>
  </authors>
  <commentList>
    <comment ref="A52"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26.xml><?xml version="1.0" encoding="utf-8"?>
<comments xmlns="http://schemas.openxmlformats.org/spreadsheetml/2006/main">
  <authors>
    <author>Steven Olson</author>
  </authors>
  <commentList>
    <comment ref="A46"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27.xml><?xml version="1.0" encoding="utf-8"?>
<comments xmlns="http://schemas.openxmlformats.org/spreadsheetml/2006/main">
  <authors>
    <author>Steven Olson</author>
  </authors>
  <commentList>
    <comment ref="A63"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28.xml><?xml version="1.0" encoding="utf-8"?>
<comments xmlns="http://schemas.openxmlformats.org/spreadsheetml/2006/main">
  <authors>
    <author>Steven Olson</author>
  </authors>
  <commentList>
    <comment ref="A74"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3.xml><?xml version="1.0" encoding="utf-8"?>
<comments xmlns="http://schemas.openxmlformats.org/spreadsheetml/2006/main">
  <authors>
    <author>Steven Olson</author>
  </authors>
  <commentList>
    <comment ref="A60"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4.xml><?xml version="1.0" encoding="utf-8"?>
<comments xmlns="http://schemas.openxmlformats.org/spreadsheetml/2006/main">
  <authors>
    <author>Steven Olson</author>
  </authors>
  <commentList>
    <comment ref="A33"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5.xml><?xml version="1.0" encoding="utf-8"?>
<comments xmlns="http://schemas.openxmlformats.org/spreadsheetml/2006/main">
  <authors>
    <author>Steven Olson</author>
  </authors>
  <commentList>
    <comment ref="A38" authorId="0" shapeId="0">
      <text>
        <r>
          <rPr>
            <b/>
            <sz val="9"/>
            <color indexed="81"/>
            <rFont val="Calibri"/>
            <family val="2"/>
          </rPr>
          <t>Steven Olson:</t>
        </r>
        <r>
          <rPr>
            <sz val="9"/>
            <color indexed="81"/>
            <rFont val="Calibri"/>
            <family val="2"/>
          </rPr>
          <t xml:space="preserve">
Moved from Develop SVC to City Mgr in 2015
</t>
        </r>
      </text>
    </comment>
    <comment ref="A62" authorId="0" shapeId="0">
      <text>
        <r>
          <rPr>
            <b/>
            <sz val="9"/>
            <color indexed="81"/>
            <rFont val="Calibri"/>
            <family val="2"/>
          </rPr>
          <t>Steven Olson:</t>
        </r>
        <r>
          <rPr>
            <sz val="9"/>
            <color indexed="81"/>
            <rFont val="Calibri"/>
            <family val="2"/>
          </rPr>
          <t xml:space="preserve">
Source - Alan K. 2017.01.30 Loveland Water and Power Data thru 2016</t>
        </r>
      </text>
    </comment>
    <comment ref="A68" authorId="0" shapeId="0">
      <text>
        <r>
          <rPr>
            <b/>
            <sz val="9"/>
            <color indexed="81"/>
            <rFont val="Calibri"/>
            <family val="2"/>
          </rPr>
          <t>Steven Olson:</t>
        </r>
        <r>
          <rPr>
            <sz val="9"/>
            <color indexed="81"/>
            <rFont val="Calibri"/>
            <family val="2"/>
          </rPr>
          <t xml:space="preserve">
Moved from Develop SVC to City Mgr in 2015
</t>
        </r>
      </text>
    </comment>
    <comment ref="A81" authorId="0" shapeId="0">
      <text>
        <r>
          <rPr>
            <b/>
            <sz val="9"/>
            <color indexed="81"/>
            <rFont val="Calibri"/>
            <family val="2"/>
          </rPr>
          <t>Steven Olson:</t>
        </r>
        <r>
          <rPr>
            <sz val="9"/>
            <color indexed="81"/>
            <rFont val="Calibri"/>
            <family val="2"/>
          </rPr>
          <t xml:space="preserve">
Moved from Develop SVC to City Mgr in 2015
</t>
        </r>
      </text>
    </comment>
  </commentList>
</comments>
</file>

<file path=xl/comments6.xml><?xml version="1.0" encoding="utf-8"?>
<comments xmlns="http://schemas.openxmlformats.org/spreadsheetml/2006/main">
  <authors>
    <author>Steven Olson</author>
  </authors>
  <commentList>
    <comment ref="A40" authorId="0" shapeId="0">
      <text>
        <r>
          <rPr>
            <b/>
            <sz val="9"/>
            <color indexed="81"/>
            <rFont val="Calibri"/>
            <family val="2"/>
          </rPr>
          <t>Steven Olson:</t>
        </r>
        <r>
          <rPr>
            <sz val="9"/>
            <color indexed="81"/>
            <rFont val="Calibri"/>
            <family val="2"/>
          </rPr>
          <t xml:space="preserve">
Moved from Develop SVC to City Mgr in 2015
</t>
        </r>
      </text>
    </comment>
    <comment ref="A54"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7.xml><?xml version="1.0" encoding="utf-8"?>
<comments xmlns="http://schemas.openxmlformats.org/spreadsheetml/2006/main">
  <authors>
    <author>Steven Olson</author>
  </authors>
  <commentList>
    <comment ref="A8" authorId="0" shapeId="0">
      <text>
        <r>
          <rPr>
            <b/>
            <sz val="9"/>
            <color indexed="81"/>
            <rFont val="Calibri"/>
            <family val="2"/>
          </rPr>
          <t>Steven Olson:</t>
        </r>
        <r>
          <rPr>
            <sz val="9"/>
            <color indexed="81"/>
            <rFont val="Calibri"/>
            <family val="2"/>
          </rPr>
          <t xml:space="preserve">
Moved from Develop SVC to City Mgr in 2015
</t>
        </r>
      </text>
    </comment>
    <comment ref="A56"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8.xml><?xml version="1.0" encoding="utf-8"?>
<comments xmlns="http://schemas.openxmlformats.org/spreadsheetml/2006/main">
  <authors>
    <author>Steven Olson</author>
  </authors>
  <commentList>
    <comment ref="A63"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comments9.xml><?xml version="1.0" encoding="utf-8"?>
<comments xmlns="http://schemas.openxmlformats.org/spreadsheetml/2006/main">
  <authors>
    <author>Steven Olson</author>
  </authors>
  <commentList>
    <comment ref="A55" authorId="0" shapeId="0">
      <text>
        <r>
          <rPr>
            <b/>
            <sz val="9"/>
            <color indexed="81"/>
            <rFont val="Calibri"/>
            <family val="2"/>
          </rPr>
          <t>Steven Olson:</t>
        </r>
        <r>
          <rPr>
            <sz val="9"/>
            <color indexed="81"/>
            <rFont val="Calibri"/>
            <family val="2"/>
          </rPr>
          <t xml:space="preserve">
Source - Alan K. 2017.01.30 Loveland Water and Power Data thru 2016</t>
        </r>
      </text>
    </comment>
  </commentList>
</comments>
</file>

<file path=xl/sharedStrings.xml><?xml version="1.0" encoding="utf-8"?>
<sst xmlns="http://schemas.openxmlformats.org/spreadsheetml/2006/main" count="1691" uniqueCount="280">
  <si>
    <t>Expenses</t>
  </si>
  <si>
    <t>Adult Athletics</t>
  </si>
  <si>
    <t>Concessions/Batting Cages</t>
  </si>
  <si>
    <t>Chilson Recreation Cntr</t>
  </si>
  <si>
    <t>Outdoor Aquatics</t>
  </si>
  <si>
    <t>Recreation Programs</t>
  </si>
  <si>
    <t>Special Rec Svc</t>
  </si>
  <si>
    <t>Youth Activities</t>
  </si>
  <si>
    <t>Golf-enterprise</t>
  </si>
  <si>
    <t>Mariana</t>
  </si>
  <si>
    <t>Original Bud</t>
  </si>
  <si>
    <t>Conservation Trust</t>
  </si>
  <si>
    <t>Open Space</t>
  </si>
  <si>
    <t>Admin</t>
  </si>
  <si>
    <t>Park Improvement</t>
  </si>
  <si>
    <t>Cattail Creek</t>
  </si>
  <si>
    <t>Olde  (Cattail-2010-)</t>
  </si>
  <si>
    <t>Play Tee Mgt</t>
  </si>
  <si>
    <t>Parks</t>
  </si>
  <si>
    <t>Administration</t>
  </si>
  <si>
    <t xml:space="preserve">     Total</t>
  </si>
  <si>
    <t>City Population</t>
  </si>
  <si>
    <t>Employee Head Count</t>
  </si>
  <si>
    <t>Dept Selected Metric</t>
  </si>
  <si>
    <t>Funded W/O Supplement</t>
  </si>
  <si>
    <t>Funding W Supplement</t>
  </si>
  <si>
    <t xml:space="preserve">Ratio's </t>
  </si>
  <si>
    <t>Funding W/O Sup per Pop</t>
  </si>
  <si>
    <t>Funding W/O Sup per FTE</t>
  </si>
  <si>
    <t>Funding pe Dept Hd Metric</t>
  </si>
  <si>
    <t>Total City Budget</t>
  </si>
  <si>
    <t>Human Resources</t>
  </si>
  <si>
    <t>Legislative</t>
  </si>
  <si>
    <t>Finance</t>
  </si>
  <si>
    <t>Information Technology</t>
  </si>
  <si>
    <t>Economic Development</t>
  </si>
  <si>
    <t>Development Services</t>
  </si>
  <si>
    <t>Public Works</t>
  </si>
  <si>
    <t>Police</t>
  </si>
  <si>
    <t>Parks &amp; Recreation</t>
  </si>
  <si>
    <t>Library</t>
  </si>
  <si>
    <t>Cultural Services</t>
  </si>
  <si>
    <t>Populations</t>
  </si>
  <si>
    <t>% Change from Yr to Yr</t>
  </si>
  <si>
    <t>Expenses per person</t>
  </si>
  <si>
    <t>Beginning Balance</t>
  </si>
  <si>
    <t>Executive &amp; Legal</t>
  </si>
  <si>
    <t>City Clerk</t>
  </si>
  <si>
    <t>Employee FTE - W Golf</t>
  </si>
  <si>
    <t>Employee FTE P&amp;R</t>
  </si>
  <si>
    <t>Employee FTE - Golf</t>
  </si>
  <si>
    <t>FTE's included Legal</t>
  </si>
  <si>
    <t>Revised</t>
  </si>
  <si>
    <t>City Manager</t>
  </si>
  <si>
    <t>Public Information</t>
  </si>
  <si>
    <t>Community Partnership</t>
  </si>
  <si>
    <t>Municipal Court</t>
  </si>
  <si>
    <t>Actual</t>
  </si>
  <si>
    <t>Budget</t>
  </si>
  <si>
    <t>City Attorney</t>
  </si>
  <si>
    <t>% chg Yr to Yr</t>
  </si>
  <si>
    <t>Dept Sum</t>
  </si>
  <si>
    <t>Non-Departmental</t>
  </si>
  <si>
    <t xml:space="preserve">Employee FTE </t>
  </si>
  <si>
    <t>FTE Total</t>
  </si>
  <si>
    <t>Expenses per Pop Svc'd</t>
  </si>
  <si>
    <t xml:space="preserve">     Total Exp per FTE</t>
  </si>
  <si>
    <t>FTEs per 1,000 Pop</t>
  </si>
  <si>
    <t>CURRENT 2018 BUDGET</t>
  </si>
  <si>
    <t>Ops FTEs per 1,000 Pop</t>
  </si>
  <si>
    <t>Total FTE</t>
  </si>
  <si>
    <t>Inflation Rate</t>
  </si>
  <si>
    <t>% Chg over Prior Yr</t>
  </si>
  <si>
    <t>Expenditures</t>
  </si>
  <si>
    <t>% Chg from 5 Yrs earlier</t>
  </si>
  <si>
    <t>Expenditurs per FTE</t>
  </si>
  <si>
    <t>Dept 1</t>
  </si>
  <si>
    <t>Dept 2</t>
  </si>
  <si>
    <t>Dept 3</t>
  </si>
  <si>
    <t>Dept 4</t>
  </si>
  <si>
    <t>Recreation</t>
  </si>
  <si>
    <t>Enterprise Fund</t>
  </si>
  <si>
    <t>Golf</t>
  </si>
  <si>
    <t>Special Revenue Funds</t>
  </si>
  <si>
    <t>Total</t>
  </si>
  <si>
    <t>Perpetual Ccare</t>
  </si>
  <si>
    <t>Special Revenue Funds - Exp per FTE</t>
  </si>
  <si>
    <t>Enterprise Fund - Exp per FTE</t>
  </si>
  <si>
    <t>Power</t>
  </si>
  <si>
    <t>Wastewater</t>
  </si>
  <si>
    <t>Discrete users Chilson</t>
  </si>
  <si>
    <t xml:space="preserve"> Total discrete users over the period of 2011 through 2017 </t>
  </si>
  <si>
    <t>Please note that this does not account for class registrants, rentals, spectators, or daily admission guests who visit without a punch card or pass</t>
  </si>
  <si>
    <t>Internal Service Funds</t>
  </si>
  <si>
    <t>Financial</t>
  </si>
  <si>
    <t>Human Relations</t>
  </si>
  <si>
    <t>Water &amp; Power</t>
  </si>
  <si>
    <t>Affordable Housing</t>
  </si>
  <si>
    <t>Revenues</t>
  </si>
  <si>
    <t>Total Special  Revenue Funds</t>
  </si>
  <si>
    <t>General Fund</t>
  </si>
  <si>
    <t>Enterprise Funds</t>
  </si>
  <si>
    <t>Total Enterprise Funds</t>
  </si>
  <si>
    <t xml:space="preserve"> $-  </t>
  </si>
  <si>
    <t>Total Internal Service Funds</t>
  </si>
  <si>
    <t xml:space="preserve">Expenditures </t>
  </si>
  <si>
    <t>Gen Fund By Dept</t>
  </si>
  <si>
    <t>Other Entity Funds</t>
  </si>
  <si>
    <t>Total City Budget Revenues</t>
  </si>
  <si>
    <t>Total REVENUE ALL Funds</t>
  </si>
  <si>
    <t>Total City Budget Expenditures</t>
  </si>
  <si>
    <t>Total EXPENSES ALL Funds</t>
  </si>
  <si>
    <t>Loveland Fire &amp; Rescue</t>
  </si>
  <si>
    <t>Transfers</t>
  </si>
  <si>
    <t xml:space="preserve">  $-   </t>
  </si>
  <si>
    <t xml:space="preserve">  Sub- Total</t>
  </si>
  <si>
    <t>Revised Total</t>
  </si>
  <si>
    <t>Less City Clerk</t>
  </si>
  <si>
    <t>City Clerk - Separate in 2012</t>
  </si>
  <si>
    <t>Total City Budget Expenses</t>
  </si>
  <si>
    <t>Summary of Expenses</t>
  </si>
  <si>
    <t>Net Balance Change ALL Funds</t>
  </si>
  <si>
    <t>Template</t>
  </si>
  <si>
    <t>Total Budgeted Expenses</t>
  </si>
  <si>
    <t xml:space="preserve">Less Spl Rev - Trf to Exec </t>
  </si>
  <si>
    <t>Special Revenue Funds - Trf fm DevSvc</t>
  </si>
  <si>
    <t xml:space="preserve">City Clerk - Gen Fund </t>
  </si>
  <si>
    <t>Was in DevSvc until 2015</t>
  </si>
  <si>
    <t>Spl Rev moved to IT 2015</t>
  </si>
  <si>
    <t>Contributions from General Fund</t>
  </si>
  <si>
    <t>Airport</t>
  </si>
  <si>
    <t>LLBA - Love/Larimer Bldg Auth</t>
  </si>
  <si>
    <t xml:space="preserve">GID - </t>
  </si>
  <si>
    <t>Loveland Urban Renewal Auth</t>
  </si>
  <si>
    <t>Fire Employee Benefits</t>
  </si>
  <si>
    <t>Fire Fleet Fund</t>
  </si>
  <si>
    <t>SID #1 - Spl Improve Dist #1</t>
  </si>
  <si>
    <t>Fire &amp; Rescue Auth</t>
  </si>
  <si>
    <t>Unknown</t>
  </si>
  <si>
    <t>Head Count</t>
  </si>
  <si>
    <t>FTEs</t>
  </si>
  <si>
    <t>Total City Employeets FTEs</t>
  </si>
  <si>
    <t>Utility Rate increases %</t>
  </si>
  <si>
    <t xml:space="preserve">Water </t>
  </si>
  <si>
    <t>Stormwater</t>
  </si>
  <si>
    <t>CPI</t>
  </si>
  <si>
    <t>Social Security / Military Raise rates</t>
  </si>
  <si>
    <t>Revenues - From Dept Detail</t>
  </si>
  <si>
    <t>Unspecified by fund</t>
  </si>
  <si>
    <t xml:space="preserve">Special Revenue Funds </t>
  </si>
  <si>
    <t>Pg</t>
  </si>
  <si>
    <t>Fund Sum</t>
  </si>
  <si>
    <t>Pg 50</t>
  </si>
  <si>
    <t>Pg 53</t>
  </si>
  <si>
    <t>Not on Pg 50</t>
  </si>
  <si>
    <t>Enterprise Funds (Excluding Water &amp; Power</t>
  </si>
  <si>
    <t>Special Revenue Funds - Excludes CEF Funds</t>
  </si>
  <si>
    <t>Non Dept &amp; Other Entities Funds</t>
  </si>
  <si>
    <t>Sum each fund</t>
  </si>
  <si>
    <t>Expenditures per FTE</t>
  </si>
  <si>
    <t>Capital</t>
  </si>
  <si>
    <t>O&amp;M</t>
  </si>
  <si>
    <t>O &amp; M</t>
  </si>
  <si>
    <t xml:space="preserve"> </t>
  </si>
  <si>
    <t>FTE's By Fund Type</t>
  </si>
  <si>
    <t xml:space="preserve"> Revenues Per Capita</t>
  </si>
  <si>
    <t>Revenues Per FTE</t>
  </si>
  <si>
    <t>Municipal Court Only</t>
  </si>
  <si>
    <t>City Attorney only</t>
  </si>
  <si>
    <t>City Manager Only</t>
  </si>
  <si>
    <t>Capital Projects</t>
  </si>
  <si>
    <t>LFRA</t>
  </si>
  <si>
    <t>CEFs</t>
  </si>
  <si>
    <t>Streets CEF</t>
  </si>
  <si>
    <t xml:space="preserve"> Trails CEFs</t>
  </si>
  <si>
    <t xml:space="preserve"> Open Lands CEFs</t>
  </si>
  <si>
    <t xml:space="preserve"> Parks CEFs</t>
  </si>
  <si>
    <t>Expenditures By Department and Fund</t>
  </si>
  <si>
    <t>Executive-Legal</t>
  </si>
  <si>
    <t xml:space="preserve">FTEs </t>
  </si>
  <si>
    <t xml:space="preserve">Cultural Services </t>
  </si>
  <si>
    <t xml:space="preserve">Development Services </t>
  </si>
  <si>
    <t xml:space="preserve">Economic Development  </t>
  </si>
  <si>
    <t>Information Technoloy</t>
  </si>
  <si>
    <t>Parks and Recreation</t>
  </si>
  <si>
    <t>Police Department</t>
  </si>
  <si>
    <t>Water and Power</t>
  </si>
  <si>
    <t>Non Departmental</t>
  </si>
  <si>
    <t>Contributions</t>
  </si>
  <si>
    <t>Sum of Expenses By Dept</t>
  </si>
  <si>
    <t>Expenditures - From Dept Tabs</t>
  </si>
  <si>
    <t>***Reconciles to Fund Summaries</t>
  </si>
  <si>
    <t>Expenditures: Constant Dollar</t>
  </si>
  <si>
    <t xml:space="preserve">  Inflator</t>
  </si>
  <si>
    <t>Expenditures  Per FTE</t>
  </si>
  <si>
    <t>Expenditures Per Capita</t>
  </si>
  <si>
    <t>Schedule</t>
  </si>
  <si>
    <t>NOTE:</t>
  </si>
  <si>
    <t xml:space="preserve">Increase in training costs in Performance Management and increase in ADA and Title VI progarms in </t>
  </si>
  <si>
    <t>Risk Management in 2015.</t>
  </si>
  <si>
    <t>Increase in Employee Benefits in 2016 and 2017</t>
  </si>
  <si>
    <t>Conversion to Authority</t>
  </si>
  <si>
    <t>Revised Budget</t>
  </si>
  <si>
    <t>Expenditures per Capita</t>
  </si>
  <si>
    <t>Non-Dept</t>
  </si>
  <si>
    <t>LLBA</t>
  </si>
  <si>
    <t>LDP</t>
  </si>
  <si>
    <t>Rialto Marketing</t>
  </si>
  <si>
    <t>Operating (Trans)</t>
  </si>
  <si>
    <t>Operating (DPs)</t>
  </si>
  <si>
    <t>Economic Incentives</t>
  </si>
  <si>
    <t>Evergreen Incentive</t>
  </si>
  <si>
    <t>Fee Waivers</t>
  </si>
  <si>
    <t>Debt Service</t>
  </si>
  <si>
    <t>Other Special Revenue</t>
  </si>
  <si>
    <t>CURRENT 2019 BUDGET</t>
  </si>
  <si>
    <t>From 2019 Budget</t>
  </si>
  <si>
    <t>Population</t>
  </si>
  <si>
    <t>Parking Facility</t>
  </si>
  <si>
    <t>Recreation CEFs</t>
  </si>
  <si>
    <t>Special Revenue Funds - Includes CEF Funds</t>
  </si>
  <si>
    <t>Gen Govt CEF Revenue</t>
  </si>
  <si>
    <t>2019</t>
  </si>
  <si>
    <t>Museum/Gallery</t>
  </si>
  <si>
    <t>Rialto Theater</t>
  </si>
  <si>
    <t>Art in Public Places</t>
  </si>
  <si>
    <t>Building Svc &amp; Code Enforce</t>
  </si>
  <si>
    <t>Community &amp; Strat Planning</t>
  </si>
  <si>
    <t>Current Planning</t>
  </si>
  <si>
    <t>Lodging Tax Fund</t>
  </si>
  <si>
    <t>Business Development</t>
  </si>
  <si>
    <t>Accounting</t>
  </si>
  <si>
    <t xml:space="preserve">Purchasing </t>
  </si>
  <si>
    <t>Budgeting</t>
  </si>
  <si>
    <t>Revenue</t>
  </si>
  <si>
    <t>HR Administration</t>
  </si>
  <si>
    <t>Compensation &amp; Benefits</t>
  </si>
  <si>
    <t>Performance Mgt</t>
  </si>
  <si>
    <t>Infrastructure Services</t>
  </si>
  <si>
    <t>Telecommunications</t>
  </si>
  <si>
    <t>Application Svc</t>
  </si>
  <si>
    <t>Admin &amp; Tech Svc</t>
  </si>
  <si>
    <t>Adult Svc</t>
  </si>
  <si>
    <t>Children Svc</t>
  </si>
  <si>
    <t>Customer Svc</t>
  </si>
  <si>
    <t>Technology</t>
  </si>
  <si>
    <t>Teen Svc</t>
  </si>
  <si>
    <t>Broadcast Equip</t>
  </si>
  <si>
    <t>Info Svc</t>
  </si>
  <si>
    <t>Ops</t>
  </si>
  <si>
    <t>Sup Ser</t>
  </si>
  <si>
    <t>Facilities Mgt</t>
  </si>
  <si>
    <t>Trans Develop Review</t>
  </si>
  <si>
    <t>Water</t>
  </si>
  <si>
    <t>Raw Water</t>
  </si>
  <si>
    <t>Note: Page numbers are from online Budget 2018</t>
  </si>
  <si>
    <t xml:space="preserve">Non-Departmental 
 - On pg 45 </t>
  </si>
  <si>
    <t>Contributions 
- On pg 45</t>
  </si>
  <si>
    <t>Transfers 
-On pg 45</t>
  </si>
  <si>
    <t>Total Non Dept, Contributions &amp; Transfers</t>
  </si>
  <si>
    <t>RESTATEMENTS</t>
  </si>
  <si>
    <t>Reconciled Total</t>
  </si>
  <si>
    <t>***RESTATEMENTS: Errors found after publication of the Budget book</t>
  </si>
  <si>
    <t>General Fund Summary</t>
  </si>
  <si>
    <t xml:space="preserve">Non-Departmental    - On pg 45 </t>
  </si>
  <si>
    <t>Contributions - On pg 45</t>
  </si>
  <si>
    <t>Transfers -On pg 45</t>
  </si>
  <si>
    <t xml:space="preserve">Non-Departmental    - On pg 42 </t>
  </si>
  <si>
    <t xml:space="preserve">     Total  </t>
  </si>
  <si>
    <t>Check Total &gt;&gt;</t>
  </si>
  <si>
    <t>Water &amp; Power - On pg 42</t>
  </si>
  <si>
    <t>Airport - On pg 42</t>
  </si>
  <si>
    <t>Capital Projects - On pg 42</t>
  </si>
  <si>
    <t xml:space="preserve">Capital  </t>
  </si>
  <si>
    <t>Fire &amp; Rescue - On pg42</t>
  </si>
  <si>
    <t>Total W&amp;P, Air Port, Capital Projects, Fire &amp; Rescue</t>
  </si>
  <si>
    <t>PAGE UNDER CONSTRUCTION</t>
  </si>
  <si>
    <t>Detail will be added for Non-Departmental for all years</t>
  </si>
  <si>
    <t>***Reconciles to Department  Summaries</t>
  </si>
  <si>
    <t>% Change from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</si>
</sst>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0_);_(* \(#,##0.0\);_(* &quot;-&quot;??_);_(@_)"/>
    <numFmt numFmtId="167" formatCode="_(* #,##0_);_(* \(#,##0\);_(* &quot;-&quot;??_);_(@_)"/>
    <numFmt numFmtId="168" formatCode="_(&quot;$&quot;* #,##0.0_);_(&quot;$&quot;* \(#,##0.0\);_(&quot;$&quot;* &quot;-&quot;??_);_(@_)"/>
    <numFmt numFmtId="169" formatCode="_(* #,##0.000_);_(* \(#,##0.000\);_(* &quot;-&quot;??_);_(@_)"/>
    <numFmt numFmtId="170" formatCode="&quot;$&quot;#,##0"/>
  </numFmts>
  <fonts count="53">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12"/>
      <color rgb="FFFF0000"/>
      <name val="Calibri"/>
      <family val="2"/>
      <scheme val="minor"/>
    </font>
    <font>
      <b/>
      <sz val="12"/>
      <color theme="1"/>
      <name val="Calibri"/>
      <family val="2"/>
      <scheme val="minor"/>
    </font>
    <font>
      <b/>
      <sz val="12"/>
      <color rgb="FF000000"/>
      <name val="Calibri"/>
      <family val="2"/>
      <scheme val="minor"/>
    </font>
    <font>
      <sz val="9"/>
      <color indexed="81"/>
      <name val="Calibri"/>
      <family val="2"/>
    </font>
    <font>
      <b/>
      <sz val="9"/>
      <color indexed="81"/>
      <name val="Calibri"/>
      <family val="2"/>
    </font>
    <font>
      <sz val="8"/>
      <name val="Calibri"/>
      <family val="2"/>
      <scheme val="minor"/>
    </font>
    <font>
      <sz val="14"/>
      <color rgb="FF000000"/>
      <name val="Calibri"/>
      <family val="2"/>
      <scheme val="minor"/>
    </font>
    <font>
      <b/>
      <sz val="14"/>
      <color theme="1"/>
      <name val="Calibri"/>
      <family val="2"/>
      <scheme val="minor"/>
    </font>
    <font>
      <b/>
      <sz val="14"/>
      <color rgb="FF000000"/>
      <name val="Calibri"/>
      <family val="2"/>
      <scheme val="minor"/>
    </font>
    <font>
      <b/>
      <sz val="12"/>
      <color rgb="FFFF0000"/>
      <name val="Calibri"/>
      <family val="2"/>
      <scheme val="minor"/>
    </font>
    <font>
      <i/>
      <sz val="12"/>
      <color theme="1"/>
      <name val="Calibri"/>
      <family val="2"/>
      <scheme val="minor"/>
    </font>
    <font>
      <sz val="10"/>
      <color rgb="FF000000"/>
      <name val="Calibri"/>
      <family val="2"/>
      <scheme val="minor"/>
    </font>
    <font>
      <b/>
      <sz val="12"/>
      <color rgb="FF008000"/>
      <name val="Calibri"/>
      <family val="2"/>
      <scheme val="minor"/>
    </font>
    <font>
      <sz val="12"/>
      <color rgb="FF0000FF"/>
      <name val="Calibri"/>
      <family val="2"/>
      <scheme val="minor"/>
    </font>
    <font>
      <sz val="12"/>
      <name val="Calibri"/>
      <family val="2"/>
      <scheme val="minor"/>
    </font>
    <font>
      <b/>
      <sz val="12"/>
      <color rgb="FF6666FF"/>
      <name val="Calibri"/>
      <family val="2"/>
      <scheme val="minor"/>
    </font>
    <font>
      <b/>
      <sz val="12"/>
      <color rgb="FF0000FF"/>
      <name val="Calibri"/>
      <family val="2"/>
      <scheme val="minor"/>
    </font>
    <font>
      <b/>
      <sz val="12"/>
      <name val="Calibri"/>
      <family val="2"/>
      <scheme val="minor"/>
    </font>
    <font>
      <b/>
      <sz val="14"/>
      <color rgb="FFFF0000"/>
      <name val="Calibri"/>
      <family val="2"/>
      <scheme val="minor"/>
    </font>
    <font>
      <u/>
      <sz val="12"/>
      <color theme="1"/>
      <name val="Calibri"/>
      <family val="2"/>
      <scheme val="minor"/>
    </font>
    <font>
      <b/>
      <sz val="12"/>
      <color rgb="FF8000FF"/>
      <name val="Calibri"/>
      <family val="2"/>
      <scheme val="minor"/>
    </font>
    <font>
      <sz val="12"/>
      <color rgb="FF8000FF"/>
      <name val="Calibri"/>
      <family val="2"/>
      <scheme val="minor"/>
    </font>
    <font>
      <b/>
      <sz val="10"/>
      <color theme="1"/>
      <name val="Calibri"/>
      <family val="2"/>
      <scheme val="minor"/>
    </font>
    <font>
      <b/>
      <sz val="11"/>
      <color theme="1"/>
      <name val="Calibri"/>
      <family val="2"/>
      <scheme val="minor"/>
    </font>
    <font>
      <sz val="12"/>
      <color rgb="FF6666FF"/>
      <name val="Calibri"/>
      <family val="2"/>
      <scheme val="minor"/>
    </font>
    <font>
      <b/>
      <sz val="14"/>
      <color rgb="FF008000"/>
      <name val="Calibri"/>
      <family val="2"/>
      <scheme val="minor"/>
    </font>
    <font>
      <sz val="10"/>
      <name val="Calibri"/>
      <family val="2"/>
      <scheme val="minor"/>
    </font>
    <font>
      <sz val="9"/>
      <color indexed="81"/>
      <name val="Tahoma"/>
      <family val="2"/>
    </font>
    <font>
      <b/>
      <sz val="9"/>
      <color indexed="81"/>
      <name val="Tahoma"/>
      <family val="2"/>
    </font>
    <font>
      <b/>
      <sz val="20"/>
      <color rgb="FFFF0000"/>
      <name val="Calibri"/>
      <family val="2"/>
      <scheme val="minor"/>
    </font>
    <font>
      <b/>
      <sz val="14"/>
      <name val="Calibri"/>
      <family val="2"/>
      <scheme val="minor"/>
    </font>
    <font>
      <b/>
      <sz val="10"/>
      <name val="Calibri"/>
      <family val="2"/>
      <scheme val="minor"/>
    </font>
    <font>
      <b/>
      <u/>
      <sz val="14"/>
      <name val="Calibri"/>
      <family val="2"/>
      <scheme val="minor"/>
    </font>
    <font>
      <sz val="12"/>
      <color rgb="FFFFC000"/>
      <name val="Calibri"/>
      <family val="2"/>
      <scheme val="minor"/>
    </font>
    <font>
      <b/>
      <sz val="12"/>
      <color rgb="FFFFC000"/>
      <name val="Calibri"/>
      <family val="2"/>
      <scheme val="minor"/>
    </font>
    <font>
      <sz val="12"/>
      <color indexed="8"/>
      <name val="Helvetica Neue"/>
    </font>
    <font>
      <b/>
      <sz val="10"/>
      <color indexed="8"/>
      <name val="Helvetica Neue"/>
    </font>
    <font>
      <b/>
      <sz val="12"/>
      <color indexed="15"/>
      <name val="Calibri"/>
      <family val="2"/>
    </font>
    <font>
      <b/>
      <sz val="10"/>
      <color rgb="FFFF0000"/>
      <name val="Helvetica Neue"/>
    </font>
    <font>
      <sz val="12"/>
      <color indexed="8"/>
      <name val="Calibri"/>
      <family val="2"/>
    </font>
    <font>
      <b/>
      <sz val="12"/>
      <color indexed="8"/>
      <name val="Calibri"/>
      <family val="2"/>
    </font>
    <font>
      <sz val="12"/>
      <color indexed="8"/>
      <name val="Calibri"/>
      <family val="2"/>
    </font>
    <font>
      <b/>
      <sz val="12"/>
      <color indexed="8"/>
      <name val="Calibri"/>
      <family val="2"/>
    </font>
    <font>
      <b/>
      <sz val="11"/>
      <color indexed="8"/>
      <name val="Calibri"/>
      <family val="2"/>
    </font>
    <font>
      <b/>
      <sz val="12"/>
      <name val="Calibri"/>
      <family val="2"/>
    </font>
    <font>
      <b/>
      <sz val="22"/>
      <color theme="1"/>
      <name val="Calibri"/>
      <family val="2"/>
      <scheme val="minor"/>
    </font>
  </fonts>
  <fills count="22">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DAEEF3"/>
        <bgColor rgb="FF000000"/>
      </patternFill>
    </fill>
    <fill>
      <patternFill patternType="solid">
        <fgColor theme="3"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CCFFCC"/>
        <bgColor rgb="FF000000"/>
      </patternFill>
    </fill>
    <fill>
      <patternFill patternType="solid">
        <fgColor theme="6" tint="0.59999389629810485"/>
        <bgColor indexed="64"/>
      </patternFill>
    </fill>
    <fill>
      <patternFill patternType="solid">
        <fgColor rgb="FFD8E4BC"/>
        <bgColor rgb="FF000000"/>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66FFFF"/>
        <bgColor indexed="64"/>
      </patternFill>
    </fill>
    <fill>
      <patternFill patternType="solid">
        <fgColor rgb="FF7030A0"/>
        <bgColor indexed="64"/>
      </patternFill>
    </fill>
    <fill>
      <patternFill patternType="solid">
        <fgColor rgb="FFFFC000"/>
        <bgColor indexed="64"/>
      </patternFill>
    </fill>
    <fill>
      <patternFill patternType="solid">
        <fgColor rgb="FF92D050"/>
        <bgColor indexed="64"/>
      </patternFill>
    </fill>
    <fill>
      <patternFill patternType="solid">
        <fgColor theme="9" tint="-0.249977111117893"/>
        <bgColor indexed="64"/>
      </patternFill>
    </fill>
    <fill>
      <patternFill patternType="solid">
        <fgColor theme="8" tint="0.59999389629810485"/>
        <bgColor indexed="64"/>
      </patternFill>
    </fill>
  </fills>
  <borders count="15">
    <border>
      <left/>
      <right/>
      <top/>
      <bottom/>
      <diagonal/>
    </border>
    <border>
      <left/>
      <right/>
      <top style="thin">
        <color auto="1"/>
      </top>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style="medium">
        <color indexed="64"/>
      </right>
      <top/>
      <bottom/>
      <diagonal/>
    </border>
    <border>
      <left/>
      <right style="medium">
        <color indexed="64"/>
      </right>
      <top/>
      <bottom style="medium">
        <color auto="1"/>
      </bottom>
      <diagonal/>
    </border>
    <border>
      <left/>
      <right style="medium">
        <color indexed="64"/>
      </right>
      <top/>
      <bottom style="thin">
        <color auto="1"/>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211">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97">
    <xf numFmtId="0" fontId="0" fillId="0" borderId="0" xfId="0"/>
    <xf numFmtId="164" fontId="0" fillId="0" borderId="0" xfId="1" applyNumberFormat="1" applyFont="1"/>
    <xf numFmtId="0" fontId="6" fillId="0" borderId="0" xfId="0" applyFont="1"/>
    <xf numFmtId="164" fontId="6" fillId="0" borderId="0" xfId="0" applyNumberFormat="1" applyFont="1"/>
    <xf numFmtId="164" fontId="0" fillId="2" borderId="0" xfId="1" applyNumberFormat="1" applyFont="1" applyFill="1"/>
    <xf numFmtId="164" fontId="0" fillId="3" borderId="0" xfId="1" applyNumberFormat="1" applyFont="1" applyFill="1"/>
    <xf numFmtId="164" fontId="0" fillId="3" borderId="1" xfId="1" applyNumberFormat="1" applyFont="1" applyFill="1" applyBorder="1"/>
    <xf numFmtId="165" fontId="0" fillId="0" borderId="0" xfId="6" applyNumberFormat="1" applyFont="1"/>
    <xf numFmtId="44" fontId="0" fillId="0" borderId="0" xfId="1" applyFont="1"/>
    <xf numFmtId="0" fontId="8" fillId="0" borderId="0" xfId="0" applyFont="1"/>
    <xf numFmtId="0" fontId="9" fillId="0" borderId="0" xfId="0" applyFont="1"/>
    <xf numFmtId="164" fontId="0" fillId="4" borderId="0" xfId="1" applyNumberFormat="1" applyFont="1" applyFill="1"/>
    <xf numFmtId="167" fontId="6" fillId="0" borderId="0" xfId="0" applyNumberFormat="1" applyFont="1"/>
    <xf numFmtId="167" fontId="6" fillId="5" borderId="0" xfId="0" applyNumberFormat="1" applyFont="1" applyFill="1"/>
    <xf numFmtId="43" fontId="0" fillId="0" borderId="0" xfId="41" applyFont="1"/>
    <xf numFmtId="166" fontId="0" fillId="0" borderId="0" xfId="41" applyNumberFormat="1" applyFont="1"/>
    <xf numFmtId="167" fontId="0" fillId="0" borderId="0" xfId="41" applyNumberFormat="1" applyFont="1"/>
    <xf numFmtId="0" fontId="0" fillId="0" borderId="0" xfId="0" applyAlignment="1">
      <alignment horizontal="right"/>
    </xf>
    <xf numFmtId="0" fontId="0" fillId="0" borderId="0" xfId="0" applyAlignment="1">
      <alignment horizontal="center"/>
    </xf>
    <xf numFmtId="0" fontId="0" fillId="0" borderId="0" xfId="0" applyFill="1"/>
    <xf numFmtId="164" fontId="7" fillId="0" borderId="0" xfId="1" applyNumberFormat="1" applyFont="1"/>
    <xf numFmtId="0" fontId="6" fillId="0" borderId="0" xfId="0" applyFont="1" applyAlignment="1">
      <alignment horizontal="center"/>
    </xf>
    <xf numFmtId="43" fontId="0" fillId="0" borderId="0" xfId="41" applyNumberFormat="1" applyFont="1"/>
    <xf numFmtId="165" fontId="0" fillId="3" borderId="0" xfId="6" applyNumberFormat="1" applyFont="1" applyFill="1"/>
    <xf numFmtId="44" fontId="0" fillId="0" borderId="0" xfId="0" applyNumberFormat="1"/>
    <xf numFmtId="167" fontId="0" fillId="2" borderId="0" xfId="41" applyNumberFormat="1" applyFont="1" applyFill="1"/>
    <xf numFmtId="0" fontId="0" fillId="2" borderId="0" xfId="0" applyFill="1" applyAlignment="1">
      <alignment horizontal="center"/>
    </xf>
    <xf numFmtId="164" fontId="0" fillId="0" borderId="0" xfId="1" applyNumberFormat="1" applyFont="1" applyFill="1"/>
    <xf numFmtId="43" fontId="0" fillId="0" borderId="0" xfId="41" applyFont="1" applyFill="1"/>
    <xf numFmtId="167" fontId="0" fillId="0" borderId="0" xfId="41" applyNumberFormat="1" applyFont="1" applyFill="1"/>
    <xf numFmtId="0" fontId="0" fillId="0" borderId="0" xfId="0" applyFill="1" applyAlignment="1">
      <alignment horizontal="center"/>
    </xf>
    <xf numFmtId="0" fontId="6" fillId="0" borderId="0" xfId="0" applyFont="1" applyFill="1"/>
    <xf numFmtId="164" fontId="6" fillId="0" borderId="0" xfId="0" applyNumberFormat="1" applyFont="1" applyFill="1"/>
    <xf numFmtId="164" fontId="0" fillId="0" borderId="0" xfId="1" applyNumberFormat="1" applyFont="1" applyAlignment="1">
      <alignment horizontal="right"/>
    </xf>
    <xf numFmtId="166" fontId="0" fillId="0" borderId="0" xfId="41" applyNumberFormat="1" applyFont="1" applyAlignment="1">
      <alignment horizontal="right"/>
    </xf>
    <xf numFmtId="43" fontId="0" fillId="0" borderId="2" xfId="41" applyNumberFormat="1" applyFont="1" applyBorder="1"/>
    <xf numFmtId="10" fontId="0" fillId="0" borderId="0" xfId="6" applyNumberFormat="1" applyFont="1"/>
    <xf numFmtId="0" fontId="14" fillId="0" borderId="0" xfId="0" applyFont="1"/>
    <xf numFmtId="164" fontId="0" fillId="0" borderId="2" xfId="1" applyNumberFormat="1" applyFont="1" applyBorder="1"/>
    <xf numFmtId="0" fontId="6" fillId="0" borderId="0" xfId="0" applyFont="1" applyAlignment="1">
      <alignment horizontal="left" indent="1"/>
    </xf>
    <xf numFmtId="0" fontId="0" fillId="0" borderId="0" xfId="0" applyAlignment="1">
      <alignment horizontal="left" indent="1"/>
    </xf>
    <xf numFmtId="43" fontId="0" fillId="0" borderId="0" xfId="41" applyNumberFormat="1" applyFont="1" applyAlignment="1">
      <alignment horizontal="right"/>
    </xf>
    <xf numFmtId="0" fontId="15" fillId="0" borderId="0" xfId="0" applyFont="1"/>
    <xf numFmtId="164" fontId="0" fillId="0" borderId="0" xfId="1" applyNumberFormat="1" applyFont="1" applyBorder="1"/>
    <xf numFmtId="43" fontId="0" fillId="0" borderId="0" xfId="41" applyFont="1" applyBorder="1"/>
    <xf numFmtId="0" fontId="8" fillId="0" borderId="0" xfId="0" applyFont="1" applyAlignment="1">
      <alignment horizontal="center"/>
    </xf>
    <xf numFmtId="0" fontId="8" fillId="0" borderId="0" xfId="0" applyFont="1" applyAlignment="1">
      <alignment horizontal="right"/>
    </xf>
    <xf numFmtId="0" fontId="9" fillId="0" borderId="0" xfId="0" applyFont="1" applyAlignment="1">
      <alignment horizontal="center"/>
    </xf>
    <xf numFmtId="167" fontId="6" fillId="0" borderId="0" xfId="0" applyNumberFormat="1" applyFont="1" applyFill="1"/>
    <xf numFmtId="43" fontId="0" fillId="2" borderId="0" xfId="41" applyNumberFormat="1" applyFont="1" applyFill="1"/>
    <xf numFmtId="164" fontId="0" fillId="2" borderId="0" xfId="1" applyNumberFormat="1" applyFont="1" applyFill="1" applyBorder="1"/>
    <xf numFmtId="0" fontId="0" fillId="0" borderId="0" xfId="0" applyBorder="1" applyAlignment="1">
      <alignment horizontal="left" indent="1"/>
    </xf>
    <xf numFmtId="0" fontId="0" fillId="0" borderId="0" xfId="0" applyBorder="1"/>
    <xf numFmtId="164" fontId="8" fillId="0" borderId="0" xfId="1" applyNumberFormat="1" applyFont="1"/>
    <xf numFmtId="166" fontId="0" fillId="0" borderId="0" xfId="41" applyNumberFormat="1" applyFont="1" applyFill="1" applyAlignment="1">
      <alignment horizontal="right"/>
    </xf>
    <xf numFmtId="165" fontId="0" fillId="0" borderId="0" xfId="6" applyNumberFormat="1" applyFont="1" applyFill="1"/>
    <xf numFmtId="167" fontId="6" fillId="3" borderId="0" xfId="0" applyNumberFormat="1" applyFont="1" applyFill="1"/>
    <xf numFmtId="0" fontId="18" fillId="0" borderId="0" xfId="0" applyFont="1"/>
    <xf numFmtId="167" fontId="0" fillId="3" borderId="0" xfId="41" applyNumberFormat="1" applyFont="1" applyFill="1"/>
    <xf numFmtId="0" fontId="0" fillId="3" borderId="0" xfId="0" applyFill="1"/>
    <xf numFmtId="0" fontId="0" fillId="7" borderId="0" xfId="0" applyFill="1" applyAlignment="1">
      <alignment horizontal="left" indent="1"/>
    </xf>
    <xf numFmtId="164" fontId="0" fillId="7" borderId="0" xfId="1" applyNumberFormat="1" applyFont="1" applyFill="1"/>
    <xf numFmtId="0" fontId="0" fillId="8" borderId="0" xfId="0" applyFill="1" applyAlignment="1">
      <alignment horizontal="left" indent="1"/>
    </xf>
    <xf numFmtId="164" fontId="0" fillId="8" borderId="0" xfId="1" applyNumberFormat="1" applyFont="1" applyFill="1"/>
    <xf numFmtId="0" fontId="0" fillId="9" borderId="0" xfId="0" applyFill="1" applyAlignment="1">
      <alignment horizontal="left" indent="1"/>
    </xf>
    <xf numFmtId="164" fontId="0" fillId="9" borderId="2" xfId="1" applyNumberFormat="1" applyFont="1" applyFill="1" applyBorder="1"/>
    <xf numFmtId="164" fontId="6" fillId="0" borderId="0" xfId="0" applyNumberFormat="1" applyFont="1" applyAlignment="1">
      <alignment horizontal="center"/>
    </xf>
    <xf numFmtId="168" fontId="0" fillId="0" borderId="0" xfId="1" applyNumberFormat="1" applyFont="1"/>
    <xf numFmtId="164" fontId="6" fillId="0" borderId="0" xfId="1" applyNumberFormat="1" applyFont="1"/>
    <xf numFmtId="164" fontId="0" fillId="0" borderId="2" xfId="1" applyNumberFormat="1" applyFont="1" applyFill="1" applyBorder="1"/>
    <xf numFmtId="0" fontId="0" fillId="0" borderId="0" xfId="0" applyFont="1"/>
    <xf numFmtId="0" fontId="8" fillId="0" borderId="0" xfId="0" applyFont="1" applyFill="1" applyAlignment="1">
      <alignment horizontal="left"/>
    </xf>
    <xf numFmtId="164" fontId="6" fillId="0" borderId="2" xfId="0" applyNumberFormat="1" applyFont="1" applyBorder="1"/>
    <xf numFmtId="0" fontId="16" fillId="0" borderId="0" xfId="0" applyFont="1"/>
    <xf numFmtId="44" fontId="0" fillId="0" borderId="0" xfId="1" applyFont="1" applyFill="1"/>
    <xf numFmtId="164" fontId="9" fillId="0" borderId="0" xfId="0" applyNumberFormat="1" applyFont="1" applyFill="1"/>
    <xf numFmtId="0" fontId="7" fillId="0" borderId="0" xfId="0" applyFont="1" applyFill="1"/>
    <xf numFmtId="0" fontId="8" fillId="0" borderId="0" xfId="0" applyFont="1" applyFill="1" applyAlignment="1">
      <alignment horizontal="center"/>
    </xf>
    <xf numFmtId="43" fontId="0" fillId="0" borderId="0" xfId="41" applyFont="1" applyFill="1" applyAlignment="1">
      <alignment horizontal="right"/>
    </xf>
    <xf numFmtId="164" fontId="0" fillId="0" borderId="0" xfId="1" applyNumberFormat="1" applyFont="1" applyFill="1" applyAlignment="1">
      <alignment horizontal="right"/>
    </xf>
    <xf numFmtId="44" fontId="0" fillId="0" borderId="0" xfId="1" applyFont="1" applyFill="1" applyAlignment="1">
      <alignment horizontal="right"/>
    </xf>
    <xf numFmtId="0" fontId="0" fillId="0" borderId="0" xfId="0" applyFill="1" applyAlignment="1">
      <alignment horizontal="right"/>
    </xf>
    <xf numFmtId="0" fontId="6" fillId="0" borderId="0" xfId="0" applyFont="1" applyFill="1" applyAlignment="1">
      <alignment horizontal="center" wrapText="1"/>
    </xf>
    <xf numFmtId="0" fontId="6" fillId="3" borderId="0" xfId="0" applyFont="1" applyFill="1" applyAlignment="1">
      <alignment horizontal="center"/>
    </xf>
    <xf numFmtId="0" fontId="21" fillId="0" borderId="0" xfId="0" applyFont="1" applyFill="1"/>
    <xf numFmtId="0" fontId="22" fillId="0" borderId="0" xfId="0" applyFont="1" applyFill="1" applyAlignment="1">
      <alignment horizontal="left"/>
    </xf>
    <xf numFmtId="0" fontId="19" fillId="0" borderId="0" xfId="0" applyFont="1" applyFill="1" applyAlignment="1">
      <alignment horizontal="left"/>
    </xf>
    <xf numFmtId="0" fontId="23" fillId="0" borderId="0" xfId="0" applyFont="1" applyFill="1" applyAlignment="1">
      <alignment horizontal="left"/>
    </xf>
    <xf numFmtId="0" fontId="24" fillId="0" borderId="0" xfId="0" applyFont="1"/>
    <xf numFmtId="0" fontId="16" fillId="0" borderId="0" xfId="0" applyFont="1" applyAlignment="1">
      <alignment horizontal="right"/>
    </xf>
    <xf numFmtId="164" fontId="0" fillId="3" borderId="3" xfId="1" applyNumberFormat="1" applyFont="1" applyFill="1" applyBorder="1"/>
    <xf numFmtId="164" fontId="8" fillId="3" borderId="3" xfId="0" applyNumberFormat="1" applyFont="1" applyFill="1" applyBorder="1"/>
    <xf numFmtId="164" fontId="0" fillId="11" borderId="0" xfId="1" applyNumberFormat="1" applyFont="1" applyFill="1"/>
    <xf numFmtId="0" fontId="25" fillId="0" borderId="0" xfId="0" applyFont="1" applyAlignment="1">
      <alignment horizontal="center"/>
    </xf>
    <xf numFmtId="0" fontId="19" fillId="0" borderId="0" xfId="0" applyFont="1" applyAlignment="1">
      <alignment horizontal="left"/>
    </xf>
    <xf numFmtId="0" fontId="19" fillId="0" borderId="0" xfId="0" applyFont="1" applyAlignment="1">
      <alignment horizontal="center"/>
    </xf>
    <xf numFmtId="0" fontId="22" fillId="0" borderId="0" xfId="0" applyFont="1" applyAlignment="1">
      <alignment horizontal="left"/>
    </xf>
    <xf numFmtId="164" fontId="6" fillId="12" borderId="0" xfId="0" applyNumberFormat="1" applyFont="1" applyFill="1"/>
    <xf numFmtId="164" fontId="9" fillId="10" borderId="3" xfId="0" applyNumberFormat="1" applyFont="1" applyFill="1" applyBorder="1"/>
    <xf numFmtId="0" fontId="0" fillId="13" borderId="0" xfId="0" applyFill="1" applyAlignment="1">
      <alignment horizontal="center"/>
    </xf>
    <xf numFmtId="0" fontId="0" fillId="3" borderId="0" xfId="0" applyFill="1" applyAlignment="1">
      <alignment horizontal="center"/>
    </xf>
    <xf numFmtId="164" fontId="0" fillId="13" borderId="0" xfId="1" applyNumberFormat="1" applyFont="1" applyFill="1"/>
    <xf numFmtId="164" fontId="0" fillId="0" borderId="0" xfId="1" applyNumberFormat="1" applyFont="1" applyFill="1" applyAlignment="1">
      <alignment horizontal="center"/>
    </xf>
    <xf numFmtId="164" fontId="8" fillId="0" borderId="0" xfId="1" applyNumberFormat="1" applyFont="1" applyFill="1" applyAlignment="1">
      <alignment horizontal="center"/>
    </xf>
    <xf numFmtId="167" fontId="8" fillId="0" borderId="0" xfId="41" applyNumberFormat="1" applyFont="1" applyFill="1" applyAlignment="1">
      <alignment horizontal="center"/>
    </xf>
    <xf numFmtId="164" fontId="16" fillId="0" borderId="0" xfId="1" applyNumberFormat="1" applyFont="1" applyFill="1" applyAlignment="1">
      <alignment horizontal="center"/>
    </xf>
    <xf numFmtId="167" fontId="0" fillId="0" borderId="0" xfId="1" applyNumberFormat="1" applyFont="1" applyFill="1"/>
    <xf numFmtId="0" fontId="7" fillId="0" borderId="0" xfId="0" applyFont="1" applyAlignment="1">
      <alignment horizontal="left" indent="2"/>
    </xf>
    <xf numFmtId="0" fontId="16" fillId="0" borderId="0" xfId="0" applyFont="1" applyAlignment="1">
      <alignment horizontal="left" indent="1"/>
    </xf>
    <xf numFmtId="0" fontId="7" fillId="0" borderId="0" xfId="0" applyFont="1"/>
    <xf numFmtId="164" fontId="6" fillId="0" borderId="0" xfId="0" applyNumberFormat="1" applyFont="1" applyBorder="1"/>
    <xf numFmtId="164" fontId="0" fillId="0" borderId="0" xfId="1" applyNumberFormat="1" applyFont="1" applyAlignment="1">
      <alignment horizontal="left" indent="1"/>
    </xf>
    <xf numFmtId="0" fontId="9" fillId="0" borderId="0" xfId="0" applyFont="1" applyAlignment="1">
      <alignment horizontal="left" indent="1"/>
    </xf>
    <xf numFmtId="0" fontId="0" fillId="15" borderId="0" xfId="0" applyFill="1"/>
    <xf numFmtId="164" fontId="0" fillId="15" borderId="0" xfId="1" applyNumberFormat="1" applyFont="1" applyFill="1"/>
    <xf numFmtId="164" fontId="0" fillId="8" borderId="2" xfId="1" applyNumberFormat="1" applyFont="1" applyFill="1" applyBorder="1"/>
    <xf numFmtId="0" fontId="8" fillId="0" borderId="0" xfId="0" applyFont="1" applyFill="1"/>
    <xf numFmtId="164" fontId="0" fillId="0" borderId="0" xfId="1" applyNumberFormat="1" applyFont="1" applyFill="1" applyBorder="1"/>
    <xf numFmtId="6" fontId="6" fillId="10" borderId="3" xfId="0" applyNumberFormat="1" applyFont="1" applyFill="1" applyBorder="1"/>
    <xf numFmtId="164" fontId="6" fillId="16" borderId="0" xfId="0" applyNumberFormat="1" applyFont="1" applyFill="1"/>
    <xf numFmtId="164" fontId="0" fillId="11" borderId="2" xfId="1" applyNumberFormat="1" applyFont="1" applyFill="1" applyBorder="1"/>
    <xf numFmtId="6" fontId="0" fillId="3" borderId="3" xfId="0" applyNumberFormat="1" applyFont="1" applyFill="1" applyBorder="1"/>
    <xf numFmtId="6" fontId="0" fillId="2" borderId="3" xfId="0" applyNumberFormat="1" applyFont="1" applyFill="1" applyBorder="1"/>
    <xf numFmtId="0" fontId="6" fillId="0" borderId="0" xfId="0" applyFont="1" applyAlignment="1">
      <alignment horizontal="center"/>
    </xf>
    <xf numFmtId="9" fontId="0" fillId="0" borderId="0" xfId="6" applyFont="1"/>
    <xf numFmtId="164" fontId="6" fillId="0" borderId="2" xfId="0" applyNumberFormat="1" applyFont="1" applyFill="1" applyBorder="1"/>
    <xf numFmtId="164" fontId="0" fillId="0" borderId="4" xfId="1" applyNumberFormat="1" applyFont="1" applyFill="1" applyBorder="1"/>
    <xf numFmtId="0" fontId="6" fillId="0" borderId="0" xfId="0" applyFont="1" applyAlignment="1">
      <alignment horizontal="center"/>
    </xf>
    <xf numFmtId="0" fontId="0" fillId="0" borderId="0" xfId="0" applyAlignment="1">
      <alignment horizontal="center"/>
    </xf>
    <xf numFmtId="0" fontId="6" fillId="0" borderId="4" xfId="0" applyFont="1" applyBorder="1"/>
    <xf numFmtId="0" fontId="6" fillId="0" borderId="4" xfId="0" applyFont="1" applyFill="1" applyBorder="1"/>
    <xf numFmtId="0" fontId="6" fillId="0" borderId="4" xfId="0" applyFont="1" applyBorder="1" applyAlignment="1">
      <alignment horizontal="left" indent="4"/>
    </xf>
    <xf numFmtId="167" fontId="0" fillId="15" borderId="0" xfId="41" applyNumberFormat="1" applyFont="1" applyFill="1" applyAlignment="1">
      <alignment horizontal="center"/>
    </xf>
    <xf numFmtId="167" fontId="0" fillId="0" borderId="0" xfId="41" applyNumberFormat="1" applyFont="1" applyFill="1" applyAlignment="1">
      <alignment horizontal="center"/>
    </xf>
    <xf numFmtId="164" fontId="6" fillId="8" borderId="2" xfId="0" applyNumberFormat="1" applyFont="1" applyFill="1" applyBorder="1"/>
    <xf numFmtId="0" fontId="0" fillId="3" borderId="4" xfId="0" applyFill="1" applyBorder="1" applyAlignment="1">
      <alignment horizontal="center"/>
    </xf>
    <xf numFmtId="0" fontId="6" fillId="3" borderId="4" xfId="0" applyFont="1" applyFill="1" applyBorder="1" applyAlignment="1">
      <alignment horizontal="center"/>
    </xf>
    <xf numFmtId="164" fontId="0" fillId="13" borderId="2" xfId="1" applyNumberFormat="1" applyFont="1" applyFill="1" applyBorder="1"/>
    <xf numFmtId="164" fontId="16" fillId="0" borderId="0" xfId="1" applyNumberFormat="1" applyFont="1" applyFill="1"/>
    <xf numFmtId="164" fontId="21" fillId="0" borderId="0" xfId="1" applyNumberFormat="1" applyFont="1" applyFill="1"/>
    <xf numFmtId="164" fontId="0" fillId="0" borderId="0" xfId="0" applyNumberFormat="1"/>
    <xf numFmtId="0" fontId="0" fillId="2" borderId="0" xfId="0" applyFill="1"/>
    <xf numFmtId="164" fontId="6" fillId="13" borderId="0" xfId="0" applyNumberFormat="1" applyFont="1" applyFill="1"/>
    <xf numFmtId="43" fontId="0" fillId="0" borderId="2" xfId="41" applyFont="1" applyFill="1" applyBorder="1"/>
    <xf numFmtId="6" fontId="6" fillId="0" borderId="0" xfId="0" applyNumberFormat="1" applyFont="1" applyFill="1" applyBorder="1"/>
    <xf numFmtId="164" fontId="6" fillId="0" borderId="0" xfId="0" applyNumberFormat="1" applyFont="1" applyFill="1" applyBorder="1"/>
    <xf numFmtId="0" fontId="6"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41" fontId="0" fillId="0" borderId="0" xfId="1208" applyFont="1"/>
    <xf numFmtId="0" fontId="9" fillId="0" borderId="5" xfId="0" applyFont="1" applyBorder="1"/>
    <xf numFmtId="0" fontId="22" fillId="0" borderId="5" xfId="0" applyFont="1" applyBorder="1" applyAlignment="1">
      <alignment horizontal="left"/>
    </xf>
    <xf numFmtId="0" fontId="19" fillId="0" borderId="5" xfId="0" applyFont="1" applyBorder="1" applyAlignment="1">
      <alignment horizontal="left"/>
    </xf>
    <xf numFmtId="0" fontId="16" fillId="0" borderId="5" xfId="0" applyFont="1" applyBorder="1"/>
    <xf numFmtId="0" fontId="19" fillId="0" borderId="5" xfId="0" applyFont="1" applyBorder="1" applyAlignment="1">
      <alignment horizontal="center"/>
    </xf>
    <xf numFmtId="164" fontId="0" fillId="0" borderId="6" xfId="1" applyNumberFormat="1" applyFont="1" applyFill="1" applyBorder="1"/>
    <xf numFmtId="0" fontId="16" fillId="0" borderId="5" xfId="0" applyFont="1" applyFill="1" applyBorder="1"/>
    <xf numFmtId="164" fontId="8" fillId="0" borderId="0" xfId="1" applyNumberFormat="1" applyFont="1" applyFill="1" applyBorder="1" applyAlignment="1">
      <alignment horizontal="center"/>
    </xf>
    <xf numFmtId="43" fontId="8" fillId="0" borderId="0" xfId="41" applyFont="1" applyFill="1" applyBorder="1" applyAlignment="1">
      <alignment horizontal="center"/>
    </xf>
    <xf numFmtId="43" fontId="0" fillId="0" borderId="0" xfId="41" applyFont="1" applyFill="1" applyBorder="1"/>
    <xf numFmtId="164" fontId="26" fillId="0" borderId="0" xfId="1" applyNumberFormat="1" applyFont="1" applyFill="1" applyBorder="1"/>
    <xf numFmtId="43" fontId="0" fillId="0" borderId="6" xfId="41" applyFont="1" applyFill="1" applyBorder="1"/>
    <xf numFmtId="43" fontId="0" fillId="0" borderId="0" xfId="41" applyFont="1" applyFill="1" applyBorder="1" applyAlignment="1">
      <alignment horizontal="right"/>
    </xf>
    <xf numFmtId="0" fontId="0" fillId="0" borderId="0" xfId="0" applyFill="1" applyBorder="1"/>
    <xf numFmtId="0" fontId="6" fillId="0" borderId="0" xfId="0" applyFont="1" applyBorder="1"/>
    <xf numFmtId="0" fontId="6" fillId="0" borderId="0" xfId="0" applyFont="1" applyFill="1" applyBorder="1"/>
    <xf numFmtId="0" fontId="6" fillId="0" borderId="0" xfId="0" applyFont="1" applyBorder="1" applyAlignment="1">
      <alignment horizontal="left" indent="4"/>
    </xf>
    <xf numFmtId="164" fontId="0" fillId="0" borderId="0" xfId="1" applyNumberFormat="1" applyFont="1" applyFill="1" applyBorder="1" applyAlignment="1">
      <alignment horizontal="center"/>
    </xf>
    <xf numFmtId="164" fontId="0" fillId="0" borderId="6" xfId="1" applyNumberFormat="1" applyFont="1" applyFill="1" applyBorder="1" applyAlignment="1">
      <alignment horizontal="center"/>
    </xf>
    <xf numFmtId="164" fontId="0" fillId="0" borderId="7" xfId="1" applyNumberFormat="1" applyFont="1" applyFill="1" applyBorder="1"/>
    <xf numFmtId="164" fontId="0" fillId="17" borderId="0" xfId="1" applyNumberFormat="1" applyFont="1" applyFill="1"/>
    <xf numFmtId="0" fontId="0" fillId="17" borderId="0" xfId="0" applyFill="1"/>
    <xf numFmtId="164" fontId="0" fillId="17" borderId="0" xfId="1" applyNumberFormat="1" applyFont="1" applyFill="1" applyBorder="1"/>
    <xf numFmtId="164" fontId="0" fillId="18" borderId="0" xfId="1" applyNumberFormat="1" applyFont="1" applyFill="1"/>
    <xf numFmtId="164" fontId="6" fillId="18" borderId="0" xfId="0" applyNumberFormat="1" applyFont="1" applyFill="1"/>
    <xf numFmtId="0" fontId="6" fillId="0" borderId="0" xfId="0" applyFont="1" applyAlignment="1">
      <alignment horizontal="center"/>
    </xf>
    <xf numFmtId="164" fontId="0" fillId="19" borderId="0" xfId="1" applyNumberFormat="1" applyFont="1" applyFill="1"/>
    <xf numFmtId="164" fontId="0" fillId="18" borderId="0" xfId="1" applyNumberFormat="1" applyFont="1" applyFill="1" applyAlignment="1">
      <alignment horizontal="left" indent="1"/>
    </xf>
    <xf numFmtId="164" fontId="0" fillId="0" borderId="0" xfId="0" applyNumberFormat="1" applyAlignment="1">
      <alignment horizontal="left" indent="1"/>
    </xf>
    <xf numFmtId="0" fontId="0" fillId="0" borderId="0" xfId="0" applyAlignment="1">
      <alignment horizontal="center"/>
    </xf>
    <xf numFmtId="164" fontId="0" fillId="20" borderId="0" xfId="1" applyNumberFormat="1" applyFont="1" applyFill="1"/>
    <xf numFmtId="164" fontId="0" fillId="17" borderId="0" xfId="0" applyNumberFormat="1" applyFill="1"/>
    <xf numFmtId="43" fontId="0" fillId="17" borderId="0" xfId="41" applyFont="1" applyFill="1"/>
    <xf numFmtId="0" fontId="0" fillId="14" borderId="0" xfId="0" applyFill="1"/>
    <xf numFmtId="164" fontId="0" fillId="14" borderId="0" xfId="0" applyNumberFormat="1" applyFill="1"/>
    <xf numFmtId="164" fontId="0" fillId="18" borderId="0" xfId="0" applyNumberFormat="1" applyFill="1"/>
    <xf numFmtId="0" fontId="0" fillId="14" borderId="0" xfId="0" applyFill="1" applyAlignment="1">
      <alignment horizontal="center"/>
    </xf>
    <xf numFmtId="164" fontId="0" fillId="0" borderId="0" xfId="0" applyNumberFormat="1" applyFill="1"/>
    <xf numFmtId="164" fontId="0" fillId="19" borderId="0" xfId="1" applyNumberFormat="1" applyFont="1" applyFill="1" applyBorder="1"/>
    <xf numFmtId="0" fontId="6" fillId="3" borderId="0" xfId="0" applyFont="1" applyFill="1" applyBorder="1" applyAlignment="1">
      <alignment horizontal="center"/>
    </xf>
    <xf numFmtId="0" fontId="0" fillId="18" borderId="0" xfId="0" applyFill="1"/>
    <xf numFmtId="0" fontId="0" fillId="18" borderId="0" xfId="0" applyFont="1" applyFill="1"/>
    <xf numFmtId="0" fontId="36" fillId="0" borderId="0" xfId="0" applyFont="1" applyAlignment="1">
      <alignment horizontal="center"/>
    </xf>
    <xf numFmtId="167" fontId="6" fillId="0" borderId="0" xfId="0" applyNumberFormat="1" applyFont="1" applyFill="1" applyBorder="1"/>
    <xf numFmtId="0" fontId="0" fillId="3" borderId="0" xfId="0" applyFill="1" applyBorder="1" applyAlignment="1">
      <alignment horizontal="center"/>
    </xf>
    <xf numFmtId="0" fontId="6" fillId="18" borderId="0" xfId="0" applyFont="1" applyFill="1"/>
    <xf numFmtId="0" fontId="9" fillId="18" borderId="0" xfId="0" applyFont="1" applyFill="1"/>
    <xf numFmtId="164" fontId="0" fillId="18" borderId="0" xfId="1" applyNumberFormat="1" applyFont="1" applyFill="1" applyAlignment="1">
      <alignment horizontal="right"/>
    </xf>
    <xf numFmtId="0" fontId="8" fillId="18" borderId="0" xfId="0" applyFont="1" applyFill="1"/>
    <xf numFmtId="164" fontId="0" fillId="18" borderId="0" xfId="1" applyNumberFormat="1" applyFont="1" applyFill="1" applyBorder="1"/>
    <xf numFmtId="164" fontId="8" fillId="18" borderId="0" xfId="1" applyNumberFormat="1" applyFont="1" applyFill="1"/>
    <xf numFmtId="164" fontId="0" fillId="8" borderId="0" xfId="1" applyNumberFormat="1" applyFont="1" applyFill="1" applyBorder="1"/>
    <xf numFmtId="164" fontId="0" fillId="13" borderId="0" xfId="1" applyNumberFormat="1" applyFont="1" applyFill="1" applyBorder="1"/>
    <xf numFmtId="167" fontId="0" fillId="0" borderId="2" xfId="41" applyNumberFormat="1" applyFont="1" applyFill="1" applyBorder="1"/>
    <xf numFmtId="167" fontId="0" fillId="0" borderId="0" xfId="0" applyNumberFormat="1"/>
    <xf numFmtId="0" fontId="6" fillId="2" borderId="0" xfId="0" applyFont="1" applyFill="1" applyBorder="1"/>
    <xf numFmtId="0" fontId="33" fillId="0" borderId="0" xfId="0" applyFont="1" applyFill="1"/>
    <xf numFmtId="167" fontId="33" fillId="0" borderId="0" xfId="41" applyNumberFormat="1" applyFont="1" applyFill="1"/>
    <xf numFmtId="10" fontId="0" fillId="13" borderId="0" xfId="6" applyNumberFormat="1" applyFont="1" applyFill="1" applyBorder="1"/>
    <xf numFmtId="0" fontId="8" fillId="0" borderId="0" xfId="0" applyFont="1" applyFill="1" applyAlignment="1">
      <alignment horizontal="right"/>
    </xf>
    <xf numFmtId="0" fontId="0" fillId="0" borderId="5" xfId="0" applyFill="1" applyBorder="1" applyAlignment="1">
      <alignment horizontal="center"/>
    </xf>
    <xf numFmtId="0" fontId="6" fillId="0" borderId="0" xfId="0" applyFont="1" applyFill="1" applyBorder="1" applyAlignment="1">
      <alignment horizontal="center"/>
    </xf>
    <xf numFmtId="0" fontId="6" fillId="0" borderId="6" xfId="0" applyFont="1" applyFill="1" applyBorder="1" applyAlignment="1">
      <alignment horizontal="center"/>
    </xf>
    <xf numFmtId="164" fontId="0" fillId="0" borderId="0" xfId="0" applyNumberFormat="1" applyFill="1" applyBorder="1"/>
    <xf numFmtId="0" fontId="9" fillId="0" borderId="5" xfId="0" applyFont="1" applyFill="1" applyBorder="1"/>
    <xf numFmtId="164" fontId="6" fillId="0" borderId="0" xfId="1" applyNumberFormat="1" applyFont="1" applyFill="1"/>
    <xf numFmtId="0" fontId="22" fillId="0" borderId="5" xfId="0" applyFont="1" applyFill="1" applyBorder="1" applyAlignment="1">
      <alignment horizontal="left"/>
    </xf>
    <xf numFmtId="0" fontId="19" fillId="0" borderId="5" xfId="0" applyFont="1" applyFill="1" applyBorder="1" applyAlignment="1">
      <alignment horizontal="left"/>
    </xf>
    <xf numFmtId="0" fontId="19" fillId="0" borderId="5" xfId="0" applyFont="1" applyFill="1" applyBorder="1" applyAlignment="1">
      <alignment horizontal="center"/>
    </xf>
    <xf numFmtId="0" fontId="6" fillId="0" borderId="0" xfId="0" applyFont="1" applyFill="1" applyBorder="1" applyAlignment="1">
      <alignment horizontal="left" indent="4"/>
    </xf>
    <xf numFmtId="164" fontId="7" fillId="0" borderId="0" xfId="1" applyNumberFormat="1" applyFont="1" applyFill="1"/>
    <xf numFmtId="0" fontId="0" fillId="0" borderId="4" xfId="0" applyFill="1" applyBorder="1"/>
    <xf numFmtId="0" fontId="0" fillId="0" borderId="0" xfId="0" applyFont="1" applyFill="1"/>
    <xf numFmtId="0" fontId="25" fillId="18" borderId="0" xfId="0" applyFont="1" applyFill="1" applyAlignment="1">
      <alignment horizontal="center"/>
    </xf>
    <xf numFmtId="164" fontId="7" fillId="18" borderId="0" xfId="1" applyNumberFormat="1" applyFont="1" applyFill="1"/>
    <xf numFmtId="0" fontId="38" fillId="0" borderId="0" xfId="0" applyFont="1" applyFill="1"/>
    <xf numFmtId="164" fontId="38" fillId="0" borderId="0" xfId="0" applyNumberFormat="1" applyFont="1" applyFill="1"/>
    <xf numFmtId="0" fontId="25" fillId="21" borderId="5" xfId="0" applyFont="1" applyFill="1" applyBorder="1" applyAlignment="1">
      <alignment horizontal="left" indent="1"/>
    </xf>
    <xf numFmtId="0" fontId="22" fillId="21" borderId="5" xfId="0" applyFont="1" applyFill="1" applyBorder="1" applyAlignment="1">
      <alignment horizontal="left"/>
    </xf>
    <xf numFmtId="0" fontId="19" fillId="21" borderId="5" xfId="0" applyFont="1" applyFill="1" applyBorder="1" applyAlignment="1">
      <alignment horizontal="left"/>
    </xf>
    <xf numFmtId="0" fontId="16" fillId="21" borderId="5" xfId="0" applyFont="1" applyFill="1" applyBorder="1"/>
    <xf numFmtId="167" fontId="0" fillId="21" borderId="2" xfId="41" applyNumberFormat="1" applyFont="1" applyFill="1" applyBorder="1"/>
    <xf numFmtId="0" fontId="9" fillId="21" borderId="5" xfId="0" applyFont="1" applyFill="1" applyBorder="1"/>
    <xf numFmtId="164" fontId="6" fillId="21" borderId="2" xfId="0" applyNumberFormat="1" applyFont="1" applyFill="1" applyBorder="1"/>
    <xf numFmtId="0" fontId="19" fillId="21" borderId="5" xfId="0" applyFont="1" applyFill="1" applyBorder="1" applyAlignment="1">
      <alignment horizontal="center"/>
    </xf>
    <xf numFmtId="164" fontId="0" fillId="21" borderId="0" xfId="1" applyNumberFormat="1" applyFont="1" applyFill="1" applyBorder="1"/>
    <xf numFmtId="0" fontId="30" fillId="21" borderId="5" xfId="0" applyFont="1" applyFill="1" applyBorder="1" applyAlignment="1">
      <alignment horizontal="left"/>
    </xf>
    <xf numFmtId="10" fontId="0" fillId="0" borderId="0" xfId="6" applyNumberFormat="1" applyFont="1" applyFill="1" applyBorder="1"/>
    <xf numFmtId="164" fontId="0" fillId="6" borderId="0" xfId="1" applyNumberFormat="1" applyFont="1" applyFill="1" applyBorder="1"/>
    <xf numFmtId="164" fontId="0" fillId="6" borderId="2" xfId="1" applyNumberFormat="1" applyFont="1" applyFill="1" applyBorder="1"/>
    <xf numFmtId="0" fontId="0" fillId="0" borderId="4" xfId="0" applyFill="1" applyBorder="1" applyAlignment="1">
      <alignment horizontal="center"/>
    </xf>
    <xf numFmtId="0" fontId="6" fillId="0" borderId="4" xfId="0" applyFont="1" applyFill="1" applyBorder="1" applyAlignment="1">
      <alignment horizontal="center"/>
    </xf>
    <xf numFmtId="0" fontId="0" fillId="0" borderId="0" xfId="0" applyFill="1" applyBorder="1" applyAlignment="1">
      <alignment horizontal="center"/>
    </xf>
    <xf numFmtId="165" fontId="6" fillId="0" borderId="2" xfId="6" applyNumberFormat="1" applyFont="1" applyBorder="1"/>
    <xf numFmtId="165" fontId="6" fillId="0" borderId="2" xfId="6" applyNumberFormat="1" applyFont="1" applyFill="1" applyBorder="1"/>
    <xf numFmtId="0" fontId="21" fillId="18" borderId="0" xfId="0" applyFont="1" applyFill="1"/>
    <xf numFmtId="164" fontId="21" fillId="18" borderId="0" xfId="0" applyNumberFormat="1" applyFont="1" applyFill="1"/>
    <xf numFmtId="0" fontId="6" fillId="0" borderId="0" xfId="0" applyFont="1" applyFill="1" applyAlignment="1">
      <alignment horizontal="center"/>
    </xf>
    <xf numFmtId="0" fontId="0" fillId="21" borderId="4" xfId="0" applyFill="1" applyBorder="1" applyAlignment="1">
      <alignment horizontal="center"/>
    </xf>
    <xf numFmtId="0" fontId="0" fillId="0" borderId="0" xfId="0" quotePrefix="1" applyAlignment="1">
      <alignment wrapText="1"/>
    </xf>
    <xf numFmtId="0" fontId="0" fillId="0" borderId="0" xfId="0" applyAlignment="1">
      <alignment wrapText="1"/>
    </xf>
    <xf numFmtId="0" fontId="21" fillId="2" borderId="0" xfId="0" applyFont="1" applyFill="1"/>
    <xf numFmtId="164" fontId="0" fillId="2" borderId="0" xfId="0" applyNumberFormat="1" applyFill="1"/>
    <xf numFmtId="164" fontId="0" fillId="0" borderId="0" xfId="1" applyNumberFormat="1" applyFont="1" applyAlignment="1">
      <alignment horizontal="left"/>
    </xf>
    <xf numFmtId="0" fontId="6" fillId="0" borderId="0" xfId="0" applyFont="1" applyAlignment="1">
      <alignment horizontal="right"/>
    </xf>
    <xf numFmtId="0" fontId="0" fillId="0" borderId="0" xfId="0" applyFill="1" applyAlignment="1">
      <alignment wrapText="1"/>
    </xf>
    <xf numFmtId="0" fontId="14"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40" fillId="0" borderId="0" xfId="0" applyFont="1" applyFill="1"/>
    <xf numFmtId="0" fontId="40" fillId="18" borderId="0" xfId="0" applyFont="1" applyFill="1"/>
    <xf numFmtId="164" fontId="40" fillId="18" borderId="0" xfId="1" applyNumberFormat="1" applyFont="1" applyFill="1"/>
    <xf numFmtId="0" fontId="41" fillId="18" borderId="0" xfId="0" applyFont="1" applyFill="1"/>
    <xf numFmtId="0" fontId="0" fillId="0" borderId="11" xfId="0" applyBorder="1"/>
    <xf numFmtId="0" fontId="0" fillId="0" borderId="12" xfId="0" applyBorder="1"/>
    <xf numFmtId="0" fontId="0" fillId="0" borderId="12" xfId="0" applyFill="1" applyBorder="1"/>
    <xf numFmtId="167" fontId="0" fillId="0" borderId="12" xfId="41" applyNumberFormat="1" applyFont="1" applyFill="1" applyBorder="1" applyAlignment="1">
      <alignment horizontal="center"/>
    </xf>
    <xf numFmtId="167" fontId="0" fillId="0" borderId="13" xfId="41" applyNumberFormat="1" applyFont="1" applyFill="1" applyBorder="1" applyAlignment="1">
      <alignment horizontal="center"/>
    </xf>
    <xf numFmtId="0" fontId="0" fillId="0" borderId="5" xfId="0" applyBorder="1"/>
    <xf numFmtId="167" fontId="0" fillId="0" borderId="0" xfId="41" applyNumberFormat="1" applyFont="1" applyFill="1" applyBorder="1" applyAlignment="1">
      <alignment horizontal="center"/>
    </xf>
    <xf numFmtId="167" fontId="0" fillId="0" borderId="6" xfId="41" applyNumberFormat="1" applyFont="1" applyFill="1" applyBorder="1" applyAlignment="1">
      <alignment horizontal="center"/>
    </xf>
    <xf numFmtId="0" fontId="6" fillId="0" borderId="5" xfId="0" applyFont="1" applyBorder="1"/>
    <xf numFmtId="167" fontId="13" fillId="15" borderId="0" xfId="41" applyNumberFormat="1" applyFont="1" applyFill="1" applyBorder="1" applyAlignment="1">
      <alignment horizontal="center" vertical="center" wrapText="1"/>
    </xf>
    <xf numFmtId="167" fontId="6" fillId="0" borderId="0" xfId="0" applyNumberFormat="1" applyFont="1" applyBorder="1"/>
    <xf numFmtId="167" fontId="0" fillId="15" borderId="0" xfId="41" applyNumberFormat="1" applyFont="1" applyFill="1" applyBorder="1" applyAlignment="1">
      <alignment horizontal="center"/>
    </xf>
    <xf numFmtId="167" fontId="6" fillId="0" borderId="6" xfId="0" applyNumberFormat="1" applyFont="1" applyBorder="1"/>
    <xf numFmtId="165" fontId="6" fillId="0" borderId="0" xfId="6" applyNumberFormat="1" applyFont="1" applyBorder="1"/>
    <xf numFmtId="165" fontId="6" fillId="0" borderId="0" xfId="6" applyNumberFormat="1" applyFont="1" applyFill="1" applyBorder="1"/>
    <xf numFmtId="0" fontId="0" fillId="0" borderId="6" xfId="0" applyBorder="1"/>
    <xf numFmtId="0" fontId="0" fillId="0" borderId="9" xfId="0" applyBorder="1"/>
    <xf numFmtId="165" fontId="6" fillId="0" borderId="6" xfId="6" applyNumberFormat="1" applyFont="1" applyBorder="1"/>
    <xf numFmtId="0" fontId="6" fillId="0" borderId="0" xfId="0" applyFont="1" applyFill="1" applyBorder="1" applyAlignment="1">
      <alignment horizontal="center" wrapText="1"/>
    </xf>
    <xf numFmtId="167" fontId="6" fillId="15" borderId="0" xfId="41" applyNumberFormat="1" applyFont="1" applyFill="1" applyBorder="1" applyAlignment="1">
      <alignment horizontal="center" wrapText="1"/>
    </xf>
    <xf numFmtId="0" fontId="0" fillId="0" borderId="6" xfId="0" applyFill="1" applyBorder="1" applyAlignment="1">
      <alignment horizontal="center"/>
    </xf>
    <xf numFmtId="0" fontId="36" fillId="0" borderId="5" xfId="0" applyFont="1" applyBorder="1" applyAlignment="1">
      <alignment horizontal="center"/>
    </xf>
    <xf numFmtId="164" fontId="6" fillId="0" borderId="6" xfId="0" applyNumberFormat="1" applyFont="1" applyFill="1" applyBorder="1" applyAlignment="1">
      <alignment horizontal="center"/>
    </xf>
    <xf numFmtId="0" fontId="9" fillId="6" borderId="5" xfId="0" applyFont="1" applyFill="1" applyBorder="1"/>
    <xf numFmtId="164" fontId="0" fillId="6" borderId="6" xfId="1" applyNumberFormat="1" applyFont="1" applyFill="1" applyBorder="1"/>
    <xf numFmtId="0" fontId="22" fillId="6" borderId="5" xfId="0" applyFont="1" applyFill="1" applyBorder="1" applyAlignment="1">
      <alignment horizontal="left"/>
    </xf>
    <xf numFmtId="167" fontId="0" fillId="15" borderId="0" xfId="41" applyNumberFormat="1" applyFont="1" applyFill="1" applyBorder="1" applyAlignment="1"/>
    <xf numFmtId="0" fontId="19" fillId="6" borderId="5" xfId="0" applyFont="1" applyFill="1" applyBorder="1" applyAlignment="1">
      <alignment horizontal="left"/>
    </xf>
    <xf numFmtId="0" fontId="16" fillId="6" borderId="5" xfId="0" applyFont="1" applyFill="1" applyBorder="1"/>
    <xf numFmtId="164" fontId="0" fillId="6" borderId="7" xfId="1" applyNumberFormat="1" applyFont="1" applyFill="1" applyBorder="1"/>
    <xf numFmtId="0" fontId="19" fillId="6" borderId="5" xfId="0" applyFont="1" applyFill="1" applyBorder="1" applyAlignment="1">
      <alignment horizontal="center"/>
    </xf>
    <xf numFmtId="165" fontId="0" fillId="0" borderId="0" xfId="6" applyNumberFormat="1" applyFont="1" applyBorder="1"/>
    <xf numFmtId="167" fontId="13" fillId="0" borderId="0" xfId="41" applyNumberFormat="1" applyFont="1" applyFill="1" applyBorder="1" applyAlignment="1">
      <alignment horizontal="center" vertical="center" wrapText="1"/>
    </xf>
    <xf numFmtId="167" fontId="13" fillId="0" borderId="6" xfId="41" applyNumberFormat="1" applyFont="1" applyFill="1" applyBorder="1" applyAlignment="1">
      <alignment horizontal="center" vertical="center" wrapText="1"/>
    </xf>
    <xf numFmtId="41" fontId="0" fillId="0" borderId="0" xfId="1208" applyFont="1" applyBorder="1"/>
    <xf numFmtId="41" fontId="0" fillId="0" borderId="0" xfId="1208" applyFont="1" applyFill="1" applyBorder="1"/>
    <xf numFmtId="41" fontId="0" fillId="15" borderId="0" xfId="1208" applyFont="1" applyFill="1" applyBorder="1" applyAlignment="1">
      <alignment horizontal="center"/>
    </xf>
    <xf numFmtId="41" fontId="0" fillId="0" borderId="0" xfId="1208" applyFont="1" applyFill="1" applyBorder="1" applyAlignment="1">
      <alignment horizontal="center"/>
    </xf>
    <xf numFmtId="41" fontId="0" fillId="0" borderId="6" xfId="1208" applyFont="1" applyFill="1" applyBorder="1" applyAlignment="1">
      <alignment horizontal="center"/>
    </xf>
    <xf numFmtId="0" fontId="37" fillId="0" borderId="5" xfId="0" applyFont="1" applyBorder="1" applyAlignment="1">
      <alignment horizontal="center"/>
    </xf>
    <xf numFmtId="0" fontId="0" fillId="0" borderId="8" xfId="0" applyFill="1" applyBorder="1" applyAlignment="1">
      <alignment horizontal="center"/>
    </xf>
    <xf numFmtId="164" fontId="0" fillId="21" borderId="6" xfId="1" applyNumberFormat="1" applyFont="1" applyFill="1" applyBorder="1"/>
    <xf numFmtId="0" fontId="36" fillId="0" borderId="5" xfId="0" applyFont="1" applyBorder="1" applyAlignment="1">
      <alignment horizontal="left"/>
    </xf>
    <xf numFmtId="0" fontId="39" fillId="0" borderId="5" xfId="0" applyFont="1" applyBorder="1" applyAlignment="1">
      <alignment horizontal="left"/>
    </xf>
    <xf numFmtId="0" fontId="8" fillId="0" borderId="5" xfId="0" applyFont="1" applyFill="1" applyBorder="1"/>
    <xf numFmtId="164" fontId="1" fillId="0" borderId="0" xfId="1" applyNumberFormat="1" applyFont="1" applyFill="1" applyBorder="1"/>
    <xf numFmtId="164" fontId="1" fillId="0" borderId="6" xfId="1" applyNumberFormat="1" applyFont="1" applyFill="1" applyBorder="1"/>
    <xf numFmtId="0" fontId="16" fillId="0" borderId="5" xfId="0" applyFont="1" applyBorder="1" applyAlignment="1"/>
    <xf numFmtId="164" fontId="0" fillId="11" borderId="7" xfId="1" applyNumberFormat="1" applyFont="1" applyFill="1" applyBorder="1"/>
    <xf numFmtId="0" fontId="8" fillId="0" borderId="5" xfId="0" applyFont="1" applyBorder="1" applyAlignment="1">
      <alignment horizontal="right"/>
    </xf>
    <xf numFmtId="167" fontId="0" fillId="0" borderId="0" xfId="41" applyNumberFormat="1" applyFont="1" applyFill="1" applyBorder="1"/>
    <xf numFmtId="167" fontId="0" fillId="0" borderId="6" xfId="41" applyNumberFormat="1" applyFont="1" applyFill="1" applyBorder="1"/>
    <xf numFmtId="43" fontId="0" fillId="0" borderId="7" xfId="41" applyFont="1" applyFill="1" applyBorder="1"/>
    <xf numFmtId="167" fontId="0" fillId="0" borderId="7" xfId="41" applyNumberFormat="1" applyFont="1" applyFill="1" applyBorder="1"/>
    <xf numFmtId="0" fontId="8" fillId="21" borderId="5" xfId="0" applyFont="1" applyFill="1" applyBorder="1"/>
    <xf numFmtId="167" fontId="0" fillId="21" borderId="0" xfId="41" applyNumberFormat="1" applyFont="1" applyFill="1" applyBorder="1"/>
    <xf numFmtId="167" fontId="0" fillId="21" borderId="6" xfId="41" applyNumberFormat="1" applyFont="1" applyFill="1" applyBorder="1"/>
    <xf numFmtId="0" fontId="16" fillId="21" borderId="5" xfId="0" applyFont="1" applyFill="1" applyBorder="1" applyAlignment="1"/>
    <xf numFmtId="167" fontId="0" fillId="21" borderId="7" xfId="41" applyNumberFormat="1" applyFont="1" applyFill="1" applyBorder="1"/>
    <xf numFmtId="0" fontId="8" fillId="21" borderId="9" xfId="0" applyFont="1" applyFill="1" applyBorder="1" applyAlignment="1">
      <alignment horizontal="right"/>
    </xf>
    <xf numFmtId="164" fontId="0" fillId="21" borderId="2" xfId="1" applyNumberFormat="1" applyFont="1" applyFill="1" applyBorder="1"/>
    <xf numFmtId="167" fontId="0" fillId="15" borderId="2" xfId="41" applyNumberFormat="1" applyFont="1" applyFill="1" applyBorder="1" applyAlignment="1">
      <alignment horizontal="center"/>
    </xf>
    <xf numFmtId="164" fontId="0" fillId="0" borderId="10" xfId="1" applyNumberFormat="1" applyFont="1" applyBorder="1"/>
    <xf numFmtId="167" fontId="8" fillId="0" borderId="0" xfId="41" applyNumberFormat="1" applyFont="1" applyFill="1" applyBorder="1" applyAlignment="1">
      <alignment horizontal="center"/>
    </xf>
    <xf numFmtId="167" fontId="0" fillId="0" borderId="0" xfId="0" applyNumberFormat="1" applyFill="1" applyBorder="1"/>
    <xf numFmtId="0" fontId="8" fillId="18" borderId="0" xfId="0" applyFont="1" applyFill="1" applyAlignment="1">
      <alignment horizontal="right"/>
    </xf>
    <xf numFmtId="43" fontId="0" fillId="18" borderId="0" xfId="41" applyFont="1" applyFill="1"/>
    <xf numFmtId="167" fontId="0" fillId="18" borderId="0" xfId="41" applyNumberFormat="1" applyFont="1" applyFill="1" applyAlignment="1">
      <alignment horizontal="center"/>
    </xf>
    <xf numFmtId="0" fontId="24" fillId="0" borderId="0" xfId="0" applyFont="1" applyFill="1" applyAlignment="1">
      <alignment horizontal="center"/>
    </xf>
    <xf numFmtId="0" fontId="6" fillId="18" borderId="0" xfId="0" applyFont="1" applyFill="1" applyAlignment="1">
      <alignment horizontal="right"/>
    </xf>
    <xf numFmtId="164" fontId="0" fillId="18" borderId="0" xfId="1" applyNumberFormat="1" applyFont="1" applyFill="1" applyAlignment="1">
      <alignment horizontal="left"/>
    </xf>
    <xf numFmtId="164" fontId="40" fillId="0" borderId="0" xfId="1" applyNumberFormat="1" applyFont="1" applyFill="1"/>
    <xf numFmtId="164" fontId="40" fillId="0" borderId="0" xfId="1" applyNumberFormat="1" applyFont="1" applyFill="1" applyAlignment="1">
      <alignment horizontal="right"/>
    </xf>
    <xf numFmtId="167" fontId="0" fillId="15" borderId="12" xfId="41" applyNumberFormat="1" applyFont="1" applyFill="1" applyBorder="1" applyAlignment="1">
      <alignment horizontal="center"/>
    </xf>
    <xf numFmtId="0" fontId="6" fillId="0" borderId="0" xfId="0" applyFont="1" applyAlignment="1">
      <alignment horizontal="center"/>
    </xf>
    <xf numFmtId="0" fontId="6" fillId="0" borderId="0" xfId="0" applyFont="1" applyAlignment="1">
      <alignment horizontal="center"/>
    </xf>
    <xf numFmtId="165" fontId="0" fillId="0" borderId="0" xfId="6" applyNumberFormat="1" applyFont="1" applyFill="1" applyBorder="1"/>
    <xf numFmtId="0" fontId="6" fillId="0" borderId="0" xfId="0" applyFont="1" applyAlignment="1">
      <alignment horizontal="center"/>
    </xf>
    <xf numFmtId="0" fontId="6" fillId="0" borderId="0" xfId="0" applyFont="1" applyAlignment="1">
      <alignment horizontal="center"/>
    </xf>
    <xf numFmtId="43" fontId="0" fillId="0" borderId="0" xfId="1" applyNumberFormat="1" applyFont="1"/>
    <xf numFmtId="164" fontId="9" fillId="21" borderId="0" xfId="0" applyNumberFormat="1" applyFont="1" applyFill="1" applyBorder="1"/>
    <xf numFmtId="164" fontId="9" fillId="21" borderId="2" xfId="0" applyNumberFormat="1" applyFont="1" applyFill="1" applyBorder="1"/>
    <xf numFmtId="164" fontId="9" fillId="21" borderId="7" xfId="0" applyNumberFormat="1" applyFont="1" applyFill="1" applyBorder="1"/>
    <xf numFmtId="164" fontId="8" fillId="0" borderId="0" xfId="1" applyNumberFormat="1" applyFont="1" applyFill="1" applyBorder="1"/>
    <xf numFmtId="164" fontId="8" fillId="6" borderId="0" xfId="1" applyNumberFormat="1" applyFont="1" applyFill="1" applyBorder="1"/>
    <xf numFmtId="0" fontId="6" fillId="0" borderId="4" xfId="0" applyFont="1" applyBorder="1" applyAlignment="1">
      <alignment horizontal="center"/>
    </xf>
    <xf numFmtId="0" fontId="6" fillId="6" borderId="5" xfId="0" applyFont="1" applyFill="1" applyBorder="1" applyAlignment="1">
      <alignment horizontal="left"/>
    </xf>
    <xf numFmtId="164" fontId="8" fillId="6" borderId="2" xfId="1" applyNumberFormat="1" applyFont="1" applyFill="1" applyBorder="1"/>
    <xf numFmtId="164" fontId="9" fillId="21" borderId="6" xfId="0" applyNumberFormat="1" applyFont="1" applyFill="1" applyBorder="1"/>
    <xf numFmtId="169" fontId="0" fillId="0" borderId="0" xfId="41" applyNumberFormat="1" applyFont="1" applyAlignment="1">
      <alignment horizontal="right"/>
    </xf>
    <xf numFmtId="0" fontId="0" fillId="0" borderId="0" xfId="0" applyAlignment="1">
      <alignment horizontal="center"/>
    </xf>
    <xf numFmtId="165" fontId="6" fillId="0" borderId="8" xfId="6" quotePrefix="1" applyNumberFormat="1" applyFont="1" applyBorder="1" applyAlignment="1">
      <alignment horizontal="center"/>
    </xf>
    <xf numFmtId="165" fontId="6" fillId="21" borderId="8" xfId="6" quotePrefix="1" applyNumberFormat="1" applyFont="1" applyFill="1" applyBorder="1" applyAlignment="1">
      <alignment horizontal="center"/>
    </xf>
    <xf numFmtId="0" fontId="24" fillId="0" borderId="0" xfId="0" applyFont="1" applyFill="1" applyBorder="1"/>
    <xf numFmtId="0" fontId="8" fillId="0" borderId="0" xfId="0" applyFont="1" applyFill="1" applyBorder="1"/>
    <xf numFmtId="166" fontId="0" fillId="0" borderId="0" xfId="41" applyNumberFormat="1" applyFont="1" applyFill="1" applyBorder="1"/>
    <xf numFmtId="0" fontId="0" fillId="0" borderId="0" xfId="0" applyFill="1" applyBorder="1" applyAlignment="1">
      <alignment horizontal="left" indent="1"/>
    </xf>
    <xf numFmtId="43" fontId="0" fillId="0" borderId="0" xfId="41" applyNumberFormat="1" applyFont="1" applyFill="1" applyBorder="1"/>
    <xf numFmtId="0" fontId="8" fillId="0" borderId="0" xfId="0" applyFont="1" applyFill="1" applyBorder="1" applyAlignment="1">
      <alignment horizontal="right"/>
    </xf>
    <xf numFmtId="166" fontId="0" fillId="0" borderId="0" xfId="41" applyNumberFormat="1" applyFont="1" applyFill="1" applyBorder="1" applyAlignment="1">
      <alignment horizontal="right"/>
    </xf>
    <xf numFmtId="0" fontId="8" fillId="0" borderId="0" xfId="0" applyFont="1" applyFill="1" applyBorder="1" applyAlignment="1">
      <alignment horizontal="center"/>
    </xf>
    <xf numFmtId="0" fontId="14" fillId="0" borderId="0" xfId="0" applyFont="1" applyFill="1" applyBorder="1"/>
    <xf numFmtId="44" fontId="0" fillId="0" borderId="0" xfId="1" applyFont="1" applyFill="1" applyBorder="1"/>
    <xf numFmtId="0" fontId="9" fillId="0" borderId="0" xfId="0" applyFont="1" applyFill="1" applyBorder="1"/>
    <xf numFmtId="0" fontId="7" fillId="0" borderId="0" xfId="0" applyFont="1" applyFill="1" applyBorder="1" applyAlignment="1">
      <alignment horizontal="left" indent="2"/>
    </xf>
    <xf numFmtId="0" fontId="9" fillId="0" borderId="0" xfId="0" applyFont="1" applyFill="1" applyBorder="1" applyAlignment="1">
      <alignment horizontal="center"/>
    </xf>
    <xf numFmtId="0" fontId="16" fillId="0" borderId="0" xfId="0" applyFont="1" applyFill="1" applyBorder="1"/>
    <xf numFmtId="0" fontId="0" fillId="0" borderId="0" xfId="0" applyFill="1" applyBorder="1" applyAlignment="1">
      <alignment horizontal="left" wrapText="1" indent="1"/>
    </xf>
    <xf numFmtId="0" fontId="16" fillId="0" borderId="0" xfId="0" applyFont="1" applyFill="1" applyBorder="1" applyAlignment="1">
      <alignment horizontal="right"/>
    </xf>
    <xf numFmtId="6" fontId="0" fillId="0" borderId="0" xfId="0" applyNumberFormat="1" applyFont="1" applyFill="1" applyBorder="1"/>
    <xf numFmtId="0" fontId="6" fillId="0" borderId="0" xfId="0" applyFont="1" applyFill="1" applyBorder="1" applyAlignment="1">
      <alignment horizontal="right"/>
    </xf>
    <xf numFmtId="164" fontId="0" fillId="0" borderId="0" xfId="1" applyNumberFormat="1" applyFont="1" applyFill="1" applyBorder="1" applyAlignment="1">
      <alignment horizontal="right"/>
    </xf>
    <xf numFmtId="0" fontId="0" fillId="0" borderId="0" xfId="0" applyFill="1" applyBorder="1" applyAlignment="1">
      <alignment horizontal="right"/>
    </xf>
    <xf numFmtId="0" fontId="6" fillId="0" borderId="0" xfId="0" applyFont="1" applyFill="1" applyBorder="1" applyAlignment="1">
      <alignment wrapText="1"/>
    </xf>
    <xf numFmtId="0" fontId="9" fillId="0" borderId="0" xfId="0" applyFont="1" applyFill="1" applyBorder="1" applyAlignment="1">
      <alignment horizontal="right"/>
    </xf>
    <xf numFmtId="0" fontId="25" fillId="0" borderId="0" xfId="0" applyFont="1" applyFill="1" applyBorder="1" applyAlignment="1">
      <alignment horizontal="center"/>
    </xf>
    <xf numFmtId="164" fontId="6" fillId="0" borderId="0" xfId="0" applyNumberFormat="1" applyFont="1" applyFill="1" applyBorder="1" applyAlignment="1"/>
    <xf numFmtId="167" fontId="6" fillId="0" borderId="0" xfId="41" applyNumberFormat="1" applyFont="1" applyFill="1" applyBorder="1"/>
    <xf numFmtId="0" fontId="6" fillId="0" borderId="0" xfId="0" applyFont="1" applyFill="1" applyBorder="1" applyAlignment="1">
      <alignment horizontal="left" indent="1"/>
    </xf>
    <xf numFmtId="164" fontId="6" fillId="0" borderId="0" xfId="1" applyNumberFormat="1" applyFont="1" applyFill="1" applyBorder="1" applyAlignment="1">
      <alignment horizontal="center"/>
    </xf>
    <xf numFmtId="0" fontId="7" fillId="0" borderId="0" xfId="0" applyFont="1" applyFill="1" applyBorder="1" applyAlignment="1">
      <alignment horizontal="left" indent="1"/>
    </xf>
    <xf numFmtId="0" fontId="9" fillId="0" borderId="0" xfId="0" applyFont="1" applyFill="1" applyBorder="1" applyAlignment="1">
      <alignment horizontal="right" indent="1"/>
    </xf>
    <xf numFmtId="0" fontId="7" fillId="0" borderId="0" xfId="0" applyFont="1" applyFill="1" applyBorder="1" applyAlignment="1">
      <alignment horizontal="right"/>
    </xf>
    <xf numFmtId="0" fontId="0" fillId="0" borderId="0" xfId="0" applyFont="1" applyFill="1" applyBorder="1" applyAlignment="1">
      <alignment horizontal="left" indent="1"/>
    </xf>
    <xf numFmtId="167" fontId="6" fillId="0" borderId="0" xfId="41" applyNumberFormat="1" applyFont="1" applyFill="1" applyBorder="1" applyAlignment="1">
      <alignment horizontal="center"/>
    </xf>
    <xf numFmtId="0" fontId="8" fillId="0" borderId="0" xfId="0" applyFont="1" applyFill="1" applyBorder="1" applyAlignment="1">
      <alignment horizontal="left"/>
    </xf>
    <xf numFmtId="43" fontId="6" fillId="0" borderId="0" xfId="41" applyNumberFormat="1" applyFont="1" applyFill="1" applyBorder="1" applyAlignment="1">
      <alignment horizontal="center"/>
    </xf>
    <xf numFmtId="164" fontId="6" fillId="0" borderId="0" xfId="0" applyNumberFormat="1" applyFont="1" applyFill="1" applyBorder="1" applyAlignment="1">
      <alignment horizontal="center"/>
    </xf>
    <xf numFmtId="0" fontId="24" fillId="0" borderId="0" xfId="0" applyFont="1" applyFill="1" applyBorder="1" applyAlignment="1"/>
    <xf numFmtId="0" fontId="20" fillId="0" borderId="0" xfId="0" applyFont="1" applyFill="1" applyBorder="1" applyAlignment="1">
      <alignment horizontal="left" indent="1"/>
    </xf>
    <xf numFmtId="0" fontId="8" fillId="0" borderId="0" xfId="0" applyFont="1" applyFill="1" applyBorder="1" applyAlignment="1">
      <alignment horizontal="left" indent="1"/>
    </xf>
    <xf numFmtId="0" fontId="22" fillId="0" borderId="0" xfId="0" applyFont="1" applyFill="1" applyBorder="1" applyAlignment="1">
      <alignment horizontal="left"/>
    </xf>
    <xf numFmtId="0" fontId="22" fillId="0" borderId="0" xfId="0" applyFont="1" applyFill="1" applyBorder="1"/>
    <xf numFmtId="0" fontId="31" fillId="0" borderId="0" xfId="0" applyFont="1" applyFill="1" applyBorder="1" applyAlignment="1">
      <alignment horizontal="left" indent="1"/>
    </xf>
    <xf numFmtId="166" fontId="0" fillId="0" borderId="0" xfId="0" applyNumberFormat="1" applyFill="1" applyBorder="1"/>
    <xf numFmtId="164" fontId="0" fillId="0" borderId="0" xfId="1" applyNumberFormat="1" applyFont="1" applyFill="1" applyBorder="1" applyAlignment="1">
      <alignment horizontal="left" indent="1"/>
    </xf>
    <xf numFmtId="0" fontId="28" fillId="0" borderId="0" xfId="0" applyFont="1" applyFill="1" applyBorder="1" applyAlignment="1">
      <alignment horizontal="left" indent="2"/>
    </xf>
    <xf numFmtId="0" fontId="27" fillId="0" borderId="0" xfId="0" applyFont="1" applyFill="1" applyBorder="1"/>
    <xf numFmtId="0" fontId="19" fillId="0" borderId="0" xfId="0" applyFont="1" applyFill="1" applyBorder="1"/>
    <xf numFmtId="164" fontId="16" fillId="0" borderId="0" xfId="1" applyNumberFormat="1" applyFont="1" applyFill="1" applyBorder="1"/>
    <xf numFmtId="0" fontId="28" fillId="0" borderId="0" xfId="0" applyFont="1" applyFill="1" applyBorder="1" applyAlignment="1">
      <alignment horizontal="left" indent="1"/>
    </xf>
    <xf numFmtId="0" fontId="0" fillId="0" borderId="0" xfId="0" applyFill="1" applyBorder="1" applyAlignment="1">
      <alignment horizontal="left" indent="2"/>
    </xf>
    <xf numFmtId="0" fontId="16" fillId="0" borderId="0" xfId="0" applyFont="1" applyFill="1" applyBorder="1" applyAlignment="1">
      <alignment horizontal="right" indent="1"/>
    </xf>
    <xf numFmtId="6" fontId="0" fillId="0" borderId="0" xfId="1" applyNumberFormat="1" applyFont="1" applyFill="1" applyBorder="1"/>
    <xf numFmtId="44" fontId="0" fillId="0" borderId="0" xfId="1" applyNumberFormat="1" applyFont="1" applyFill="1" applyBorder="1"/>
    <xf numFmtId="0" fontId="0" fillId="0" borderId="0" xfId="0" applyFill="1" applyBorder="1" applyAlignment="1">
      <alignment horizontal="right" indent="1"/>
    </xf>
    <xf numFmtId="0" fontId="17" fillId="0" borderId="0" xfId="0" applyFont="1" applyFill="1" applyBorder="1" applyAlignment="1">
      <alignment horizontal="left" indent="2"/>
    </xf>
    <xf numFmtId="0" fontId="16" fillId="0" borderId="0" xfId="0" applyFont="1" applyFill="1" applyBorder="1" applyAlignment="1">
      <alignment horizontal="center"/>
    </xf>
    <xf numFmtId="164" fontId="9" fillId="0" borderId="0" xfId="0" applyNumberFormat="1" applyFont="1" applyFill="1" applyBorder="1"/>
    <xf numFmtId="0" fontId="9" fillId="0" borderId="0" xfId="0" applyFont="1" applyFill="1" applyBorder="1" applyAlignment="1">
      <alignment horizontal="left" indent="1"/>
    </xf>
    <xf numFmtId="0" fontId="19" fillId="0" borderId="0" xfId="0" applyFont="1" applyFill="1" applyBorder="1" applyAlignment="1">
      <alignment horizontal="left"/>
    </xf>
    <xf numFmtId="0" fontId="19" fillId="0" borderId="0" xfId="0" applyFont="1" applyFill="1" applyBorder="1" applyAlignment="1">
      <alignment horizontal="center"/>
    </xf>
    <xf numFmtId="164" fontId="21" fillId="0" borderId="0" xfId="1" applyNumberFormat="1" applyFont="1" applyFill="1" applyBorder="1"/>
    <xf numFmtId="167" fontId="0" fillId="0" borderId="0" xfId="41" applyNumberFormat="1" applyFont="1" applyBorder="1"/>
    <xf numFmtId="0" fontId="21" fillId="0" borderId="0" xfId="0" applyFont="1" applyBorder="1"/>
    <xf numFmtId="167" fontId="21" fillId="0" borderId="0" xfId="41" applyNumberFormat="1" applyFont="1" applyBorder="1"/>
    <xf numFmtId="0" fontId="7" fillId="0" borderId="0" xfId="0" applyFont="1" applyBorder="1"/>
    <xf numFmtId="0" fontId="8" fillId="0" borderId="0" xfId="0" applyFont="1" applyBorder="1" applyAlignment="1">
      <alignment horizontal="right"/>
    </xf>
    <xf numFmtId="166" fontId="0" fillId="0" borderId="0" xfId="41" applyNumberFormat="1" applyFont="1" applyBorder="1" applyAlignment="1">
      <alignment horizontal="right"/>
    </xf>
    <xf numFmtId="0" fontId="8" fillId="0" borderId="0" xfId="0" applyFont="1" applyBorder="1" applyAlignment="1">
      <alignment horizontal="center"/>
    </xf>
    <xf numFmtId="166" fontId="0" fillId="0" borderId="0" xfId="41" applyNumberFormat="1" applyFont="1" applyBorder="1"/>
    <xf numFmtId="10" fontId="0" fillId="0" borderId="0" xfId="6" applyNumberFormat="1" applyFont="1" applyBorder="1"/>
    <xf numFmtId="0" fontId="0" fillId="0" borderId="0" xfId="0" applyBorder="1" applyAlignment="1">
      <alignment horizontal="center"/>
    </xf>
    <xf numFmtId="0" fontId="14" fillId="0" borderId="0" xfId="0" applyFont="1" applyBorder="1"/>
    <xf numFmtId="44" fontId="0" fillId="0" borderId="0" xfId="1" applyFont="1" applyBorder="1"/>
    <xf numFmtId="0" fontId="8" fillId="0" borderId="0" xfId="0" applyFont="1" applyBorder="1"/>
    <xf numFmtId="0" fontId="0" fillId="0" borderId="0" xfId="0" applyFill="1" applyBorder="1" applyAlignment="1">
      <alignment horizontal="left"/>
    </xf>
    <xf numFmtId="0" fontId="25" fillId="0" borderId="0" xfId="0" applyFont="1" applyFill="1" applyBorder="1"/>
    <xf numFmtId="0" fontId="14" fillId="0" borderId="0" xfId="0" applyFont="1" applyFill="1" applyBorder="1" applyAlignment="1">
      <alignment horizontal="center"/>
    </xf>
    <xf numFmtId="0" fontId="9" fillId="0" borderId="0" xfId="0" applyFont="1" applyFill="1" applyBorder="1" applyAlignment="1">
      <alignment horizontal="left"/>
    </xf>
    <xf numFmtId="0" fontId="29" fillId="0" borderId="0" xfId="0" applyFont="1" applyFill="1" applyBorder="1" applyAlignment="1">
      <alignment horizontal="right"/>
    </xf>
    <xf numFmtId="0" fontId="30" fillId="0" borderId="0" xfId="0" applyFont="1" applyFill="1" applyBorder="1" applyAlignment="1">
      <alignment horizontal="left"/>
    </xf>
    <xf numFmtId="0" fontId="16" fillId="0" borderId="0" xfId="0" applyFont="1" applyFill="1" applyBorder="1" applyAlignment="1">
      <alignment horizontal="left"/>
    </xf>
    <xf numFmtId="167" fontId="7" fillId="0" borderId="0" xfId="41" applyNumberFormat="1" applyFont="1" applyFill="1" applyBorder="1" applyAlignment="1">
      <alignment horizontal="center"/>
    </xf>
    <xf numFmtId="0" fontId="25" fillId="0" borderId="0" xfId="0" applyFont="1" applyFill="1" applyBorder="1" applyAlignment="1">
      <alignment horizontal="left" indent="1"/>
    </xf>
    <xf numFmtId="0" fontId="25" fillId="0" borderId="0" xfId="0" applyFont="1" applyFill="1" applyBorder="1" applyAlignment="1">
      <alignment horizontal="left" wrapText="1" indent="1"/>
    </xf>
    <xf numFmtId="0" fontId="33" fillId="0" borderId="0" xfId="0" applyFont="1" applyFill="1" applyBorder="1" applyAlignment="1">
      <alignment horizontal="left" wrapText="1" indent="1"/>
    </xf>
    <xf numFmtId="0" fontId="32" fillId="0" borderId="0" xfId="0" applyFont="1" applyFill="1" applyBorder="1" applyAlignment="1">
      <alignment horizontal="left" wrapText="1" indent="1"/>
    </xf>
    <xf numFmtId="0" fontId="32" fillId="0" borderId="0" xfId="0" applyFont="1" applyFill="1" applyBorder="1" applyAlignment="1">
      <alignment horizontal="left"/>
    </xf>
    <xf numFmtId="0" fontId="22" fillId="0" borderId="0" xfId="0" applyFont="1" applyFill="1" applyBorder="1" applyAlignment="1">
      <alignment horizontal="left" indent="1"/>
    </xf>
    <xf numFmtId="0" fontId="19" fillId="0" borderId="0" xfId="0" applyFont="1" applyFill="1" applyBorder="1" applyAlignment="1">
      <alignment horizontal="left" indent="1"/>
    </xf>
    <xf numFmtId="0" fontId="16" fillId="0" borderId="0" xfId="0" applyFont="1" applyFill="1" applyBorder="1" applyAlignment="1">
      <alignment horizontal="left" indent="1"/>
    </xf>
    <xf numFmtId="0" fontId="24" fillId="0" borderId="0" xfId="0" applyFont="1" applyFill="1" applyBorder="1" applyAlignment="1">
      <alignment horizontal="center"/>
    </xf>
    <xf numFmtId="0" fontId="14" fillId="0" borderId="0" xfId="0" applyFont="1" applyFill="1" applyBorder="1" applyAlignment="1">
      <alignment horizontal="right"/>
    </xf>
    <xf numFmtId="0" fontId="20" fillId="0" borderId="0" xfId="0" applyFont="1" applyFill="1" applyBorder="1" applyAlignment="1">
      <alignment horizontal="center"/>
    </xf>
    <xf numFmtId="167" fontId="0" fillId="0" borderId="0" xfId="41" applyNumberFormat="1" applyFont="1" applyFill="1" applyBorder="1" applyAlignment="1">
      <alignment horizontal="right"/>
    </xf>
    <xf numFmtId="0" fontId="0" fillId="0" borderId="0" xfId="0" applyFont="1" applyFill="1" applyBorder="1"/>
    <xf numFmtId="164" fontId="0" fillId="0" borderId="0" xfId="1" applyNumberFormat="1" applyFont="1" applyFill="1" applyAlignment="1">
      <alignment horizontal="left"/>
    </xf>
    <xf numFmtId="166" fontId="0" fillId="0" borderId="0" xfId="0" applyNumberFormat="1"/>
    <xf numFmtId="166" fontId="0" fillId="0" borderId="0" xfId="41" applyNumberFormat="1" applyFont="1" applyFill="1"/>
    <xf numFmtId="0" fontId="0" fillId="0" borderId="0" xfId="0" applyFill="1" applyAlignment="1">
      <alignment horizontal="left" indent="1"/>
    </xf>
    <xf numFmtId="43" fontId="0" fillId="0" borderId="0" xfId="41" applyNumberFormat="1" applyFont="1" applyFill="1"/>
    <xf numFmtId="43" fontId="0" fillId="0" borderId="2" xfId="41" applyNumberFormat="1" applyFont="1" applyFill="1" applyBorder="1"/>
    <xf numFmtId="10" fontId="0" fillId="0" borderId="0" xfId="6" applyNumberFormat="1" applyFont="1" applyFill="1"/>
    <xf numFmtId="0" fontId="8" fillId="0" borderId="0" xfId="0" applyFont="1" applyAlignment="1">
      <alignment horizontal="left"/>
    </xf>
    <xf numFmtId="43" fontId="6" fillId="0" borderId="0" xfId="41" applyNumberFormat="1" applyFont="1" applyAlignment="1">
      <alignment horizontal="center"/>
    </xf>
    <xf numFmtId="43" fontId="0" fillId="0" borderId="2" xfId="41" applyFont="1" applyBorder="1"/>
    <xf numFmtId="0" fontId="9" fillId="0" borderId="0" xfId="0" applyFont="1" applyAlignment="1">
      <alignment horizontal="right"/>
    </xf>
    <xf numFmtId="43" fontId="0" fillId="0" borderId="0" xfId="41" applyNumberFormat="1" applyFont="1" applyBorder="1"/>
    <xf numFmtId="166" fontId="0" fillId="0" borderId="2" xfId="41" applyNumberFormat="1" applyFont="1" applyFill="1" applyBorder="1"/>
    <xf numFmtId="166" fontId="0" fillId="0" borderId="2" xfId="0" applyNumberFormat="1" applyBorder="1"/>
    <xf numFmtId="166" fontId="0" fillId="0" borderId="2" xfId="41" applyNumberFormat="1" applyFont="1" applyBorder="1"/>
    <xf numFmtId="43" fontId="0" fillId="0" borderId="4" xfId="41" applyNumberFormat="1" applyFont="1" applyBorder="1"/>
    <xf numFmtId="0" fontId="52" fillId="0" borderId="0" xfId="0" applyFont="1"/>
    <xf numFmtId="0" fontId="0" fillId="0" borderId="0" xfId="0"/>
    <xf numFmtId="0" fontId="0" fillId="0" borderId="0" xfId="0" applyNumberFormat="1" applyFont="1" applyAlignment="1">
      <alignment vertical="top" wrapText="1"/>
    </xf>
    <xf numFmtId="0" fontId="45" fillId="0" borderId="0" xfId="0" applyNumberFormat="1" applyFont="1" applyFill="1" applyBorder="1" applyAlignment="1">
      <alignment vertical="top" wrapText="1"/>
    </xf>
    <xf numFmtId="0" fontId="0" fillId="0" borderId="0" xfId="0" applyNumberFormat="1" applyFont="1" applyFill="1" applyBorder="1" applyAlignment="1">
      <alignment vertical="top" wrapText="1"/>
    </xf>
    <xf numFmtId="49" fontId="43" fillId="0" borderId="14" xfId="0" applyNumberFormat="1" applyFont="1" applyFill="1" applyBorder="1" applyAlignment="1">
      <alignment vertical="top" wrapText="1"/>
    </xf>
    <xf numFmtId="49" fontId="44" fillId="0" borderId="14" xfId="0" applyNumberFormat="1" applyFont="1" applyFill="1" applyBorder="1" applyAlignment="1">
      <alignment horizontal="center" vertical="center" wrapText="1"/>
    </xf>
    <xf numFmtId="49" fontId="44" fillId="0" borderId="14" xfId="0" applyNumberFormat="1" applyFont="1" applyFill="1" applyBorder="1" applyAlignment="1">
      <alignment horizontal="center" vertical="center" wrapText="1" readingOrder="1"/>
    </xf>
    <xf numFmtId="0" fontId="0" fillId="0" borderId="14" xfId="0" applyFont="1" applyFill="1" applyBorder="1" applyAlignment="1">
      <alignment vertical="top" wrapText="1"/>
    </xf>
    <xf numFmtId="49" fontId="44" fillId="0" borderId="14" xfId="0" applyNumberFormat="1" applyFont="1" applyFill="1" applyBorder="1" applyAlignment="1">
      <alignment vertical="top" wrapText="1"/>
    </xf>
    <xf numFmtId="170" fontId="46" fillId="0" borderId="14" xfId="0" applyNumberFormat="1" applyFont="1" applyFill="1" applyBorder="1" applyAlignment="1">
      <alignment vertical="center" wrapText="1" readingOrder="1"/>
    </xf>
    <xf numFmtId="0" fontId="46" fillId="0" borderId="14" xfId="0" applyFont="1" applyFill="1" applyBorder="1" applyAlignment="1">
      <alignment vertical="center" wrapText="1" readingOrder="1"/>
    </xf>
    <xf numFmtId="170" fontId="0" fillId="0" borderId="14" xfId="0" applyNumberFormat="1" applyFont="1" applyFill="1" applyBorder="1" applyAlignment="1">
      <alignment vertical="top" wrapText="1"/>
    </xf>
    <xf numFmtId="0" fontId="43" fillId="0" borderId="14" xfId="0" applyFont="1" applyFill="1" applyBorder="1" applyAlignment="1">
      <alignment vertical="center" wrapText="1"/>
    </xf>
    <xf numFmtId="0" fontId="0" fillId="0" borderId="14" xfId="0" applyFont="1" applyFill="1" applyBorder="1" applyAlignment="1">
      <alignment vertical="center" wrapText="1"/>
    </xf>
    <xf numFmtId="49" fontId="44" fillId="0" borderId="14" xfId="0" applyNumberFormat="1" applyFont="1" applyFill="1" applyBorder="1" applyAlignment="1">
      <alignment horizontal="left" vertical="center" wrapText="1" readingOrder="1"/>
    </xf>
    <xf numFmtId="170" fontId="42" fillId="0" borderId="14" xfId="0" applyNumberFormat="1" applyFont="1" applyFill="1" applyBorder="1" applyAlignment="1">
      <alignment vertical="top" wrapText="1"/>
    </xf>
    <xf numFmtId="49" fontId="47" fillId="0" borderId="14" xfId="0" applyNumberFormat="1" applyFont="1" applyFill="1" applyBorder="1" applyAlignment="1">
      <alignment vertical="top" wrapText="1"/>
    </xf>
    <xf numFmtId="49" fontId="48" fillId="0" borderId="14" xfId="0" applyNumberFormat="1" applyFont="1" applyFill="1" applyBorder="1" applyAlignment="1">
      <alignment vertical="top" wrapText="1"/>
    </xf>
    <xf numFmtId="170" fontId="48" fillId="0" borderId="14" xfId="0" applyNumberFormat="1" applyFont="1" applyFill="1" applyBorder="1" applyAlignment="1">
      <alignment vertical="top" wrapText="1"/>
    </xf>
    <xf numFmtId="0" fontId="49" fillId="0" borderId="14" xfId="0" applyFont="1" applyFill="1" applyBorder="1" applyAlignment="1">
      <alignment vertical="top" wrapText="1"/>
    </xf>
    <xf numFmtId="49" fontId="0" fillId="0" borderId="14" xfId="0" applyNumberFormat="1" applyFont="1" applyFill="1" applyBorder="1" applyAlignment="1">
      <alignment horizontal="right" vertical="top" wrapText="1"/>
    </xf>
    <xf numFmtId="170" fontId="46" fillId="0" borderId="14" xfId="0" applyNumberFormat="1" applyFont="1" applyFill="1" applyBorder="1" applyAlignment="1">
      <alignment vertical="top" wrapText="1"/>
    </xf>
    <xf numFmtId="49" fontId="47" fillId="0" borderId="14" xfId="0" applyNumberFormat="1" applyFont="1" applyFill="1" applyBorder="1" applyAlignment="1">
      <alignment horizontal="left" vertical="center" wrapText="1" readingOrder="1"/>
    </xf>
    <xf numFmtId="49" fontId="48" fillId="0" borderId="14" xfId="0" applyNumberFormat="1" applyFont="1" applyFill="1" applyBorder="1" applyAlignment="1">
      <alignment horizontal="left" vertical="center" wrapText="1" readingOrder="1"/>
    </xf>
    <xf numFmtId="0" fontId="50" fillId="0" borderId="14" xfId="0" applyFont="1" applyFill="1" applyBorder="1" applyAlignment="1">
      <alignment horizontal="left" vertical="center" wrapText="1" readingOrder="1"/>
    </xf>
    <xf numFmtId="170" fontId="46" fillId="2" borderId="14" xfId="0" applyNumberFormat="1" applyFont="1" applyFill="1" applyBorder="1" applyAlignment="1">
      <alignment vertical="center" wrapText="1" readingOrder="1"/>
    </xf>
    <xf numFmtId="49" fontId="51" fillId="0" borderId="14" xfId="0" applyNumberFormat="1" applyFont="1" applyBorder="1" applyAlignment="1">
      <alignment horizontal="left" vertical="center" wrapText="1" readingOrder="1"/>
    </xf>
    <xf numFmtId="0" fontId="14" fillId="0" borderId="0" xfId="0" applyFont="1" applyAlignment="1">
      <alignment horizontal="center"/>
    </xf>
    <xf numFmtId="164" fontId="6" fillId="2" borderId="0" xfId="0" applyNumberFormat="1" applyFont="1" applyFill="1" applyAlignment="1">
      <alignment horizontal="center"/>
    </xf>
    <xf numFmtId="164" fontId="6" fillId="0" borderId="0" xfId="0" applyNumberFormat="1" applyFont="1" applyFill="1" applyAlignment="1">
      <alignment horizontal="center"/>
    </xf>
  </cellXfs>
  <cellStyles count="1211">
    <cellStyle name="Comma" xfId="41" builtinId="3"/>
    <cellStyle name="Comma [0]" xfId="1208" builtinId="6"/>
    <cellStyle name="Currency" xfId="1" builtinId="4"/>
    <cellStyle name="Currency 2" xfId="1209"/>
    <cellStyle name="Followed Hyperlink" xfId="3" builtinId="9" hidden="1"/>
    <cellStyle name="Followed Hyperlink" xfId="5"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49"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75" builtinId="9" hidden="1"/>
    <cellStyle name="Followed Hyperlink" xfId="1177" builtinId="9" hidden="1"/>
    <cellStyle name="Followed Hyperlink" xfId="1179" builtinId="9" hidden="1"/>
    <cellStyle name="Followed Hyperlink" xfId="1181"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7"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Hyperlink" xfId="2" builtinId="8" hidden="1"/>
    <cellStyle name="Hyperlink" xfId="4"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Normal" xfId="0" builtinId="0"/>
    <cellStyle name="Percent" xfId="6" builtinId="5"/>
    <cellStyle name="Percent 2" xfId="121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6.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7.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8.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9.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1.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2.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3.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4.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5.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6.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32.xml"/><Relationship Id="rId1" Type="http://schemas.microsoft.com/office/2011/relationships/chartStyle" Target="style32.xml"/></Relationships>
</file>

<file path=xl/charts/_rels/chart38.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9.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1.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2.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3.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4.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5.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6.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8.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9.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1.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2.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3.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4.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5.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6.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7.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8.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9.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61.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2.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3.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4.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5.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6.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7.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62.xml"/><Relationship Id="rId1" Type="http://schemas.microsoft.com/office/2011/relationships/chartStyle" Target="style62.xml"/></Relationships>
</file>

<file path=xl/charts/_rels/chart68.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9.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71.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66.xml"/><Relationship Id="rId1" Type="http://schemas.microsoft.com/office/2011/relationships/chartStyle" Target="style66.xml"/></Relationships>
</file>

<file path=xl/charts/_rels/chart72.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73.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4.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5.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70.xml"/><Relationship Id="rId1" Type="http://schemas.microsoft.com/office/2011/relationships/chartStyle" Target="style70.xml"/></Relationships>
</file>

<file path=xl/charts/_rels/chart76.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7.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8.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9.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80.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81.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82.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83.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84.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5.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Revenues by Fund Type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91536016701849"/>
          <c:y val="0.10705226780969608"/>
          <c:w val="0.86444846871904668"/>
          <c:h val="0.75331590325606423"/>
        </c:manualLayout>
      </c:layout>
      <c:lineChart>
        <c:grouping val="standard"/>
        <c:varyColors val="0"/>
        <c:ser>
          <c:idx val="1"/>
          <c:order val="1"/>
          <c:tx>
            <c:strRef>
              <c:f>'All Depts'!$A$13</c:f>
              <c:strCache>
                <c:ptCount val="1"/>
                <c:pt idx="0">
                  <c:v>General Fund</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'All Depts'!$B$11:$P$11</c15:sqref>
                  </c15:fullRef>
                </c:ext>
              </c:extLst>
              <c:f>'All Depts'!$B$11:$L$11</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extLst>
                <c:ext xmlns:c15="http://schemas.microsoft.com/office/drawing/2012/chart" uri="{02D57815-91ED-43cb-92C2-25804820EDAC}">
                  <c15:fullRef>
                    <c15:sqref>'All Depts'!$B$13:$P$13</c15:sqref>
                  </c15:fullRef>
                </c:ext>
              </c:extLst>
              <c:f>'All Depts'!$B$13:$L$13</c:f>
              <c:numCache>
                <c:formatCode>_("$"* #,##0_);_("$"* \(#,##0\);_("$"* "-"??_);_(@_)</c:formatCode>
                <c:ptCount val="11"/>
                <c:pt idx="0">
                  <c:v>0</c:v>
                </c:pt>
                <c:pt idx="1">
                  <c:v>49442314</c:v>
                </c:pt>
                <c:pt idx="2">
                  <c:v>46704646</c:v>
                </c:pt>
                <c:pt idx="3">
                  <c:v>46629003</c:v>
                </c:pt>
                <c:pt idx="4">
                  <c:v>51440407</c:v>
                </c:pt>
                <c:pt idx="5">
                  <c:v>61928851.200000003</c:v>
                </c:pt>
                <c:pt idx="6">
                  <c:v>60471024</c:v>
                </c:pt>
                <c:pt idx="7">
                  <c:v>91227709</c:v>
                </c:pt>
                <c:pt idx="8">
                  <c:v>122074195</c:v>
                </c:pt>
                <c:pt idx="9">
                  <c:v>149202689</c:v>
                </c:pt>
                <c:pt idx="10">
                  <c:v>100177509</c:v>
                </c:pt>
              </c:numCache>
            </c:numRef>
          </c:val>
          <c:smooth val="0"/>
          <c:extLst>
            <c:ext xmlns:c16="http://schemas.microsoft.com/office/drawing/2014/chart" uri="{C3380CC4-5D6E-409C-BE32-E72D297353CC}">
              <c16:uniqueId val="{00000000-EE0F-4421-BD50-A2F6C5CAB8E9}"/>
            </c:ext>
          </c:extLst>
        </c:ser>
        <c:ser>
          <c:idx val="2"/>
          <c:order val="2"/>
          <c:tx>
            <c:strRef>
              <c:f>'All Depts'!$A$14</c:f>
              <c:strCache>
                <c:ptCount val="1"/>
                <c:pt idx="0">
                  <c:v>Internal Service Funds</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'All Depts'!$B$11:$P$11</c15:sqref>
                  </c15:fullRef>
                </c:ext>
              </c:extLst>
              <c:f>'All Depts'!$B$11:$L$11</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extLst>
                <c:ext xmlns:c15="http://schemas.microsoft.com/office/drawing/2012/chart" uri="{02D57815-91ED-43cb-92C2-25804820EDAC}">
                  <c15:fullRef>
                    <c15:sqref>'All Depts'!$B$14:$P$14</c15:sqref>
                  </c15:fullRef>
                </c:ext>
              </c:extLst>
              <c:f>'All Depts'!$B$14:$L$14</c:f>
              <c:numCache>
                <c:formatCode>_("$"* #,##0_);_("$"* \(#,##0\);_("$"* "-"??_);_(@_)</c:formatCode>
                <c:ptCount val="11"/>
                <c:pt idx="0">
                  <c:v>16561205</c:v>
                </c:pt>
                <c:pt idx="1">
                  <c:v>16974367</c:v>
                </c:pt>
                <c:pt idx="2">
                  <c:v>17090627</c:v>
                </c:pt>
                <c:pt idx="3">
                  <c:v>16276537</c:v>
                </c:pt>
                <c:pt idx="4">
                  <c:v>16729287</c:v>
                </c:pt>
                <c:pt idx="5">
                  <c:v>17383047</c:v>
                </c:pt>
                <c:pt idx="6">
                  <c:v>19507737</c:v>
                </c:pt>
                <c:pt idx="7">
                  <c:v>25468862</c:v>
                </c:pt>
                <c:pt idx="8">
                  <c:v>24333958</c:v>
                </c:pt>
                <c:pt idx="9">
                  <c:v>27486605</c:v>
                </c:pt>
                <c:pt idx="10">
                  <c:v>28552278</c:v>
                </c:pt>
              </c:numCache>
            </c:numRef>
          </c:val>
          <c:smooth val="0"/>
          <c:extLst>
            <c:ext xmlns:c16="http://schemas.microsoft.com/office/drawing/2014/chart" uri="{C3380CC4-5D6E-409C-BE32-E72D297353CC}">
              <c16:uniqueId val="{00000001-EE0F-4421-BD50-A2F6C5CAB8E9}"/>
            </c:ext>
          </c:extLst>
        </c:ser>
        <c:ser>
          <c:idx val="3"/>
          <c:order val="3"/>
          <c:tx>
            <c:strRef>
              <c:f>'All Depts'!$A$15</c:f>
              <c:strCache>
                <c:ptCount val="1"/>
                <c:pt idx="0">
                  <c:v>Enterprise Funds</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'All Depts'!$B$11:$P$11</c15:sqref>
                  </c15:fullRef>
                </c:ext>
              </c:extLst>
              <c:f>'All Depts'!$B$11:$L$11</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extLst>
                <c:ext xmlns:c15="http://schemas.microsoft.com/office/drawing/2012/chart" uri="{02D57815-91ED-43cb-92C2-25804820EDAC}">
                  <c15:fullRef>
                    <c15:sqref>'All Depts'!$B$15:$P$15</c15:sqref>
                  </c15:fullRef>
                </c:ext>
              </c:extLst>
              <c:f>'All Depts'!$B$15:$L$15</c:f>
              <c:numCache>
                <c:formatCode>_("$"* #,##0_);_("$"* \(#,##0\);_("$"* "-"??_);_(@_)</c:formatCode>
                <c:ptCount val="11"/>
                <c:pt idx="0">
                  <c:v>94810247</c:v>
                </c:pt>
                <c:pt idx="1">
                  <c:v>78707322</c:v>
                </c:pt>
                <c:pt idx="2">
                  <c:v>90592305</c:v>
                </c:pt>
                <c:pt idx="3">
                  <c:v>89966042</c:v>
                </c:pt>
                <c:pt idx="4">
                  <c:v>100693931</c:v>
                </c:pt>
                <c:pt idx="5">
                  <c:v>112099853</c:v>
                </c:pt>
                <c:pt idx="6">
                  <c:v>131203881</c:v>
                </c:pt>
                <c:pt idx="7">
                  <c:v>132414000</c:v>
                </c:pt>
                <c:pt idx="8">
                  <c:v>144457042</c:v>
                </c:pt>
                <c:pt idx="9">
                  <c:v>159471869</c:v>
                </c:pt>
                <c:pt idx="10">
                  <c:v>176784252</c:v>
                </c:pt>
              </c:numCache>
            </c:numRef>
          </c:val>
          <c:smooth val="0"/>
          <c:extLst>
            <c:ext xmlns:c16="http://schemas.microsoft.com/office/drawing/2014/chart" uri="{C3380CC4-5D6E-409C-BE32-E72D297353CC}">
              <c16:uniqueId val="{00000002-EE0F-4421-BD50-A2F6C5CAB8E9}"/>
            </c:ext>
          </c:extLst>
        </c:ser>
        <c:ser>
          <c:idx val="4"/>
          <c:order val="4"/>
          <c:tx>
            <c:strRef>
              <c:f>'All Depts'!$A$16</c:f>
              <c:strCache>
                <c:ptCount val="1"/>
                <c:pt idx="0">
                  <c:v>Special Revenue Funds</c:v>
                </c:pt>
              </c:strCache>
            </c:strRef>
          </c:tx>
          <c:spPr>
            <a:ln w="28575" cap="rnd">
              <a:solidFill>
                <a:srgbClr val="00B0F0"/>
              </a:solidFill>
              <a:round/>
            </a:ln>
            <a:effectLst/>
          </c:spPr>
          <c:marker>
            <c:symbol val="none"/>
          </c:marker>
          <c:cat>
            <c:strRef>
              <c:extLst>
                <c:ext xmlns:c15="http://schemas.microsoft.com/office/drawing/2012/chart" uri="{02D57815-91ED-43cb-92C2-25804820EDAC}">
                  <c15:fullRef>
                    <c15:sqref>'All Depts'!$B$11:$P$11</c15:sqref>
                  </c15:fullRef>
                </c:ext>
              </c:extLst>
              <c:f>'All Depts'!$B$11:$L$11</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extLst>
                <c:ext xmlns:c15="http://schemas.microsoft.com/office/drawing/2012/chart" uri="{02D57815-91ED-43cb-92C2-25804820EDAC}">
                  <c15:fullRef>
                    <c15:sqref>'All Depts'!$B$16:$P$16</c15:sqref>
                  </c15:fullRef>
                </c:ext>
              </c:extLst>
              <c:f>'All Depts'!$B$16:$L$16</c:f>
              <c:numCache>
                <c:formatCode>_("$"* #,##0_);_("$"* \(#,##0\);_("$"* "-"??_);_(@_)</c:formatCode>
                <c:ptCount val="11"/>
                <c:pt idx="0">
                  <c:v>3332902</c:v>
                </c:pt>
                <c:pt idx="1">
                  <c:v>3365822</c:v>
                </c:pt>
                <c:pt idx="2">
                  <c:v>18105833</c:v>
                </c:pt>
                <c:pt idx="3">
                  <c:v>17009117</c:v>
                </c:pt>
                <c:pt idx="4">
                  <c:v>17946321</c:v>
                </c:pt>
                <c:pt idx="5">
                  <c:v>22523071</c:v>
                </c:pt>
                <c:pt idx="6">
                  <c:v>21495742</c:v>
                </c:pt>
                <c:pt idx="7">
                  <c:v>40977975</c:v>
                </c:pt>
                <c:pt idx="8">
                  <c:v>34957141</c:v>
                </c:pt>
                <c:pt idx="9">
                  <c:v>64061425</c:v>
                </c:pt>
                <c:pt idx="10">
                  <c:v>45527603</c:v>
                </c:pt>
              </c:numCache>
            </c:numRef>
          </c:val>
          <c:smooth val="0"/>
          <c:extLst>
            <c:ext xmlns:c16="http://schemas.microsoft.com/office/drawing/2014/chart" uri="{C3380CC4-5D6E-409C-BE32-E72D297353CC}">
              <c16:uniqueId val="{00000003-EE0F-4421-BD50-A2F6C5CAB8E9}"/>
            </c:ext>
          </c:extLst>
        </c:ser>
        <c:ser>
          <c:idx val="6"/>
          <c:order val="6"/>
          <c:tx>
            <c:strRef>
              <c:f>'All Depts'!$A$18</c:f>
              <c:strCache>
                <c:ptCount val="1"/>
                <c:pt idx="0">
                  <c:v>Total City Budget Revenues</c:v>
                </c:pt>
              </c:strCache>
            </c:strRef>
          </c:tx>
          <c:spPr>
            <a:ln w="28575" cap="rnd">
              <a:solidFill>
                <a:schemeClr val="accent1">
                  <a:lumMod val="60000"/>
                </a:schemeClr>
              </a:solidFill>
              <a:round/>
            </a:ln>
            <a:effectLst/>
          </c:spPr>
          <c:marker>
            <c:symbol val="none"/>
          </c:marker>
          <c:cat>
            <c:strRef>
              <c:extLst>
                <c:ext xmlns:c15="http://schemas.microsoft.com/office/drawing/2012/chart" uri="{02D57815-91ED-43cb-92C2-25804820EDAC}">
                  <c15:fullRef>
                    <c15:sqref>'All Depts'!$B$11:$P$11</c15:sqref>
                  </c15:fullRef>
                </c:ext>
              </c:extLst>
              <c:f>'All Depts'!$B$11:$L$11</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extLst>
                <c:ext xmlns:c15="http://schemas.microsoft.com/office/drawing/2012/chart" uri="{02D57815-91ED-43cb-92C2-25804820EDAC}">
                  <c15:fullRef>
                    <c15:sqref>'All Depts'!$B$18:$P$18</c15:sqref>
                  </c15:fullRef>
                </c:ext>
              </c:extLst>
              <c:f>'All Depts'!$B$18:$L$18</c:f>
              <c:numCache>
                <c:formatCode>_("$"* #,##0_);_("$"* \(#,##0\);_("$"* "-"??_);_(@_)</c:formatCode>
                <c:ptCount val="11"/>
                <c:pt idx="0">
                  <c:v>114704354</c:v>
                </c:pt>
                <c:pt idx="1">
                  <c:v>148489825</c:v>
                </c:pt>
                <c:pt idx="2">
                  <c:v>172493411</c:v>
                </c:pt>
                <c:pt idx="3">
                  <c:v>169880699</c:v>
                </c:pt>
                <c:pt idx="4">
                  <c:v>186809946</c:v>
                </c:pt>
                <c:pt idx="5">
                  <c:v>213934822.19999999</c:v>
                </c:pt>
                <c:pt idx="6">
                  <c:v>232678384</c:v>
                </c:pt>
                <c:pt idx="7">
                  <c:v>290088546</c:v>
                </c:pt>
                <c:pt idx="8">
                  <c:v>325822336</c:v>
                </c:pt>
                <c:pt idx="9">
                  <c:v>400222588</c:v>
                </c:pt>
                <c:pt idx="10">
                  <c:v>351041642</c:v>
                </c:pt>
              </c:numCache>
            </c:numRef>
          </c:val>
          <c:smooth val="0"/>
          <c:extLst>
            <c:ext xmlns:c16="http://schemas.microsoft.com/office/drawing/2014/chart" uri="{C3380CC4-5D6E-409C-BE32-E72D297353CC}">
              <c16:uniqueId val="{00000004-EE0F-4421-BD50-A2F6C5CAB8E9}"/>
            </c:ext>
          </c:extLst>
        </c:ser>
        <c:dLbls>
          <c:showLegendKey val="0"/>
          <c:showVal val="0"/>
          <c:showCatName val="0"/>
          <c:showSerName val="0"/>
          <c:showPercent val="0"/>
          <c:showBubbleSize val="0"/>
        </c:dLbls>
        <c:smooth val="0"/>
        <c:axId val="706853488"/>
        <c:axId val="706848568"/>
        <c:extLst>
          <c:ext xmlns:c15="http://schemas.microsoft.com/office/drawing/2012/chart" uri="{02D57815-91ED-43cb-92C2-25804820EDAC}">
            <c15:filteredLineSeries>
              <c15:ser>
                <c:idx val="0"/>
                <c:order val="0"/>
                <c:tx>
                  <c:strRef>
                    <c:extLst>
                      <c:ext uri="{02D57815-91ED-43cb-92C2-25804820EDAC}">
                        <c15:formulaRef>
                          <c15:sqref>'All Depts'!$A$11</c15:sqref>
                        </c15:formulaRef>
                      </c:ext>
                    </c:extLst>
                    <c:strCache>
                      <c:ptCount val="1"/>
                      <c:pt idx="0">
                        <c:v>Revenues - From Dept Detail</c:v>
                      </c:pt>
                    </c:strCache>
                  </c:strRef>
                </c:tx>
                <c:spPr>
                  <a:ln w="28575" cap="rnd">
                    <a:solidFill>
                      <a:schemeClr val="accent1"/>
                    </a:solidFill>
                    <a:round/>
                  </a:ln>
                  <a:effectLst/>
                </c:spPr>
                <c:marker>
                  <c:symbol val="none"/>
                </c:marker>
                <c:cat>
                  <c:strRef>
                    <c:extLst>
                      <c:ext uri="{02D57815-91ED-43cb-92C2-25804820EDAC}">
                        <c15:fullRef>
                          <c15:sqref>'All Depts'!$B$11:$P$11</c15:sqref>
                        </c15:fullRef>
                        <c15:formulaRef>
                          <c15:sqref>'All Depts'!$B$11:$L$11</c15:sqref>
                        </c15:formulaRef>
                      </c:ext>
                    </c:extLst>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extLst>
                      <c:ext uri="{02D57815-91ED-43cb-92C2-25804820EDAC}">
                        <c15:fullRef>
                          <c15:sqref>'All Depts'!$B$11:$P$11</c15:sqref>
                        </c15:fullRef>
                        <c15:formulaRef>
                          <c15:sqref>'All Depts'!$B$11:$L$11</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5-EE0F-4421-BD50-A2F6C5CAB8E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'All Depts'!$A$17</c15:sqref>
                        </c15:formulaRef>
                      </c:ext>
                    </c:extLst>
                    <c:strCache>
                      <c:ptCount val="1"/>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'All Depts'!$B$11:$P$11</c15:sqref>
                        </c15:fullRef>
                        <c15:formulaRef>
                          <c15:sqref>'All Depts'!$B$11:$L$11</c15:sqref>
                        </c15:formulaRef>
                      </c:ext>
                    </c:extLst>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extLst>
                      <c:ext xmlns:c15="http://schemas.microsoft.com/office/drawing/2012/chart" uri="{02D57815-91ED-43cb-92C2-25804820EDAC}">
                        <c15:fullRef>
                          <c15:sqref>'All Depts'!$B$17:$P$17</c15:sqref>
                        </c15:fullRef>
                        <c15:formulaRef>
                          <c15:sqref>'All Depts'!$B$17:$L$17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6-EE0F-4421-BD50-A2F6C5CAB8E9}"/>
                  </c:ext>
                </c:extLst>
              </c15:ser>
            </c15:filteredLineSeries>
          </c:ext>
        </c:extLst>
      </c:lineChart>
      <c:catAx>
        <c:axId val="70685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6848568"/>
        <c:crosses val="autoZero"/>
        <c:auto val="1"/>
        <c:lblAlgn val="ctr"/>
        <c:lblOffset val="100"/>
        <c:noMultiLvlLbl val="0"/>
      </c:catAx>
      <c:valAx>
        <c:axId val="7068485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68534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POL!$A$40</c:f>
              <c:strCache>
                <c:ptCount val="1"/>
                <c:pt idx="0">
                  <c:v>FTE Total</c:v>
                </c:pt>
              </c:strCache>
            </c:strRef>
          </c:tx>
          <c:cat>
            <c:numRef>
              <c:f>POL!$B$5:$I$5</c:f>
              <c:numCache>
                <c:formatCode>General</c:formatCode>
                <c:ptCount val="8"/>
                <c:pt idx="0">
                  <c:v>2009</c:v>
                </c:pt>
                <c:pt idx="1">
                  <c:v>2010</c:v>
                </c:pt>
                <c:pt idx="2">
                  <c:v>2011</c:v>
                </c:pt>
                <c:pt idx="3">
                  <c:v>2012</c:v>
                </c:pt>
                <c:pt idx="4">
                  <c:v>2013</c:v>
                </c:pt>
                <c:pt idx="5">
                  <c:v>2014</c:v>
                </c:pt>
                <c:pt idx="6">
                  <c:v>2015</c:v>
                </c:pt>
                <c:pt idx="7">
                  <c:v>2016</c:v>
                </c:pt>
              </c:numCache>
            </c:numRef>
          </c:cat>
          <c:val>
            <c:numRef>
              <c:f>POL!$B$40:$H$40</c:f>
              <c:numCache>
                <c:formatCode>_(* #,##0.0_);_(* \(#,##0.0\);_(* "-"??_);_(@_)</c:formatCode>
                <c:ptCount val="7"/>
                <c:pt idx="0">
                  <c:v>136</c:v>
                </c:pt>
                <c:pt idx="1">
                  <c:v>134</c:v>
                </c:pt>
                <c:pt idx="2">
                  <c:v>134</c:v>
                </c:pt>
                <c:pt idx="3">
                  <c:v>133.75</c:v>
                </c:pt>
                <c:pt idx="4">
                  <c:v>134.5</c:v>
                </c:pt>
                <c:pt idx="5">
                  <c:v>140</c:v>
                </c:pt>
                <c:pt idx="6">
                  <c:v>146</c:v>
                </c:pt>
              </c:numCache>
            </c:numRef>
          </c:val>
          <c:smooth val="0"/>
          <c:extLst>
            <c:ext xmlns:c16="http://schemas.microsoft.com/office/drawing/2014/chart" uri="{C3380CC4-5D6E-409C-BE32-E72D297353CC}">
              <c16:uniqueId val="{00000000-8D9A-41B1-8046-0937C31BFA96}"/>
            </c:ext>
          </c:extLst>
        </c:ser>
        <c:dLbls>
          <c:showLegendKey val="0"/>
          <c:showVal val="0"/>
          <c:showCatName val="0"/>
          <c:showSerName val="0"/>
          <c:showPercent val="0"/>
          <c:showBubbleSize val="0"/>
        </c:dLbls>
        <c:marker val="1"/>
        <c:smooth val="0"/>
        <c:axId val="-2054597848"/>
        <c:axId val="-2117127448"/>
      </c:lineChart>
      <c:catAx>
        <c:axId val="-2054597848"/>
        <c:scaling>
          <c:orientation val="minMax"/>
        </c:scaling>
        <c:delete val="0"/>
        <c:axPos val="b"/>
        <c:numFmt formatCode="General" sourceLinked="1"/>
        <c:majorTickMark val="out"/>
        <c:minorTickMark val="none"/>
        <c:tickLblPos val="nextTo"/>
        <c:crossAx val="-2117127448"/>
        <c:crosses val="autoZero"/>
        <c:auto val="1"/>
        <c:lblAlgn val="ctr"/>
        <c:lblOffset val="100"/>
        <c:noMultiLvlLbl val="0"/>
      </c:catAx>
      <c:valAx>
        <c:axId val="-2117127448"/>
        <c:scaling>
          <c:orientation val="minMax"/>
        </c:scaling>
        <c:delete val="0"/>
        <c:axPos val="l"/>
        <c:majorGridlines/>
        <c:numFmt formatCode="_(* #,##0.0_);_(* \(#,##0.0\);_(* &quot;-&quot;??_);_(@_)" sourceLinked="1"/>
        <c:majorTickMark val="out"/>
        <c:minorTickMark val="none"/>
        <c:tickLblPos val="nextTo"/>
        <c:crossAx val="-205459784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9251016002032002E-2"/>
          <c:y val="1.8749999999999999E-2"/>
          <c:w val="0.88655543561087102"/>
          <c:h val="0.79240772637795298"/>
        </c:manualLayout>
      </c:layout>
      <c:lineChart>
        <c:grouping val="standard"/>
        <c:varyColors val="0"/>
        <c:ser>
          <c:idx val="0"/>
          <c:order val="0"/>
          <c:val>
            <c:numRef>
              <c:f>[4]POL!$B$7:$L$7</c:f>
              <c:numCache>
                <c:formatCode>General</c:formatCode>
                <c:ptCount val="11"/>
                <c:pt idx="0">
                  <c:v>1428264</c:v>
                </c:pt>
                <c:pt idx="1">
                  <c:v>1494967</c:v>
                </c:pt>
                <c:pt idx="2">
                  <c:v>1433874</c:v>
                </c:pt>
                <c:pt idx="3">
                  <c:v>1397725</c:v>
                </c:pt>
                <c:pt idx="4">
                  <c:v>1351573</c:v>
                </c:pt>
                <c:pt idx="5">
                  <c:v>2001631</c:v>
                </c:pt>
                <c:pt idx="6">
                  <c:v>2776005</c:v>
                </c:pt>
                <c:pt idx="7">
                  <c:v>3057776</c:v>
                </c:pt>
                <c:pt idx="8">
                  <c:v>3028287</c:v>
                </c:pt>
                <c:pt idx="9">
                  <c:v>3712280</c:v>
                </c:pt>
                <c:pt idx="10">
                  <c:v>3899275</c:v>
                </c:pt>
              </c:numCache>
            </c:numRef>
          </c:val>
          <c:smooth val="0"/>
          <c:extLst>
            <c:ext xmlns:c15="http://schemas.microsoft.com/office/drawing/2012/chart" uri="{02D57815-91ED-43cb-92C2-25804820EDAC}">
              <c15:filteredSeriesTitle>
                <c15:tx>
                  <c:strRef>
                    <c:extLst>
                      <c:ext uri="{02D57815-91ED-43cb-92C2-25804820EDAC}">
                        <c15:formulaRef>
                          <c15:sqref>[4]POL!$A$7</c15:sqref>
                        </c15:formulaRef>
                      </c:ext>
                    </c:extLst>
                    <c:strCache>
                      <c:ptCount val="1"/>
                      <c:pt idx="0">
                        <c:v>Administration</c:v>
                      </c:pt>
                    </c:strCache>
                  </c:strRef>
                </c15:tx>
              </c15:filteredSeriesTitle>
            </c:ex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0-4EA5-43A3-9C1A-EB8E30014FD9}"/>
            </c:ext>
          </c:extLst>
        </c:ser>
        <c:ser>
          <c:idx val="2"/>
          <c:order val="1"/>
          <c:val>
            <c:numRef>
              <c:f>[4]POL!$B$8:$L$8</c:f>
              <c:numCache>
                <c:formatCode>General</c:formatCode>
                <c:ptCount val="11"/>
                <c:pt idx="0">
                  <c:v>2812749</c:v>
                </c:pt>
                <c:pt idx="1">
                  <c:v>2848998</c:v>
                </c:pt>
                <c:pt idx="2">
                  <c:v>2770553</c:v>
                </c:pt>
                <c:pt idx="3">
                  <c:v>2999095</c:v>
                </c:pt>
                <c:pt idx="4">
                  <c:v>2953315</c:v>
                </c:pt>
                <c:pt idx="5">
                  <c:v>2902734</c:v>
                </c:pt>
                <c:pt idx="6">
                  <c:v>3034149</c:v>
                </c:pt>
                <c:pt idx="7">
                  <c:v>3356442</c:v>
                </c:pt>
                <c:pt idx="8">
                  <c:v>3504780</c:v>
                </c:pt>
                <c:pt idx="9">
                  <c:v>4117918</c:v>
                </c:pt>
                <c:pt idx="10">
                  <c:v>4171986</c:v>
                </c:pt>
              </c:numCache>
            </c:numRef>
          </c:val>
          <c:smooth val="0"/>
          <c:extLst>
            <c:ext xmlns:c15="http://schemas.microsoft.com/office/drawing/2012/chart" uri="{02D57815-91ED-43cb-92C2-25804820EDAC}">
              <c15:filteredSeriesTitle>
                <c15:tx>
                  <c:strRef>
                    <c:extLst>
                      <c:ext uri="{02D57815-91ED-43cb-92C2-25804820EDAC}">
                        <c15:formulaRef>
                          <c15:sqref>[4]POL!$A$8</c15:sqref>
                        </c15:formulaRef>
                      </c:ext>
                    </c:extLst>
                    <c:strCache>
                      <c:ptCount val="1"/>
                      <c:pt idx="0">
                        <c:v>Information Services</c:v>
                      </c:pt>
                    </c:strCache>
                  </c:strRef>
                </c15:tx>
              </c15:filteredSeriesTitle>
            </c:ex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1-4EA5-43A3-9C1A-EB8E30014FD9}"/>
            </c:ext>
          </c:extLst>
        </c:ser>
        <c:ser>
          <c:idx val="4"/>
          <c:order val="2"/>
          <c:val>
            <c:numRef>
              <c:f>[4]POL!$B$9:$L$9</c:f>
              <c:numCache>
                <c:formatCode>General</c:formatCode>
                <c:ptCount val="11"/>
                <c:pt idx="0">
                  <c:v>7647896</c:v>
                </c:pt>
                <c:pt idx="1">
                  <c:v>8071452</c:v>
                </c:pt>
                <c:pt idx="2">
                  <c:v>8526337</c:v>
                </c:pt>
                <c:pt idx="3">
                  <c:v>9110775</c:v>
                </c:pt>
                <c:pt idx="4">
                  <c:v>8935214</c:v>
                </c:pt>
                <c:pt idx="5">
                  <c:v>9263062</c:v>
                </c:pt>
                <c:pt idx="6">
                  <c:v>9440500</c:v>
                </c:pt>
                <c:pt idx="7">
                  <c:v>10051178</c:v>
                </c:pt>
                <c:pt idx="8">
                  <c:v>10575018</c:v>
                </c:pt>
                <c:pt idx="9">
                  <c:v>12821369</c:v>
                </c:pt>
                <c:pt idx="10">
                  <c:v>13640634</c:v>
                </c:pt>
              </c:numCache>
            </c:numRef>
          </c:val>
          <c:smooth val="0"/>
          <c:extLst>
            <c:ext xmlns:c15="http://schemas.microsoft.com/office/drawing/2012/chart" uri="{02D57815-91ED-43cb-92C2-25804820EDAC}">
              <c15:filteredSeriesTitle>
                <c15:tx>
                  <c:strRef>
                    <c:extLst>
                      <c:ext uri="{02D57815-91ED-43cb-92C2-25804820EDAC}">
                        <c15:formulaRef>
                          <c15:sqref>[4]POL!$A$9</c15:sqref>
                        </c15:formulaRef>
                      </c:ext>
                    </c:extLst>
                    <c:strCache>
                      <c:ptCount val="1"/>
                      <c:pt idx="0">
                        <c:v>Operations</c:v>
                      </c:pt>
                    </c:strCache>
                  </c:strRef>
                </c15:tx>
              </c15:filteredSeriesTitle>
            </c:ex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2-4EA5-43A3-9C1A-EB8E30014FD9}"/>
            </c:ext>
          </c:extLst>
        </c:ser>
        <c:ser>
          <c:idx val="6"/>
          <c:order val="3"/>
          <c:val>
            <c:numRef>
              <c:f>[4]POL!$B$10:$L$10</c:f>
              <c:numCache>
                <c:formatCode>General</c:formatCode>
                <c:ptCount val="11"/>
                <c:pt idx="0">
                  <c:v>2473999</c:v>
                </c:pt>
                <c:pt idx="1">
                  <c:v>2866219</c:v>
                </c:pt>
                <c:pt idx="2">
                  <c:v>2976469</c:v>
                </c:pt>
                <c:pt idx="3">
                  <c:v>2989310</c:v>
                </c:pt>
                <c:pt idx="4">
                  <c:v>2934883</c:v>
                </c:pt>
                <c:pt idx="5">
                  <c:v>2930303</c:v>
                </c:pt>
                <c:pt idx="6">
                  <c:v>3194110</c:v>
                </c:pt>
                <c:pt idx="7">
                  <c:v>3293442</c:v>
                </c:pt>
                <c:pt idx="8">
                  <c:v>3721036</c:v>
                </c:pt>
                <c:pt idx="9">
                  <c:v>4420147</c:v>
                </c:pt>
                <c:pt idx="10">
                  <c:v>4486208</c:v>
                </c:pt>
              </c:numCache>
            </c:numRef>
          </c:val>
          <c:smooth val="0"/>
          <c:extLst>
            <c:ext xmlns:c15="http://schemas.microsoft.com/office/drawing/2012/chart" uri="{02D57815-91ED-43cb-92C2-25804820EDAC}">
              <c15:filteredSeriesTitle>
                <c15:tx>
                  <c:strRef>
                    <c:extLst>
                      <c:ext uri="{02D57815-91ED-43cb-92C2-25804820EDAC}">
                        <c15:formulaRef>
                          <c15:sqref>[4]POL!$A$10</c15:sqref>
                        </c15:formulaRef>
                      </c:ext>
                    </c:extLst>
                    <c:strCache>
                      <c:ptCount val="1"/>
                      <c:pt idx="0">
                        <c:v>Support Services</c:v>
                      </c:pt>
                    </c:strCache>
                  </c:strRef>
                </c15:tx>
              </c15:filteredSeriesTitle>
            </c:ex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3-4EA5-43A3-9C1A-EB8E30014FD9}"/>
            </c:ext>
          </c:extLst>
        </c:ser>
        <c:dLbls>
          <c:showLegendKey val="0"/>
          <c:showVal val="0"/>
          <c:showCatName val="0"/>
          <c:showSerName val="0"/>
          <c:showPercent val="0"/>
          <c:showBubbleSize val="0"/>
        </c:dLbls>
        <c:marker val="1"/>
        <c:smooth val="0"/>
        <c:axId val="-2067140280"/>
        <c:axId val="-2066829048"/>
      </c:lineChart>
      <c:catAx>
        <c:axId val="-2067140280"/>
        <c:scaling>
          <c:orientation val="minMax"/>
        </c:scaling>
        <c:delete val="0"/>
        <c:axPos val="b"/>
        <c:numFmt formatCode="General" sourceLinked="1"/>
        <c:majorTickMark val="out"/>
        <c:minorTickMark val="none"/>
        <c:tickLblPos val="nextTo"/>
        <c:crossAx val="-2066829048"/>
        <c:crosses val="autoZero"/>
        <c:auto val="1"/>
        <c:lblAlgn val="ctr"/>
        <c:lblOffset val="100"/>
        <c:noMultiLvlLbl val="0"/>
      </c:catAx>
      <c:valAx>
        <c:axId val="-2066829048"/>
        <c:scaling>
          <c:orientation val="minMax"/>
        </c:scaling>
        <c:delete val="0"/>
        <c:axPos val="l"/>
        <c:majorGridlines/>
        <c:numFmt formatCode="General" sourceLinked="1"/>
        <c:majorTickMark val="out"/>
        <c:minorTickMark val="none"/>
        <c:tickLblPos val="nextTo"/>
        <c:crossAx val="-2067140280"/>
        <c:crosses val="autoZero"/>
        <c:crossBetween val="between"/>
      </c:valAx>
      <c:spPr>
        <a:noFill/>
        <a:ln w="25400">
          <a:noFill/>
        </a:ln>
      </c:spPr>
    </c:plotArea>
    <c:legend>
      <c:legendPos val="b"/>
      <c:layout>
        <c:manualLayout>
          <c:xMode val="edge"/>
          <c:yMode val="edge"/>
          <c:x val="0.26985004317457101"/>
          <c:y val="0.89834479199613804"/>
          <c:w val="0.463557157146888"/>
          <c:h val="6.7828569526060797E-2"/>
        </c:manualLayout>
      </c:layout>
      <c:overlay val="0"/>
    </c:legend>
    <c:plotVisOnly val="1"/>
    <c:dispBlanksAs val="gap"/>
    <c:showDLblsOverMax val="0"/>
  </c:chart>
  <c:printSettings>
    <c:headerFooter/>
    <c:pageMargins b="1" l="0.75" r="0.75"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Admin</c:v>
          </c:tx>
          <c:val>
            <c:numRef>
              <c:f>[4]POL!$B$20:$L$20</c:f>
              <c:numCache>
                <c:formatCode>General</c:formatCode>
                <c:ptCount val="11"/>
                <c:pt idx="0">
                  <c:v>6</c:v>
                </c:pt>
                <c:pt idx="1">
                  <c:v>6</c:v>
                </c:pt>
                <c:pt idx="2">
                  <c:v>5</c:v>
                </c:pt>
                <c:pt idx="3">
                  <c:v>5</c:v>
                </c:pt>
                <c:pt idx="4">
                  <c:v>5</c:v>
                </c:pt>
                <c:pt idx="5">
                  <c:v>5</c:v>
                </c:pt>
                <c:pt idx="6">
                  <c:v>5</c:v>
                </c:pt>
                <c:pt idx="7">
                  <c:v>7</c:v>
                </c:pt>
                <c:pt idx="8">
                  <c:v>7</c:v>
                </c:pt>
                <c:pt idx="9">
                  <c:v>7</c:v>
                </c:pt>
                <c:pt idx="10">
                  <c:v>6</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0-458F-44E0-99F9-686F2EEA1131}"/>
            </c:ext>
          </c:extLst>
        </c:ser>
        <c:ser>
          <c:idx val="1"/>
          <c:order val="1"/>
          <c:tx>
            <c:v>Info Svc</c:v>
          </c:tx>
          <c:val>
            <c:numRef>
              <c:f>[4]POL!$B$21:$L$21</c:f>
              <c:numCache>
                <c:formatCode>General</c:formatCode>
                <c:ptCount val="11"/>
                <c:pt idx="0">
                  <c:v>33</c:v>
                </c:pt>
                <c:pt idx="1">
                  <c:v>33</c:v>
                </c:pt>
                <c:pt idx="2">
                  <c:v>31</c:v>
                </c:pt>
                <c:pt idx="3">
                  <c:v>31</c:v>
                </c:pt>
                <c:pt idx="4">
                  <c:v>31</c:v>
                </c:pt>
                <c:pt idx="5">
                  <c:v>31</c:v>
                </c:pt>
                <c:pt idx="6">
                  <c:v>33</c:v>
                </c:pt>
                <c:pt idx="7">
                  <c:v>34</c:v>
                </c:pt>
                <c:pt idx="8">
                  <c:v>35</c:v>
                </c:pt>
                <c:pt idx="9">
                  <c:v>38</c:v>
                </c:pt>
                <c:pt idx="10">
                  <c:v>37</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1-458F-44E0-99F9-686F2EEA1131}"/>
            </c:ext>
          </c:extLst>
        </c:ser>
        <c:ser>
          <c:idx val="2"/>
          <c:order val="2"/>
          <c:tx>
            <c:v>Ops</c:v>
          </c:tx>
          <c:val>
            <c:numRef>
              <c:f>[4]POL!$B$22:$L$22</c:f>
              <c:numCache>
                <c:formatCode>General</c:formatCode>
                <c:ptCount val="11"/>
                <c:pt idx="0">
                  <c:v>72</c:v>
                </c:pt>
                <c:pt idx="1">
                  <c:v>72</c:v>
                </c:pt>
                <c:pt idx="2">
                  <c:v>71</c:v>
                </c:pt>
                <c:pt idx="3">
                  <c:v>69</c:v>
                </c:pt>
                <c:pt idx="4">
                  <c:v>69</c:v>
                </c:pt>
                <c:pt idx="5">
                  <c:v>71</c:v>
                </c:pt>
                <c:pt idx="6">
                  <c:v>73</c:v>
                </c:pt>
                <c:pt idx="7">
                  <c:v>75</c:v>
                </c:pt>
                <c:pt idx="8">
                  <c:v>79</c:v>
                </c:pt>
                <c:pt idx="9">
                  <c:v>80</c:v>
                </c:pt>
                <c:pt idx="10">
                  <c:v>84</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2-458F-44E0-99F9-686F2EEA1131}"/>
            </c:ext>
          </c:extLst>
        </c:ser>
        <c:ser>
          <c:idx val="3"/>
          <c:order val="3"/>
          <c:tx>
            <c:v>Sup Ser</c:v>
          </c:tx>
          <c:val>
            <c:numRef>
              <c:f>[4]POL!$B$23:$L$23</c:f>
              <c:numCache>
                <c:formatCode>General</c:formatCode>
                <c:ptCount val="11"/>
                <c:pt idx="0">
                  <c:v>25</c:v>
                </c:pt>
                <c:pt idx="1">
                  <c:v>25</c:v>
                </c:pt>
                <c:pt idx="2">
                  <c:v>27</c:v>
                </c:pt>
                <c:pt idx="3">
                  <c:v>29</c:v>
                </c:pt>
                <c:pt idx="4">
                  <c:v>28.75</c:v>
                </c:pt>
                <c:pt idx="5">
                  <c:v>27.5</c:v>
                </c:pt>
                <c:pt idx="6">
                  <c:v>29</c:v>
                </c:pt>
                <c:pt idx="7">
                  <c:v>30</c:v>
                </c:pt>
                <c:pt idx="8">
                  <c:v>33</c:v>
                </c:pt>
                <c:pt idx="9">
                  <c:v>33.5</c:v>
                </c:pt>
                <c:pt idx="10">
                  <c:v>33.5</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3-458F-44E0-99F9-686F2EEA1131}"/>
            </c:ext>
          </c:extLst>
        </c:ser>
        <c:dLbls>
          <c:showLegendKey val="0"/>
          <c:showVal val="0"/>
          <c:showCatName val="0"/>
          <c:showSerName val="0"/>
          <c:showPercent val="0"/>
          <c:showBubbleSize val="0"/>
        </c:dLbls>
        <c:marker val="1"/>
        <c:smooth val="0"/>
        <c:axId val="-2057457368"/>
        <c:axId val="-2057454248"/>
      </c:lineChart>
      <c:catAx>
        <c:axId val="-2057457368"/>
        <c:scaling>
          <c:orientation val="minMax"/>
        </c:scaling>
        <c:delete val="0"/>
        <c:axPos val="b"/>
        <c:numFmt formatCode="General" sourceLinked="1"/>
        <c:majorTickMark val="out"/>
        <c:minorTickMark val="none"/>
        <c:tickLblPos val="nextTo"/>
        <c:crossAx val="-2057454248"/>
        <c:crosses val="autoZero"/>
        <c:auto val="1"/>
        <c:lblAlgn val="ctr"/>
        <c:lblOffset val="100"/>
        <c:noMultiLvlLbl val="0"/>
      </c:catAx>
      <c:valAx>
        <c:axId val="-2057454248"/>
        <c:scaling>
          <c:orientation val="minMax"/>
        </c:scaling>
        <c:delete val="0"/>
        <c:axPos val="l"/>
        <c:majorGridlines/>
        <c:numFmt formatCode="General" sourceLinked="1"/>
        <c:majorTickMark val="out"/>
        <c:minorTickMark val="none"/>
        <c:tickLblPos val="nextTo"/>
        <c:crossAx val="-205745736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val>
            <c:numRef>
              <c:f>[4]POL!$B$12:$H$12</c:f>
              <c:numCache>
                <c:formatCode>General</c:formatCode>
                <c:ptCount val="7"/>
                <c:pt idx="0">
                  <c:v>14362908</c:v>
                </c:pt>
                <c:pt idx="1">
                  <c:v>15281636</c:v>
                </c:pt>
                <c:pt idx="2">
                  <c:v>15707233</c:v>
                </c:pt>
                <c:pt idx="3">
                  <c:v>16496905</c:v>
                </c:pt>
                <c:pt idx="4">
                  <c:v>16174985</c:v>
                </c:pt>
                <c:pt idx="5">
                  <c:v>17097730</c:v>
                </c:pt>
                <c:pt idx="6">
                  <c:v>18444764</c:v>
                </c:pt>
              </c:numCache>
            </c:numRef>
          </c:val>
          <c:smooth val="0"/>
          <c:extLst>
            <c:ext xmlns:c15="http://schemas.microsoft.com/office/drawing/2012/chart" uri="{02D57815-91ED-43cb-92C2-25804820EDAC}">
              <c15:filteredSeriesTitle>
                <c15:tx>
                  <c:strRef>
                    <c:extLst>
                      <c:ext uri="{02D57815-91ED-43cb-92C2-25804820EDAC}">
                        <c15:formulaRef>
                          <c15:sqref>[4]POL!$A$12</c15:sqref>
                        </c15:formulaRef>
                      </c:ext>
                    </c:extLst>
                    <c:strCache>
                      <c:ptCount val="1"/>
                      <c:pt idx="0">
                        <c:v>     Total Expenses</c:v>
                      </c:pt>
                    </c:strCache>
                  </c:strRef>
                </c15:tx>
              </c15:filteredSeriesTitle>
            </c:ext>
            <c:ext xmlns:c15="http://schemas.microsoft.com/office/drawing/2012/chart" uri="{02D57815-91ED-43cb-92C2-25804820EDAC}">
              <c15:filteredCategoryTitle>
                <c15:cat>
                  <c:numRef>
                    <c:extLst>
                      <c:ext uri="{02D57815-91ED-43cb-92C2-25804820EDAC}">
                        <c15:formulaRef>
                          <c15:sqref>[4]POL!$B$2:$I$2</c15:sqref>
                        </c15:formulaRef>
                      </c:ext>
                    </c:extLst>
                    <c:numCache>
                      <c:formatCode>General</c:formatCode>
                      <c:ptCount val="8"/>
                      <c:pt idx="0">
                        <c:v>2008</c:v>
                      </c:pt>
                      <c:pt idx="1">
                        <c:v>2009</c:v>
                      </c:pt>
                      <c:pt idx="2">
                        <c:v>2010</c:v>
                      </c:pt>
                      <c:pt idx="3">
                        <c:v>2011</c:v>
                      </c:pt>
                      <c:pt idx="4">
                        <c:v>2012</c:v>
                      </c:pt>
                      <c:pt idx="5">
                        <c:v>2013</c:v>
                      </c:pt>
                      <c:pt idx="6">
                        <c:v>2014</c:v>
                      </c:pt>
                      <c:pt idx="7">
                        <c:v>2015</c:v>
                      </c:pt>
                    </c:numCache>
                  </c:numRef>
                </c15:cat>
              </c15:filteredCategoryTitle>
            </c:ext>
            <c:ext xmlns:c16="http://schemas.microsoft.com/office/drawing/2014/chart" uri="{C3380CC4-5D6E-409C-BE32-E72D297353CC}">
              <c16:uniqueId val="{00000000-5F9E-499F-9554-0AEFE993127C}"/>
            </c:ext>
          </c:extLst>
        </c:ser>
        <c:dLbls>
          <c:showLegendKey val="0"/>
          <c:showVal val="0"/>
          <c:showCatName val="0"/>
          <c:showSerName val="0"/>
          <c:showPercent val="0"/>
          <c:showBubbleSize val="0"/>
        </c:dLbls>
        <c:marker val="1"/>
        <c:smooth val="0"/>
        <c:axId val="-2067001304"/>
        <c:axId val="-2139805320"/>
      </c:lineChart>
      <c:catAx>
        <c:axId val="-2067001304"/>
        <c:scaling>
          <c:orientation val="minMax"/>
        </c:scaling>
        <c:delete val="0"/>
        <c:axPos val="b"/>
        <c:numFmt formatCode="General" sourceLinked="1"/>
        <c:majorTickMark val="out"/>
        <c:minorTickMark val="none"/>
        <c:tickLblPos val="nextTo"/>
        <c:crossAx val="-2139805320"/>
        <c:crosses val="autoZero"/>
        <c:auto val="1"/>
        <c:lblAlgn val="ctr"/>
        <c:lblOffset val="100"/>
        <c:noMultiLvlLbl val="0"/>
      </c:catAx>
      <c:valAx>
        <c:axId val="-2139805320"/>
        <c:scaling>
          <c:orientation val="minMax"/>
        </c:scaling>
        <c:delete val="0"/>
        <c:axPos val="l"/>
        <c:majorGridlines/>
        <c:numFmt formatCode="General" sourceLinked="1"/>
        <c:majorTickMark val="out"/>
        <c:minorTickMark val="none"/>
        <c:tickLblPos val="nextTo"/>
        <c:crossAx val="-2067001304"/>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[4]POL!$A$24</c:f>
              <c:strCache>
                <c:ptCount val="1"/>
                <c:pt idx="0">
                  <c:v>FTE Total</c:v>
                </c:pt>
              </c:strCache>
            </c:strRef>
          </c:tx>
          <c:val>
            <c:numRef>
              <c:f>[4]POL!$B$24:$L$24</c:f>
              <c:numCache>
                <c:formatCode>General</c:formatCode>
                <c:ptCount val="11"/>
                <c:pt idx="0">
                  <c:v>136</c:v>
                </c:pt>
                <c:pt idx="1">
                  <c:v>136</c:v>
                </c:pt>
                <c:pt idx="2">
                  <c:v>134</c:v>
                </c:pt>
                <c:pt idx="3">
                  <c:v>134</c:v>
                </c:pt>
                <c:pt idx="4">
                  <c:v>133.75</c:v>
                </c:pt>
                <c:pt idx="5">
                  <c:v>134.5</c:v>
                </c:pt>
                <c:pt idx="6">
                  <c:v>140</c:v>
                </c:pt>
                <c:pt idx="7">
                  <c:v>146</c:v>
                </c:pt>
                <c:pt idx="8">
                  <c:v>154</c:v>
                </c:pt>
                <c:pt idx="9">
                  <c:v>158.5</c:v>
                </c:pt>
                <c:pt idx="10">
                  <c:v>160.5</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0-8D95-488E-BAE5-57B067FAA73D}"/>
            </c:ext>
          </c:extLst>
        </c:ser>
        <c:ser>
          <c:idx val="1"/>
          <c:order val="1"/>
          <c:tx>
            <c:v>Ops FTEs</c:v>
          </c:tx>
          <c:val>
            <c:numRef>
              <c:f>[4]POL!$B$22:$L$22</c:f>
              <c:numCache>
                <c:formatCode>General</c:formatCode>
                <c:ptCount val="11"/>
                <c:pt idx="0">
                  <c:v>72</c:v>
                </c:pt>
                <c:pt idx="1">
                  <c:v>72</c:v>
                </c:pt>
                <c:pt idx="2">
                  <c:v>71</c:v>
                </c:pt>
                <c:pt idx="3">
                  <c:v>69</c:v>
                </c:pt>
                <c:pt idx="4">
                  <c:v>69</c:v>
                </c:pt>
                <c:pt idx="5">
                  <c:v>71</c:v>
                </c:pt>
                <c:pt idx="6">
                  <c:v>73</c:v>
                </c:pt>
                <c:pt idx="7">
                  <c:v>75</c:v>
                </c:pt>
                <c:pt idx="8">
                  <c:v>79</c:v>
                </c:pt>
                <c:pt idx="9">
                  <c:v>80</c:v>
                </c:pt>
                <c:pt idx="10">
                  <c:v>84</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1-8D95-488E-BAE5-57B067FAA73D}"/>
            </c:ext>
          </c:extLst>
        </c:ser>
        <c:dLbls>
          <c:showLegendKey val="0"/>
          <c:showVal val="0"/>
          <c:showCatName val="0"/>
          <c:showSerName val="0"/>
          <c:showPercent val="0"/>
          <c:showBubbleSize val="0"/>
        </c:dLbls>
        <c:marker val="1"/>
        <c:smooth val="0"/>
        <c:axId val="-2067025016"/>
        <c:axId val="-2139154904"/>
      </c:lineChart>
      <c:catAx>
        <c:axId val="-2067025016"/>
        <c:scaling>
          <c:orientation val="minMax"/>
        </c:scaling>
        <c:delete val="0"/>
        <c:axPos val="b"/>
        <c:numFmt formatCode="General" sourceLinked="1"/>
        <c:majorTickMark val="out"/>
        <c:minorTickMark val="none"/>
        <c:tickLblPos val="nextTo"/>
        <c:crossAx val="-2139154904"/>
        <c:crosses val="autoZero"/>
        <c:auto val="1"/>
        <c:lblAlgn val="ctr"/>
        <c:lblOffset val="100"/>
        <c:noMultiLvlLbl val="0"/>
      </c:catAx>
      <c:valAx>
        <c:axId val="-2139154904"/>
        <c:scaling>
          <c:orientation val="minMax"/>
        </c:scaling>
        <c:delete val="0"/>
        <c:axPos val="l"/>
        <c:majorGridlines/>
        <c:numFmt formatCode="General" sourceLinked="1"/>
        <c:majorTickMark val="out"/>
        <c:minorTickMark val="none"/>
        <c:tickLblPos val="nextTo"/>
        <c:crossAx val="-2067025016"/>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val>
            <c:numRef>
              <c:f>[4]POL!$B$34:$L$34</c:f>
              <c:numCache>
                <c:formatCode>General</c:formatCode>
                <c:ptCount val="11"/>
                <c:pt idx="0">
                  <c:v>106220.77777777778</c:v>
                </c:pt>
                <c:pt idx="1">
                  <c:v>112103.5</c:v>
                </c:pt>
                <c:pt idx="2">
                  <c:v>120089.25352112677</c:v>
                </c:pt>
                <c:pt idx="3">
                  <c:v>132040.21739130435</c:v>
                </c:pt>
                <c:pt idx="4">
                  <c:v>129495.85507246378</c:v>
                </c:pt>
                <c:pt idx="5">
                  <c:v>130465.66197183098</c:v>
                </c:pt>
                <c:pt idx="6">
                  <c:v>129321.91780821918</c:v>
                </c:pt>
                <c:pt idx="7">
                  <c:v>134015.70666666667</c:v>
                </c:pt>
                <c:pt idx="8">
                  <c:v>133860.98734177215</c:v>
                </c:pt>
                <c:pt idx="9">
                  <c:v>160267.11249999999</c:v>
                </c:pt>
                <c:pt idx="10">
                  <c:v>162388.5</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0-8346-42A0-8D73-6A25FC687A7A}"/>
            </c:ext>
          </c:extLst>
        </c:ser>
        <c:ser>
          <c:idx val="1"/>
          <c:order val="1"/>
          <c:tx>
            <c:v>Tot Exp per FTE</c:v>
          </c:tx>
          <c:val>
            <c:numRef>
              <c:f>[4]POL!$B$36:$L$36</c:f>
              <c:numCache>
                <c:formatCode>General</c:formatCode>
                <c:ptCount val="11"/>
                <c:pt idx="0">
                  <c:v>105609.61764705883</c:v>
                </c:pt>
                <c:pt idx="1">
                  <c:v>112364.9705882353</c:v>
                </c:pt>
                <c:pt idx="2">
                  <c:v>117218.15671641791</c:v>
                </c:pt>
                <c:pt idx="3">
                  <c:v>123111.23134328358</c:v>
                </c:pt>
                <c:pt idx="4">
                  <c:v>120934.46728971963</c:v>
                </c:pt>
                <c:pt idx="5">
                  <c:v>127120.66914498141</c:v>
                </c:pt>
                <c:pt idx="6">
                  <c:v>131748.3142857143</c:v>
                </c:pt>
                <c:pt idx="7">
                  <c:v>135334.50684931508</c:v>
                </c:pt>
                <c:pt idx="8">
                  <c:v>135254.03246753247</c:v>
                </c:pt>
                <c:pt idx="9">
                  <c:v>158181.16088328077</c:v>
                </c:pt>
                <c:pt idx="10">
                  <c:v>163228.05607476635</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1-8346-42A0-8D73-6A25FC687A7A}"/>
            </c:ext>
          </c:extLst>
        </c:ser>
        <c:dLbls>
          <c:showLegendKey val="0"/>
          <c:showVal val="0"/>
          <c:showCatName val="0"/>
          <c:showSerName val="0"/>
          <c:showPercent val="0"/>
          <c:showBubbleSize val="0"/>
        </c:dLbls>
        <c:marker val="1"/>
        <c:smooth val="0"/>
        <c:axId val="-2139127080"/>
        <c:axId val="-2139124104"/>
      </c:lineChart>
      <c:catAx>
        <c:axId val="-2139127080"/>
        <c:scaling>
          <c:orientation val="minMax"/>
        </c:scaling>
        <c:delete val="0"/>
        <c:axPos val="b"/>
        <c:numFmt formatCode="General" sourceLinked="1"/>
        <c:majorTickMark val="out"/>
        <c:minorTickMark val="none"/>
        <c:tickLblPos val="nextTo"/>
        <c:crossAx val="-2139124104"/>
        <c:crosses val="autoZero"/>
        <c:auto val="1"/>
        <c:lblAlgn val="ctr"/>
        <c:lblOffset val="100"/>
        <c:noMultiLvlLbl val="0"/>
      </c:catAx>
      <c:valAx>
        <c:axId val="-2139124104"/>
        <c:scaling>
          <c:orientation val="minMax"/>
        </c:scaling>
        <c:delete val="0"/>
        <c:axPos val="l"/>
        <c:majorGridlines/>
        <c:numFmt formatCode="General" sourceLinked="1"/>
        <c:majorTickMark val="out"/>
        <c:minorTickMark val="none"/>
        <c:tickLblPos val="nextTo"/>
        <c:crossAx val="-2139127080"/>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POL!$A$40</c:f>
              <c:strCache>
                <c:ptCount val="1"/>
                <c:pt idx="0">
                  <c:v>FTE Total</c:v>
                </c:pt>
              </c:strCache>
            </c:strRef>
          </c:tx>
          <c:cat>
            <c:numRef>
              <c:f>POL!$B$5:$I$5</c:f>
              <c:numCache>
                <c:formatCode>General</c:formatCode>
                <c:ptCount val="8"/>
                <c:pt idx="0">
                  <c:v>2009</c:v>
                </c:pt>
                <c:pt idx="1">
                  <c:v>2010</c:v>
                </c:pt>
                <c:pt idx="2">
                  <c:v>2011</c:v>
                </c:pt>
                <c:pt idx="3">
                  <c:v>2012</c:v>
                </c:pt>
                <c:pt idx="4">
                  <c:v>2013</c:v>
                </c:pt>
                <c:pt idx="5">
                  <c:v>2014</c:v>
                </c:pt>
                <c:pt idx="6">
                  <c:v>2015</c:v>
                </c:pt>
                <c:pt idx="7">
                  <c:v>2016</c:v>
                </c:pt>
              </c:numCache>
            </c:numRef>
          </c:cat>
          <c:val>
            <c:numRef>
              <c:f>POL!$B$40:$H$40</c:f>
              <c:numCache>
                <c:formatCode>_(* #,##0.0_);_(* \(#,##0.0\);_(* "-"??_);_(@_)</c:formatCode>
                <c:ptCount val="7"/>
                <c:pt idx="0">
                  <c:v>136</c:v>
                </c:pt>
                <c:pt idx="1">
                  <c:v>134</c:v>
                </c:pt>
                <c:pt idx="2">
                  <c:v>134</c:v>
                </c:pt>
                <c:pt idx="3">
                  <c:v>133.75</c:v>
                </c:pt>
                <c:pt idx="4">
                  <c:v>134.5</c:v>
                </c:pt>
                <c:pt idx="5">
                  <c:v>140</c:v>
                </c:pt>
                <c:pt idx="6">
                  <c:v>146</c:v>
                </c:pt>
              </c:numCache>
            </c:numRef>
          </c:val>
          <c:smooth val="0"/>
          <c:extLst>
            <c:ext xmlns:c16="http://schemas.microsoft.com/office/drawing/2014/chart" uri="{C3380CC4-5D6E-409C-BE32-E72D297353CC}">
              <c16:uniqueId val="{00000000-00EB-4749-9E3C-2565F6038B75}"/>
            </c:ext>
          </c:extLst>
        </c:ser>
        <c:dLbls>
          <c:showLegendKey val="0"/>
          <c:showVal val="0"/>
          <c:showCatName val="0"/>
          <c:showSerName val="0"/>
          <c:showPercent val="0"/>
          <c:showBubbleSize val="0"/>
        </c:dLbls>
        <c:marker val="1"/>
        <c:smooth val="0"/>
        <c:axId val="-2140097208"/>
        <c:axId val="-2140098584"/>
      </c:lineChart>
      <c:catAx>
        <c:axId val="-2140097208"/>
        <c:scaling>
          <c:orientation val="minMax"/>
        </c:scaling>
        <c:delete val="0"/>
        <c:axPos val="b"/>
        <c:numFmt formatCode="General" sourceLinked="1"/>
        <c:majorTickMark val="out"/>
        <c:minorTickMark val="none"/>
        <c:tickLblPos val="nextTo"/>
        <c:crossAx val="-2140098584"/>
        <c:crosses val="autoZero"/>
        <c:auto val="1"/>
        <c:lblAlgn val="ctr"/>
        <c:lblOffset val="100"/>
        <c:noMultiLvlLbl val="0"/>
      </c:catAx>
      <c:valAx>
        <c:axId val="-2140098584"/>
        <c:scaling>
          <c:orientation val="minMax"/>
        </c:scaling>
        <c:delete val="0"/>
        <c:axPos val="l"/>
        <c:majorGridlines/>
        <c:numFmt formatCode="_(* #,##0.0_);_(* \(#,##0.0\);_(* &quot;-&quot;??_);_(@_)" sourceLinked="1"/>
        <c:majorTickMark val="out"/>
        <c:minorTickMark val="none"/>
        <c:tickLblPos val="nextTo"/>
        <c:crossAx val="-214009720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POL!$A$30</c:f>
              <c:strCache>
                <c:ptCount val="1"/>
                <c:pt idx="0">
                  <c:v>FTE Total</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POL!$B$30:$L$30</c:f>
              <c:numCache>
                <c:formatCode>_(* #,##0.0_);_(* \(#,##0.0\);_(* "-"??_);_(@_)</c:formatCode>
                <c:ptCount val="11"/>
                <c:pt idx="0">
                  <c:v>136</c:v>
                </c:pt>
                <c:pt idx="1">
                  <c:v>134</c:v>
                </c:pt>
                <c:pt idx="2">
                  <c:v>134</c:v>
                </c:pt>
                <c:pt idx="3">
                  <c:v>133.75</c:v>
                </c:pt>
                <c:pt idx="4">
                  <c:v>134.5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1EC4-4B74-A748-87417A47E8DE}"/>
            </c:ext>
          </c:extLst>
        </c:ser>
        <c:ser>
          <c:idx val="1"/>
          <c:order val="1"/>
          <c:tx>
            <c:v>Ops FTEs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1-1EC4-4B74-A748-87417A47E8DE}"/>
            </c:ext>
          </c:extLst>
        </c:ser>
        <c:dLbls>
          <c:showLegendKey val="0"/>
          <c:showVal val="0"/>
          <c:showCatName val="0"/>
          <c:showSerName val="0"/>
          <c:showPercent val="0"/>
          <c:showBubbleSize val="0"/>
        </c:dLbls>
        <c:marker val="1"/>
        <c:smooth val="0"/>
        <c:axId val="-2140132680"/>
        <c:axId val="-2140134120"/>
      </c:lineChart>
      <c:catAx>
        <c:axId val="-2140132680"/>
        <c:scaling>
          <c:orientation val="minMax"/>
        </c:scaling>
        <c:delete val="0"/>
        <c:axPos val="b"/>
        <c:numFmt formatCode="General" sourceLinked="1"/>
        <c:majorTickMark val="out"/>
        <c:minorTickMark val="none"/>
        <c:tickLblPos val="nextTo"/>
        <c:crossAx val="-2140134120"/>
        <c:crosses val="autoZero"/>
        <c:auto val="1"/>
        <c:lblAlgn val="ctr"/>
        <c:lblOffset val="100"/>
        <c:noMultiLvlLbl val="0"/>
      </c:catAx>
      <c:valAx>
        <c:axId val="-2140134120"/>
        <c:scaling>
          <c:orientation val="minMax"/>
        </c:scaling>
        <c:delete val="0"/>
        <c:axPos val="l"/>
        <c:majorGridlines/>
        <c:numFmt formatCode="_(* #,##0.0_);_(* \(#,##0.0\);_(* &quot;-&quot;??_);_(@_)" sourceLinked="1"/>
        <c:majorTickMark val="out"/>
        <c:minorTickMark val="none"/>
        <c:tickLblPos val="nextTo"/>
        <c:crossAx val="-2140132680"/>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POL!$B$72:$L$72</c:f>
              <c:numCache>
                <c:formatCode>_("$"* #,##0_);_("$"* \(#,##0\);_("$"* "-"??_);_(@_)</c:formatCode>
                <c:ptCount val="11"/>
              </c:numCache>
            </c:numRef>
          </c:val>
          <c:smooth val="0"/>
          <c:extLst>
            <c:ext xmlns:c16="http://schemas.microsoft.com/office/drawing/2014/chart" uri="{C3380CC4-5D6E-409C-BE32-E72D297353CC}">
              <c16:uniqueId val="{00000000-02E6-4B7F-9FFF-78C91E30A98B}"/>
            </c:ext>
          </c:extLst>
        </c:ser>
        <c:ser>
          <c:idx val="1"/>
          <c:order val="1"/>
          <c:tx>
            <c:v>Tot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POL!$B$74:$L$74</c:f>
              <c:numCache>
                <c:formatCode>_("$"* #,##0_);_("$"* \(#,##0\);_("$"* "-"??_);_(@_)</c:formatCode>
                <c:ptCount val="11"/>
              </c:numCache>
            </c:numRef>
          </c:val>
          <c:smooth val="0"/>
          <c:extLst>
            <c:ext xmlns:c16="http://schemas.microsoft.com/office/drawing/2014/chart" uri="{C3380CC4-5D6E-409C-BE32-E72D297353CC}">
              <c16:uniqueId val="{00000001-02E6-4B7F-9FFF-78C91E30A98B}"/>
            </c:ext>
          </c:extLst>
        </c:ser>
        <c:dLbls>
          <c:showLegendKey val="0"/>
          <c:showVal val="0"/>
          <c:showCatName val="0"/>
          <c:showSerName val="0"/>
          <c:showPercent val="0"/>
          <c:showBubbleSize val="0"/>
        </c:dLbls>
        <c:marker val="1"/>
        <c:smooth val="0"/>
        <c:axId val="-2081028024"/>
        <c:axId val="-2080458360"/>
      </c:lineChart>
      <c:catAx>
        <c:axId val="-2081028024"/>
        <c:scaling>
          <c:orientation val="minMax"/>
        </c:scaling>
        <c:delete val="0"/>
        <c:axPos val="b"/>
        <c:numFmt formatCode="General" sourceLinked="1"/>
        <c:majorTickMark val="out"/>
        <c:minorTickMark val="none"/>
        <c:tickLblPos val="nextTo"/>
        <c:crossAx val="-2080458360"/>
        <c:crosses val="autoZero"/>
        <c:auto val="1"/>
        <c:lblAlgn val="ctr"/>
        <c:lblOffset val="100"/>
        <c:noMultiLvlLbl val="0"/>
      </c:catAx>
      <c:valAx>
        <c:axId val="-2080458360"/>
        <c:scaling>
          <c:orientation val="minMax"/>
        </c:scaling>
        <c:delete val="0"/>
        <c:axPos val="l"/>
        <c:majorGridlines/>
        <c:numFmt formatCode="_(&quot;$&quot;* #,##0_);_(&quot;$&quot;* \(#,##0\);_(&quot;$&quot;* &quot;-&quot;??_);_(@_)" sourceLinked="1"/>
        <c:majorTickMark val="out"/>
        <c:minorTickMark val="none"/>
        <c:tickLblPos val="nextTo"/>
        <c:crossAx val="-2081028024"/>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Admin</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POL!$B$52:$L$52</c:f>
              <c:numCache>
                <c:formatCode>_(* #,##0.00_);_(* \(#,##0.00\);_(* "-"??_);_(@_)</c:formatCode>
                <c:ptCount val="11"/>
              </c:numCache>
            </c:numRef>
          </c:val>
          <c:smooth val="0"/>
          <c:extLst>
            <c:ext xmlns:c16="http://schemas.microsoft.com/office/drawing/2014/chart" uri="{C3380CC4-5D6E-409C-BE32-E72D297353CC}">
              <c16:uniqueId val="{00000000-BCF4-4F8E-8628-D35487CD90E3}"/>
            </c:ext>
          </c:extLst>
        </c:ser>
        <c:ser>
          <c:idx val="1"/>
          <c:order val="1"/>
          <c:tx>
            <c:v>Info Svc</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POL!$B$53:$L$53</c:f>
              <c:numCache>
                <c:formatCode>_(* #,##0.00_);_(* \(#,##0.00\);_(* "-"??_);_(@_)</c:formatCode>
                <c:ptCount val="11"/>
              </c:numCache>
            </c:numRef>
          </c:val>
          <c:smooth val="0"/>
          <c:extLst>
            <c:ext xmlns:c16="http://schemas.microsoft.com/office/drawing/2014/chart" uri="{C3380CC4-5D6E-409C-BE32-E72D297353CC}">
              <c16:uniqueId val="{00000001-BCF4-4F8E-8628-D35487CD90E3}"/>
            </c:ext>
          </c:extLst>
        </c:ser>
        <c:ser>
          <c:idx val="2"/>
          <c:order val="2"/>
          <c:tx>
            <c:v>Ops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2-BCF4-4F8E-8628-D35487CD90E3}"/>
            </c:ext>
          </c:extLst>
        </c:ser>
        <c:ser>
          <c:idx val="3"/>
          <c:order val="3"/>
          <c:tx>
            <c:v>Sup Ser</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POL!$B$55:$L$55</c:f>
              <c:numCache>
                <c:formatCode>_(* #,##0.00_);_(* \(#,##0.00\);_(* "-"??_);_(@_)</c:formatCode>
                <c:ptCount val="11"/>
              </c:numCache>
            </c:numRef>
          </c:val>
          <c:smooth val="0"/>
          <c:extLst>
            <c:ext xmlns:c16="http://schemas.microsoft.com/office/drawing/2014/chart" uri="{C3380CC4-5D6E-409C-BE32-E72D297353CC}">
              <c16:uniqueId val="{00000003-BCF4-4F8E-8628-D35487CD90E3}"/>
            </c:ext>
          </c:extLst>
        </c:ser>
        <c:dLbls>
          <c:showLegendKey val="0"/>
          <c:showVal val="0"/>
          <c:showCatName val="0"/>
          <c:showSerName val="0"/>
          <c:showPercent val="0"/>
          <c:showBubbleSize val="0"/>
        </c:dLbls>
        <c:marker val="1"/>
        <c:smooth val="0"/>
        <c:axId val="-2081315528"/>
        <c:axId val="-2080934040"/>
      </c:lineChart>
      <c:catAx>
        <c:axId val="-2081315528"/>
        <c:scaling>
          <c:orientation val="minMax"/>
        </c:scaling>
        <c:delete val="0"/>
        <c:axPos val="b"/>
        <c:numFmt formatCode="General" sourceLinked="1"/>
        <c:majorTickMark val="out"/>
        <c:minorTickMark val="none"/>
        <c:tickLblPos val="nextTo"/>
        <c:crossAx val="-2080934040"/>
        <c:crosses val="autoZero"/>
        <c:auto val="1"/>
        <c:lblAlgn val="ctr"/>
        <c:lblOffset val="100"/>
        <c:noMultiLvlLbl val="0"/>
      </c:catAx>
      <c:valAx>
        <c:axId val="-2080934040"/>
        <c:scaling>
          <c:orientation val="minMax"/>
        </c:scaling>
        <c:delete val="0"/>
        <c:axPos val="l"/>
        <c:majorGridlines/>
        <c:numFmt formatCode="_(* #,##0.00_);_(* \(#,##0.00\);_(* &quot;-&quot;??_);_(@_)" sourceLinked="1"/>
        <c:majorTickMark val="out"/>
        <c:minorTickMark val="none"/>
        <c:tickLblPos val="nextTo"/>
        <c:crossAx val="-208131552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POL!$A$40</c:f>
              <c:strCache>
                <c:ptCount val="1"/>
                <c:pt idx="0">
                  <c:v>FTE Total</c:v>
                </c:pt>
              </c:strCache>
            </c:strRef>
          </c:tx>
          <c:cat>
            <c:numRef>
              <c:f>POL!$B$5:$I$5</c:f>
              <c:numCache>
                <c:formatCode>General</c:formatCode>
                <c:ptCount val="8"/>
                <c:pt idx="0">
                  <c:v>2009</c:v>
                </c:pt>
                <c:pt idx="1">
                  <c:v>2010</c:v>
                </c:pt>
                <c:pt idx="2">
                  <c:v>2011</c:v>
                </c:pt>
                <c:pt idx="3">
                  <c:v>2012</c:v>
                </c:pt>
                <c:pt idx="4">
                  <c:v>2013</c:v>
                </c:pt>
                <c:pt idx="5">
                  <c:v>2014</c:v>
                </c:pt>
                <c:pt idx="6">
                  <c:v>2015</c:v>
                </c:pt>
                <c:pt idx="7">
                  <c:v>2016</c:v>
                </c:pt>
              </c:numCache>
            </c:numRef>
          </c:cat>
          <c:val>
            <c:numRef>
              <c:f>POL!$B$40:$H$40</c:f>
              <c:numCache>
                <c:formatCode>_(* #,##0.0_);_(* \(#,##0.0\);_(* "-"??_);_(@_)</c:formatCode>
                <c:ptCount val="7"/>
                <c:pt idx="0">
                  <c:v>136</c:v>
                </c:pt>
                <c:pt idx="1">
                  <c:v>134</c:v>
                </c:pt>
                <c:pt idx="2">
                  <c:v>134</c:v>
                </c:pt>
                <c:pt idx="3">
                  <c:v>133.75</c:v>
                </c:pt>
                <c:pt idx="4">
                  <c:v>134.5</c:v>
                </c:pt>
                <c:pt idx="5">
                  <c:v>140</c:v>
                </c:pt>
                <c:pt idx="6">
                  <c:v>146</c:v>
                </c:pt>
              </c:numCache>
            </c:numRef>
          </c:val>
          <c:smooth val="0"/>
          <c:extLst>
            <c:ext xmlns:c16="http://schemas.microsoft.com/office/drawing/2014/chart" uri="{C3380CC4-5D6E-409C-BE32-E72D297353CC}">
              <c16:uniqueId val="{00000000-FFF2-4B50-9C06-6E9A18D264AF}"/>
            </c:ext>
          </c:extLst>
        </c:ser>
        <c:dLbls>
          <c:showLegendKey val="0"/>
          <c:showVal val="0"/>
          <c:showCatName val="0"/>
          <c:showSerName val="0"/>
          <c:showPercent val="0"/>
          <c:showBubbleSize val="0"/>
        </c:dLbls>
        <c:marker val="1"/>
        <c:smooth val="0"/>
        <c:axId val="-2140137352"/>
        <c:axId val="-2080464040"/>
      </c:lineChart>
      <c:catAx>
        <c:axId val="-2140137352"/>
        <c:scaling>
          <c:orientation val="minMax"/>
        </c:scaling>
        <c:delete val="0"/>
        <c:axPos val="b"/>
        <c:numFmt formatCode="General" sourceLinked="1"/>
        <c:majorTickMark val="out"/>
        <c:minorTickMark val="none"/>
        <c:tickLblPos val="nextTo"/>
        <c:crossAx val="-2080464040"/>
        <c:crosses val="autoZero"/>
        <c:auto val="1"/>
        <c:lblAlgn val="ctr"/>
        <c:lblOffset val="100"/>
        <c:noMultiLvlLbl val="0"/>
      </c:catAx>
      <c:valAx>
        <c:axId val="-2080464040"/>
        <c:scaling>
          <c:orientation val="minMax"/>
        </c:scaling>
        <c:delete val="0"/>
        <c:axPos val="l"/>
        <c:majorGridlines/>
        <c:numFmt formatCode="_(* #,##0.0_);_(* \(#,##0.0\);_(* &quot;-&quot;??_);_(@_)" sourceLinked="1"/>
        <c:majorTickMark val="out"/>
        <c:minorTickMark val="none"/>
        <c:tickLblPos val="nextTo"/>
        <c:crossAx val="-2140137352"/>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POL!$A$30</c:f>
              <c:strCache>
                <c:ptCount val="1"/>
                <c:pt idx="0">
                  <c:v>FTE Total</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POL!$B$30:$L$30</c:f>
              <c:numCache>
                <c:formatCode>_(* #,##0.0_);_(* \(#,##0.0\);_(* "-"??_);_(@_)</c:formatCode>
                <c:ptCount val="11"/>
                <c:pt idx="0">
                  <c:v>136</c:v>
                </c:pt>
                <c:pt idx="1">
                  <c:v>134</c:v>
                </c:pt>
                <c:pt idx="2">
                  <c:v>134</c:v>
                </c:pt>
                <c:pt idx="3">
                  <c:v>133.75</c:v>
                </c:pt>
                <c:pt idx="4">
                  <c:v>134.5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C353-4114-B490-8195A5864636}"/>
            </c:ext>
          </c:extLst>
        </c:ser>
        <c:ser>
          <c:idx val="1"/>
          <c:order val="1"/>
          <c:tx>
            <c:v>Ops FTEs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1-C353-4114-B490-8195A5864636}"/>
            </c:ext>
          </c:extLst>
        </c:ser>
        <c:dLbls>
          <c:showLegendKey val="0"/>
          <c:showVal val="0"/>
          <c:showCatName val="0"/>
          <c:showSerName val="0"/>
          <c:showPercent val="0"/>
          <c:showBubbleSize val="0"/>
        </c:dLbls>
        <c:marker val="1"/>
        <c:smooth val="0"/>
        <c:axId val="-2070515640"/>
        <c:axId val="2036992328"/>
      </c:lineChart>
      <c:catAx>
        <c:axId val="-2070515640"/>
        <c:scaling>
          <c:orientation val="minMax"/>
        </c:scaling>
        <c:delete val="0"/>
        <c:axPos val="b"/>
        <c:numFmt formatCode="General" sourceLinked="1"/>
        <c:majorTickMark val="out"/>
        <c:minorTickMark val="none"/>
        <c:tickLblPos val="nextTo"/>
        <c:crossAx val="2036992328"/>
        <c:crosses val="autoZero"/>
        <c:auto val="1"/>
        <c:lblAlgn val="ctr"/>
        <c:lblOffset val="100"/>
        <c:noMultiLvlLbl val="0"/>
      </c:catAx>
      <c:valAx>
        <c:axId val="2036992328"/>
        <c:scaling>
          <c:orientation val="minMax"/>
        </c:scaling>
        <c:delete val="0"/>
        <c:axPos val="l"/>
        <c:majorGridlines/>
        <c:numFmt formatCode="_(* #,##0.0_);_(* \(#,##0.0\);_(* &quot;-&quot;??_);_(@_)" sourceLinked="1"/>
        <c:majorTickMark val="out"/>
        <c:minorTickMark val="none"/>
        <c:tickLblPos val="nextTo"/>
        <c:crossAx val="-2070515640"/>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POL!$A$30</c:f>
              <c:strCache>
                <c:ptCount val="1"/>
                <c:pt idx="0">
                  <c:v>FTE Total</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POL!$B$30:$L$30</c:f>
              <c:numCache>
                <c:formatCode>_(* #,##0.0_);_(* \(#,##0.0\);_(* "-"??_);_(@_)</c:formatCode>
                <c:ptCount val="11"/>
                <c:pt idx="0">
                  <c:v>136</c:v>
                </c:pt>
                <c:pt idx="1">
                  <c:v>134</c:v>
                </c:pt>
                <c:pt idx="2">
                  <c:v>134</c:v>
                </c:pt>
                <c:pt idx="3">
                  <c:v>133.75</c:v>
                </c:pt>
                <c:pt idx="4">
                  <c:v>134.5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D24B-48DC-A0AC-7731F2DCB106}"/>
            </c:ext>
          </c:extLst>
        </c:ser>
        <c:ser>
          <c:idx val="1"/>
          <c:order val="1"/>
          <c:tx>
            <c:v>Ops FTEs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1-D24B-48DC-A0AC-7731F2DCB106}"/>
            </c:ext>
          </c:extLst>
        </c:ser>
        <c:dLbls>
          <c:showLegendKey val="0"/>
          <c:showVal val="0"/>
          <c:showCatName val="0"/>
          <c:showSerName val="0"/>
          <c:showPercent val="0"/>
          <c:showBubbleSize val="0"/>
        </c:dLbls>
        <c:marker val="1"/>
        <c:smooth val="0"/>
        <c:axId val="-2080686376"/>
        <c:axId val="-2080691624"/>
      </c:lineChart>
      <c:catAx>
        <c:axId val="-2080686376"/>
        <c:scaling>
          <c:orientation val="minMax"/>
        </c:scaling>
        <c:delete val="0"/>
        <c:axPos val="b"/>
        <c:numFmt formatCode="General" sourceLinked="1"/>
        <c:majorTickMark val="out"/>
        <c:minorTickMark val="none"/>
        <c:tickLblPos val="nextTo"/>
        <c:crossAx val="-2080691624"/>
        <c:crosses val="autoZero"/>
        <c:auto val="1"/>
        <c:lblAlgn val="ctr"/>
        <c:lblOffset val="100"/>
        <c:noMultiLvlLbl val="0"/>
      </c:catAx>
      <c:valAx>
        <c:axId val="-2080691624"/>
        <c:scaling>
          <c:orientation val="minMax"/>
        </c:scaling>
        <c:delete val="0"/>
        <c:axPos val="l"/>
        <c:majorGridlines/>
        <c:numFmt formatCode="_(* #,##0.0_);_(* \(#,##0.0\);_(* &quot;-&quot;??_);_(@_)" sourceLinked="1"/>
        <c:majorTickMark val="out"/>
        <c:minorTickMark val="none"/>
        <c:tickLblPos val="nextTo"/>
        <c:crossAx val="-2080686376"/>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POL!$B$72:$L$72</c:f>
              <c:numCache>
                <c:formatCode>_("$"* #,##0_);_("$"* \(#,##0\);_("$"* "-"??_);_(@_)</c:formatCode>
                <c:ptCount val="11"/>
              </c:numCache>
            </c:numRef>
          </c:val>
          <c:smooth val="0"/>
          <c:extLst>
            <c:ext xmlns:c16="http://schemas.microsoft.com/office/drawing/2014/chart" uri="{C3380CC4-5D6E-409C-BE32-E72D297353CC}">
              <c16:uniqueId val="{00000000-CFE4-4257-9337-BF54FD53DE8F}"/>
            </c:ext>
          </c:extLst>
        </c:ser>
        <c:ser>
          <c:idx val="1"/>
          <c:order val="1"/>
          <c:tx>
            <c:v>Tot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POL!$B$74:$L$74</c:f>
              <c:numCache>
                <c:formatCode>_("$"* #,##0_);_("$"* \(#,##0\);_("$"* "-"??_);_(@_)</c:formatCode>
                <c:ptCount val="11"/>
              </c:numCache>
            </c:numRef>
          </c:val>
          <c:smooth val="0"/>
          <c:extLst>
            <c:ext xmlns:c16="http://schemas.microsoft.com/office/drawing/2014/chart" uri="{C3380CC4-5D6E-409C-BE32-E72D297353CC}">
              <c16:uniqueId val="{00000001-CFE4-4257-9337-BF54FD53DE8F}"/>
            </c:ext>
          </c:extLst>
        </c:ser>
        <c:dLbls>
          <c:showLegendKey val="0"/>
          <c:showVal val="0"/>
          <c:showCatName val="0"/>
          <c:showSerName val="0"/>
          <c:showPercent val="0"/>
          <c:showBubbleSize val="0"/>
        </c:dLbls>
        <c:marker val="1"/>
        <c:smooth val="0"/>
        <c:axId val="-2080782968"/>
        <c:axId val="-2080789112"/>
      </c:lineChart>
      <c:catAx>
        <c:axId val="-2080782968"/>
        <c:scaling>
          <c:orientation val="minMax"/>
        </c:scaling>
        <c:delete val="0"/>
        <c:axPos val="b"/>
        <c:numFmt formatCode="General" sourceLinked="1"/>
        <c:majorTickMark val="out"/>
        <c:minorTickMark val="none"/>
        <c:tickLblPos val="nextTo"/>
        <c:crossAx val="-2080789112"/>
        <c:crosses val="autoZero"/>
        <c:auto val="1"/>
        <c:lblAlgn val="ctr"/>
        <c:lblOffset val="100"/>
        <c:noMultiLvlLbl val="0"/>
      </c:catAx>
      <c:valAx>
        <c:axId val="-2080789112"/>
        <c:scaling>
          <c:orientation val="minMax"/>
        </c:scaling>
        <c:delete val="0"/>
        <c:axPos val="l"/>
        <c:majorGridlines/>
        <c:numFmt formatCode="_(&quot;$&quot;* #,##0_);_(&quot;$&quot;* \(#,##0\);_(&quot;$&quot;* &quot;-&quot;??_);_(@_)" sourceLinked="1"/>
        <c:majorTickMark val="out"/>
        <c:minorTickMark val="none"/>
        <c:tickLblPos val="nextTo"/>
        <c:crossAx val="-208078296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POL!$A$40</c:f>
              <c:strCache>
                <c:ptCount val="1"/>
                <c:pt idx="0">
                  <c:v>FTE Total</c:v>
                </c:pt>
              </c:strCache>
            </c:strRef>
          </c:tx>
          <c:cat>
            <c:numRef>
              <c:f>POL!$B$5:$I$5</c:f>
              <c:numCache>
                <c:formatCode>General</c:formatCode>
                <c:ptCount val="8"/>
                <c:pt idx="0">
                  <c:v>2009</c:v>
                </c:pt>
                <c:pt idx="1">
                  <c:v>2010</c:v>
                </c:pt>
                <c:pt idx="2">
                  <c:v>2011</c:v>
                </c:pt>
                <c:pt idx="3">
                  <c:v>2012</c:v>
                </c:pt>
                <c:pt idx="4">
                  <c:v>2013</c:v>
                </c:pt>
                <c:pt idx="5">
                  <c:v>2014</c:v>
                </c:pt>
                <c:pt idx="6">
                  <c:v>2015</c:v>
                </c:pt>
                <c:pt idx="7">
                  <c:v>2016</c:v>
                </c:pt>
              </c:numCache>
            </c:numRef>
          </c:cat>
          <c:val>
            <c:numRef>
              <c:f>POL!$B$40:$H$40</c:f>
              <c:numCache>
                <c:formatCode>_(* #,##0.0_);_(* \(#,##0.0\);_(* "-"??_);_(@_)</c:formatCode>
                <c:ptCount val="7"/>
                <c:pt idx="0">
                  <c:v>136</c:v>
                </c:pt>
                <c:pt idx="1">
                  <c:v>134</c:v>
                </c:pt>
                <c:pt idx="2">
                  <c:v>134</c:v>
                </c:pt>
                <c:pt idx="3">
                  <c:v>133.75</c:v>
                </c:pt>
                <c:pt idx="4">
                  <c:v>134.5</c:v>
                </c:pt>
                <c:pt idx="5">
                  <c:v>140</c:v>
                </c:pt>
                <c:pt idx="6">
                  <c:v>146</c:v>
                </c:pt>
              </c:numCache>
            </c:numRef>
          </c:val>
          <c:smooth val="0"/>
          <c:extLst>
            <c:ext xmlns:c16="http://schemas.microsoft.com/office/drawing/2014/chart" uri="{C3380CC4-5D6E-409C-BE32-E72D297353CC}">
              <c16:uniqueId val="{00000000-C7BA-4D4E-9461-E3355E0C5F3A}"/>
            </c:ext>
          </c:extLst>
        </c:ser>
        <c:dLbls>
          <c:showLegendKey val="0"/>
          <c:showVal val="0"/>
          <c:showCatName val="0"/>
          <c:showSerName val="0"/>
          <c:showPercent val="0"/>
          <c:showBubbleSize val="0"/>
        </c:dLbls>
        <c:marker val="1"/>
        <c:smooth val="0"/>
        <c:axId val="-2140097208"/>
        <c:axId val="-2140098584"/>
      </c:lineChart>
      <c:catAx>
        <c:axId val="-2140097208"/>
        <c:scaling>
          <c:orientation val="minMax"/>
        </c:scaling>
        <c:delete val="0"/>
        <c:axPos val="b"/>
        <c:numFmt formatCode="General" sourceLinked="1"/>
        <c:majorTickMark val="out"/>
        <c:minorTickMark val="none"/>
        <c:tickLblPos val="nextTo"/>
        <c:crossAx val="-2140098584"/>
        <c:crosses val="autoZero"/>
        <c:auto val="1"/>
        <c:lblAlgn val="ctr"/>
        <c:lblOffset val="100"/>
        <c:noMultiLvlLbl val="0"/>
      </c:catAx>
      <c:valAx>
        <c:axId val="-2140098584"/>
        <c:scaling>
          <c:orientation val="minMax"/>
        </c:scaling>
        <c:delete val="0"/>
        <c:axPos val="l"/>
        <c:majorGridlines/>
        <c:numFmt formatCode="_(* #,##0.0_);_(* \(#,##0.0\);_(* &quot;-&quot;??_);_(@_)" sourceLinked="1"/>
        <c:majorTickMark val="out"/>
        <c:minorTickMark val="none"/>
        <c:tickLblPos val="nextTo"/>
        <c:crossAx val="-214009720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POL!$A$30</c:f>
              <c:strCache>
                <c:ptCount val="1"/>
                <c:pt idx="0">
                  <c:v>FTE Total</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POL!$B$30:$L$30</c:f>
              <c:numCache>
                <c:formatCode>_(* #,##0.0_);_(* \(#,##0.0\);_(* "-"??_);_(@_)</c:formatCode>
                <c:ptCount val="11"/>
                <c:pt idx="0">
                  <c:v>136</c:v>
                </c:pt>
                <c:pt idx="1">
                  <c:v>134</c:v>
                </c:pt>
                <c:pt idx="2">
                  <c:v>134</c:v>
                </c:pt>
                <c:pt idx="3">
                  <c:v>133.75</c:v>
                </c:pt>
                <c:pt idx="4">
                  <c:v>134.5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4C35-4D4F-9F46-72EB0DFC8796}"/>
            </c:ext>
          </c:extLst>
        </c:ser>
        <c:ser>
          <c:idx val="1"/>
          <c:order val="1"/>
          <c:tx>
            <c:v>Ops FTEs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1-4C35-4D4F-9F46-72EB0DFC8796}"/>
            </c:ext>
          </c:extLst>
        </c:ser>
        <c:dLbls>
          <c:showLegendKey val="0"/>
          <c:showVal val="0"/>
          <c:showCatName val="0"/>
          <c:showSerName val="0"/>
          <c:showPercent val="0"/>
          <c:showBubbleSize val="0"/>
        </c:dLbls>
        <c:marker val="1"/>
        <c:smooth val="0"/>
        <c:axId val="-2140132680"/>
        <c:axId val="-2140134120"/>
      </c:lineChart>
      <c:catAx>
        <c:axId val="-2140132680"/>
        <c:scaling>
          <c:orientation val="minMax"/>
        </c:scaling>
        <c:delete val="0"/>
        <c:axPos val="b"/>
        <c:numFmt formatCode="General" sourceLinked="1"/>
        <c:majorTickMark val="out"/>
        <c:minorTickMark val="none"/>
        <c:tickLblPos val="nextTo"/>
        <c:crossAx val="-2140134120"/>
        <c:crosses val="autoZero"/>
        <c:auto val="1"/>
        <c:lblAlgn val="ctr"/>
        <c:lblOffset val="100"/>
        <c:noMultiLvlLbl val="0"/>
      </c:catAx>
      <c:valAx>
        <c:axId val="-2140134120"/>
        <c:scaling>
          <c:orientation val="minMax"/>
        </c:scaling>
        <c:delete val="0"/>
        <c:axPos val="l"/>
        <c:majorGridlines/>
        <c:numFmt formatCode="_(* #,##0.0_);_(* \(#,##0.0\);_(* &quot;-&quot;??_);_(@_)" sourceLinked="1"/>
        <c:majorTickMark val="out"/>
        <c:minorTickMark val="none"/>
        <c:tickLblPos val="nextTo"/>
        <c:crossAx val="-2140132680"/>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POL!$B$72:$L$72</c:f>
              <c:numCache>
                <c:formatCode>_("$"* #,##0_);_("$"* \(#,##0\);_("$"* "-"??_);_(@_)</c:formatCode>
                <c:ptCount val="11"/>
              </c:numCache>
            </c:numRef>
          </c:val>
          <c:smooth val="0"/>
          <c:extLst>
            <c:ext xmlns:c16="http://schemas.microsoft.com/office/drawing/2014/chart" uri="{C3380CC4-5D6E-409C-BE32-E72D297353CC}">
              <c16:uniqueId val="{00000000-C74E-4346-84A1-59F50204D4EC}"/>
            </c:ext>
          </c:extLst>
        </c:ser>
        <c:ser>
          <c:idx val="1"/>
          <c:order val="1"/>
          <c:tx>
            <c:v>Tot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POL!$B$74:$L$74</c:f>
              <c:numCache>
                <c:formatCode>_("$"* #,##0_);_("$"* \(#,##0\);_("$"* "-"??_);_(@_)</c:formatCode>
                <c:ptCount val="11"/>
              </c:numCache>
            </c:numRef>
          </c:val>
          <c:smooth val="0"/>
          <c:extLst>
            <c:ext xmlns:c16="http://schemas.microsoft.com/office/drawing/2014/chart" uri="{C3380CC4-5D6E-409C-BE32-E72D297353CC}">
              <c16:uniqueId val="{00000001-C74E-4346-84A1-59F50204D4EC}"/>
            </c:ext>
          </c:extLst>
        </c:ser>
        <c:dLbls>
          <c:showLegendKey val="0"/>
          <c:showVal val="0"/>
          <c:showCatName val="0"/>
          <c:showSerName val="0"/>
          <c:showPercent val="0"/>
          <c:showBubbleSize val="0"/>
        </c:dLbls>
        <c:marker val="1"/>
        <c:smooth val="0"/>
        <c:axId val="-2081028024"/>
        <c:axId val="-2080458360"/>
      </c:lineChart>
      <c:catAx>
        <c:axId val="-2081028024"/>
        <c:scaling>
          <c:orientation val="minMax"/>
        </c:scaling>
        <c:delete val="0"/>
        <c:axPos val="b"/>
        <c:numFmt formatCode="General" sourceLinked="1"/>
        <c:majorTickMark val="out"/>
        <c:minorTickMark val="none"/>
        <c:tickLblPos val="nextTo"/>
        <c:crossAx val="-2080458360"/>
        <c:crosses val="autoZero"/>
        <c:auto val="1"/>
        <c:lblAlgn val="ctr"/>
        <c:lblOffset val="100"/>
        <c:noMultiLvlLbl val="0"/>
      </c:catAx>
      <c:valAx>
        <c:axId val="-2080458360"/>
        <c:scaling>
          <c:orientation val="minMax"/>
        </c:scaling>
        <c:delete val="0"/>
        <c:axPos val="l"/>
        <c:majorGridlines/>
        <c:numFmt formatCode="_(&quot;$&quot;* #,##0_);_(&quot;$&quot;* \(#,##0\);_(&quot;$&quot;* &quot;-&quot;??_);_(@_)" sourceLinked="1"/>
        <c:majorTickMark val="out"/>
        <c:minorTickMark val="none"/>
        <c:tickLblPos val="nextTo"/>
        <c:crossAx val="-2081028024"/>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Admin</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POL!$B$52:$L$52</c:f>
              <c:numCache>
                <c:formatCode>_(* #,##0.00_);_(* \(#,##0.00\);_(* "-"??_);_(@_)</c:formatCode>
                <c:ptCount val="11"/>
              </c:numCache>
            </c:numRef>
          </c:val>
          <c:smooth val="0"/>
          <c:extLst>
            <c:ext xmlns:c16="http://schemas.microsoft.com/office/drawing/2014/chart" uri="{C3380CC4-5D6E-409C-BE32-E72D297353CC}">
              <c16:uniqueId val="{00000000-A1A3-4DFE-BE65-0E5FEEAC676A}"/>
            </c:ext>
          </c:extLst>
        </c:ser>
        <c:ser>
          <c:idx val="1"/>
          <c:order val="1"/>
          <c:tx>
            <c:v>Info Svc</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POL!$B$53:$L$53</c:f>
              <c:numCache>
                <c:formatCode>_(* #,##0.00_);_(* \(#,##0.00\);_(* "-"??_);_(@_)</c:formatCode>
                <c:ptCount val="11"/>
              </c:numCache>
            </c:numRef>
          </c:val>
          <c:smooth val="0"/>
          <c:extLst>
            <c:ext xmlns:c16="http://schemas.microsoft.com/office/drawing/2014/chart" uri="{C3380CC4-5D6E-409C-BE32-E72D297353CC}">
              <c16:uniqueId val="{00000001-A1A3-4DFE-BE65-0E5FEEAC676A}"/>
            </c:ext>
          </c:extLst>
        </c:ser>
        <c:ser>
          <c:idx val="2"/>
          <c:order val="2"/>
          <c:tx>
            <c:v>Ops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2-A1A3-4DFE-BE65-0E5FEEAC676A}"/>
            </c:ext>
          </c:extLst>
        </c:ser>
        <c:ser>
          <c:idx val="3"/>
          <c:order val="3"/>
          <c:tx>
            <c:v>Sup Ser</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POL!$B$55:$L$55</c:f>
              <c:numCache>
                <c:formatCode>_(* #,##0.00_);_(* \(#,##0.00\);_(* "-"??_);_(@_)</c:formatCode>
                <c:ptCount val="11"/>
              </c:numCache>
            </c:numRef>
          </c:val>
          <c:smooth val="0"/>
          <c:extLst>
            <c:ext xmlns:c16="http://schemas.microsoft.com/office/drawing/2014/chart" uri="{C3380CC4-5D6E-409C-BE32-E72D297353CC}">
              <c16:uniqueId val="{00000003-A1A3-4DFE-BE65-0E5FEEAC676A}"/>
            </c:ext>
          </c:extLst>
        </c:ser>
        <c:dLbls>
          <c:showLegendKey val="0"/>
          <c:showVal val="0"/>
          <c:showCatName val="0"/>
          <c:showSerName val="0"/>
          <c:showPercent val="0"/>
          <c:showBubbleSize val="0"/>
        </c:dLbls>
        <c:marker val="1"/>
        <c:smooth val="0"/>
        <c:axId val="-2081315528"/>
        <c:axId val="-2080934040"/>
      </c:lineChart>
      <c:catAx>
        <c:axId val="-2081315528"/>
        <c:scaling>
          <c:orientation val="minMax"/>
        </c:scaling>
        <c:delete val="0"/>
        <c:axPos val="b"/>
        <c:numFmt formatCode="General" sourceLinked="1"/>
        <c:majorTickMark val="out"/>
        <c:minorTickMark val="none"/>
        <c:tickLblPos val="nextTo"/>
        <c:crossAx val="-2080934040"/>
        <c:crosses val="autoZero"/>
        <c:auto val="1"/>
        <c:lblAlgn val="ctr"/>
        <c:lblOffset val="100"/>
        <c:noMultiLvlLbl val="0"/>
      </c:catAx>
      <c:valAx>
        <c:axId val="-2080934040"/>
        <c:scaling>
          <c:orientation val="minMax"/>
        </c:scaling>
        <c:delete val="0"/>
        <c:axPos val="l"/>
        <c:majorGridlines/>
        <c:numFmt formatCode="_(* #,##0.00_);_(* \(#,##0.00\);_(* &quot;-&quot;??_);_(@_)" sourceLinked="1"/>
        <c:majorTickMark val="out"/>
        <c:minorTickMark val="none"/>
        <c:tickLblPos val="nextTo"/>
        <c:crossAx val="-208131552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POL!$A$40</c:f>
              <c:strCache>
                <c:ptCount val="1"/>
                <c:pt idx="0">
                  <c:v>FTE Total</c:v>
                </c:pt>
              </c:strCache>
            </c:strRef>
          </c:tx>
          <c:cat>
            <c:numRef>
              <c:f>POL!$B$5:$I$5</c:f>
              <c:numCache>
                <c:formatCode>General</c:formatCode>
                <c:ptCount val="8"/>
                <c:pt idx="0">
                  <c:v>2009</c:v>
                </c:pt>
                <c:pt idx="1">
                  <c:v>2010</c:v>
                </c:pt>
                <c:pt idx="2">
                  <c:v>2011</c:v>
                </c:pt>
                <c:pt idx="3">
                  <c:v>2012</c:v>
                </c:pt>
                <c:pt idx="4">
                  <c:v>2013</c:v>
                </c:pt>
                <c:pt idx="5">
                  <c:v>2014</c:v>
                </c:pt>
                <c:pt idx="6">
                  <c:v>2015</c:v>
                </c:pt>
                <c:pt idx="7">
                  <c:v>2016</c:v>
                </c:pt>
              </c:numCache>
            </c:numRef>
          </c:cat>
          <c:val>
            <c:numRef>
              <c:f>POL!$B$40:$H$40</c:f>
              <c:numCache>
                <c:formatCode>_(* #,##0.0_);_(* \(#,##0.0\);_(* "-"??_);_(@_)</c:formatCode>
                <c:ptCount val="7"/>
                <c:pt idx="0">
                  <c:v>136</c:v>
                </c:pt>
                <c:pt idx="1">
                  <c:v>134</c:v>
                </c:pt>
                <c:pt idx="2">
                  <c:v>134</c:v>
                </c:pt>
                <c:pt idx="3">
                  <c:v>133.75</c:v>
                </c:pt>
                <c:pt idx="4">
                  <c:v>134.5</c:v>
                </c:pt>
                <c:pt idx="5">
                  <c:v>140</c:v>
                </c:pt>
                <c:pt idx="6">
                  <c:v>146</c:v>
                </c:pt>
              </c:numCache>
            </c:numRef>
          </c:val>
          <c:smooth val="0"/>
          <c:extLst>
            <c:ext xmlns:c16="http://schemas.microsoft.com/office/drawing/2014/chart" uri="{C3380CC4-5D6E-409C-BE32-E72D297353CC}">
              <c16:uniqueId val="{00000000-87F3-471C-A8D7-51F8FB1C4AF4}"/>
            </c:ext>
          </c:extLst>
        </c:ser>
        <c:dLbls>
          <c:showLegendKey val="0"/>
          <c:showVal val="0"/>
          <c:showCatName val="0"/>
          <c:showSerName val="0"/>
          <c:showPercent val="0"/>
          <c:showBubbleSize val="0"/>
        </c:dLbls>
        <c:marker val="1"/>
        <c:smooth val="0"/>
        <c:axId val="-2140137352"/>
        <c:axId val="-2080464040"/>
      </c:lineChart>
      <c:catAx>
        <c:axId val="-2140137352"/>
        <c:scaling>
          <c:orientation val="minMax"/>
        </c:scaling>
        <c:delete val="0"/>
        <c:axPos val="b"/>
        <c:numFmt formatCode="General" sourceLinked="1"/>
        <c:majorTickMark val="out"/>
        <c:minorTickMark val="none"/>
        <c:tickLblPos val="nextTo"/>
        <c:crossAx val="-2080464040"/>
        <c:crosses val="autoZero"/>
        <c:auto val="1"/>
        <c:lblAlgn val="ctr"/>
        <c:lblOffset val="100"/>
        <c:noMultiLvlLbl val="0"/>
      </c:catAx>
      <c:valAx>
        <c:axId val="-2080464040"/>
        <c:scaling>
          <c:orientation val="minMax"/>
        </c:scaling>
        <c:delete val="0"/>
        <c:axPos val="l"/>
        <c:majorGridlines/>
        <c:numFmt formatCode="_(* #,##0.0_);_(* \(#,##0.0\);_(* &quot;-&quot;??_);_(@_)" sourceLinked="1"/>
        <c:majorTickMark val="out"/>
        <c:minorTickMark val="none"/>
        <c:tickLblPos val="nextTo"/>
        <c:crossAx val="-2140137352"/>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POL!$A$30</c:f>
              <c:strCache>
                <c:ptCount val="1"/>
                <c:pt idx="0">
                  <c:v>FTE Total</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POL!$B$30:$L$30</c:f>
              <c:numCache>
                <c:formatCode>_(* #,##0.0_);_(* \(#,##0.0\);_(* "-"??_);_(@_)</c:formatCode>
                <c:ptCount val="11"/>
                <c:pt idx="0">
                  <c:v>136</c:v>
                </c:pt>
                <c:pt idx="1">
                  <c:v>134</c:v>
                </c:pt>
                <c:pt idx="2">
                  <c:v>134</c:v>
                </c:pt>
                <c:pt idx="3">
                  <c:v>133.75</c:v>
                </c:pt>
                <c:pt idx="4">
                  <c:v>134.5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B0EF-4DA0-B563-4D5BAB01BBBA}"/>
            </c:ext>
          </c:extLst>
        </c:ser>
        <c:ser>
          <c:idx val="1"/>
          <c:order val="1"/>
          <c:tx>
            <c:v>Ops FTEs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1-B0EF-4DA0-B563-4D5BAB01BBBA}"/>
            </c:ext>
          </c:extLst>
        </c:ser>
        <c:dLbls>
          <c:showLegendKey val="0"/>
          <c:showVal val="0"/>
          <c:showCatName val="0"/>
          <c:showSerName val="0"/>
          <c:showPercent val="0"/>
          <c:showBubbleSize val="0"/>
        </c:dLbls>
        <c:marker val="1"/>
        <c:smooth val="0"/>
        <c:axId val="-2080686376"/>
        <c:axId val="-2080691624"/>
      </c:lineChart>
      <c:catAx>
        <c:axId val="-2080686376"/>
        <c:scaling>
          <c:orientation val="minMax"/>
        </c:scaling>
        <c:delete val="0"/>
        <c:axPos val="b"/>
        <c:numFmt formatCode="General" sourceLinked="1"/>
        <c:majorTickMark val="out"/>
        <c:minorTickMark val="none"/>
        <c:tickLblPos val="nextTo"/>
        <c:crossAx val="-2080691624"/>
        <c:crosses val="autoZero"/>
        <c:auto val="1"/>
        <c:lblAlgn val="ctr"/>
        <c:lblOffset val="100"/>
        <c:noMultiLvlLbl val="0"/>
      </c:catAx>
      <c:valAx>
        <c:axId val="-2080691624"/>
        <c:scaling>
          <c:orientation val="minMax"/>
        </c:scaling>
        <c:delete val="0"/>
        <c:axPos val="l"/>
        <c:majorGridlines/>
        <c:numFmt formatCode="_(* #,##0.0_);_(* \(#,##0.0\);_(* &quot;-&quot;??_);_(@_)" sourceLinked="1"/>
        <c:majorTickMark val="out"/>
        <c:minorTickMark val="none"/>
        <c:tickLblPos val="nextTo"/>
        <c:crossAx val="-2080686376"/>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POL!$B$72:$L$72</c:f>
              <c:numCache>
                <c:formatCode>_("$"* #,##0_);_("$"* \(#,##0\);_("$"* "-"??_);_(@_)</c:formatCode>
                <c:ptCount val="11"/>
              </c:numCache>
            </c:numRef>
          </c:val>
          <c:smooth val="0"/>
          <c:extLst>
            <c:ext xmlns:c16="http://schemas.microsoft.com/office/drawing/2014/chart" uri="{C3380CC4-5D6E-409C-BE32-E72D297353CC}">
              <c16:uniqueId val="{00000000-7CC6-4FDE-BF81-F31E7B9D9317}"/>
            </c:ext>
          </c:extLst>
        </c:ser>
        <c:ser>
          <c:idx val="1"/>
          <c:order val="1"/>
          <c:tx>
            <c:v>Tot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POL!$B$74:$L$74</c:f>
              <c:numCache>
                <c:formatCode>_("$"* #,##0_);_("$"* \(#,##0\);_("$"* "-"??_);_(@_)</c:formatCode>
                <c:ptCount val="11"/>
              </c:numCache>
            </c:numRef>
          </c:val>
          <c:smooth val="0"/>
          <c:extLst>
            <c:ext xmlns:c16="http://schemas.microsoft.com/office/drawing/2014/chart" uri="{C3380CC4-5D6E-409C-BE32-E72D297353CC}">
              <c16:uniqueId val="{00000001-7CC6-4FDE-BF81-F31E7B9D9317}"/>
            </c:ext>
          </c:extLst>
        </c:ser>
        <c:dLbls>
          <c:showLegendKey val="0"/>
          <c:showVal val="0"/>
          <c:showCatName val="0"/>
          <c:showSerName val="0"/>
          <c:showPercent val="0"/>
          <c:showBubbleSize val="0"/>
        </c:dLbls>
        <c:marker val="1"/>
        <c:smooth val="0"/>
        <c:axId val="-2080782968"/>
        <c:axId val="-2080789112"/>
      </c:lineChart>
      <c:catAx>
        <c:axId val="-2080782968"/>
        <c:scaling>
          <c:orientation val="minMax"/>
        </c:scaling>
        <c:delete val="0"/>
        <c:axPos val="b"/>
        <c:numFmt formatCode="General" sourceLinked="1"/>
        <c:majorTickMark val="out"/>
        <c:minorTickMark val="none"/>
        <c:tickLblPos val="nextTo"/>
        <c:crossAx val="-2080789112"/>
        <c:crosses val="autoZero"/>
        <c:auto val="1"/>
        <c:lblAlgn val="ctr"/>
        <c:lblOffset val="100"/>
        <c:noMultiLvlLbl val="0"/>
      </c:catAx>
      <c:valAx>
        <c:axId val="-2080789112"/>
        <c:scaling>
          <c:orientation val="minMax"/>
        </c:scaling>
        <c:delete val="0"/>
        <c:axPos val="l"/>
        <c:majorGridlines/>
        <c:numFmt formatCode="_(&quot;$&quot;* #,##0_);_(&quot;$&quot;* \(#,##0\);_(&quot;$&quot;* &quot;-&quot;??_);_(@_)" sourceLinked="1"/>
        <c:majorTickMark val="out"/>
        <c:minorTickMark val="none"/>
        <c:tickLblPos val="nextTo"/>
        <c:crossAx val="-208078296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POL!$B$72:$L$72</c:f>
              <c:numCache>
                <c:formatCode>_("$"* #,##0_);_("$"* \(#,##0\);_("$"* "-"??_);_(@_)</c:formatCode>
                <c:ptCount val="11"/>
              </c:numCache>
            </c:numRef>
          </c:val>
          <c:smooth val="0"/>
          <c:extLst>
            <c:ext xmlns:c16="http://schemas.microsoft.com/office/drawing/2014/chart" uri="{C3380CC4-5D6E-409C-BE32-E72D297353CC}">
              <c16:uniqueId val="{00000000-FAB1-44F8-AF3A-1DBF785715F4}"/>
            </c:ext>
          </c:extLst>
        </c:ser>
        <c:ser>
          <c:idx val="1"/>
          <c:order val="1"/>
          <c:tx>
            <c:v>Tot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POL!$B$74:$L$74</c:f>
              <c:numCache>
                <c:formatCode>_("$"* #,##0_);_("$"* \(#,##0\);_("$"* "-"??_);_(@_)</c:formatCode>
                <c:ptCount val="11"/>
              </c:numCache>
            </c:numRef>
          </c:val>
          <c:smooth val="0"/>
          <c:extLst>
            <c:ext xmlns:c16="http://schemas.microsoft.com/office/drawing/2014/chart" uri="{C3380CC4-5D6E-409C-BE32-E72D297353CC}">
              <c16:uniqueId val="{00000001-FAB1-44F8-AF3A-1DBF785715F4}"/>
            </c:ext>
          </c:extLst>
        </c:ser>
        <c:dLbls>
          <c:showLegendKey val="0"/>
          <c:showVal val="0"/>
          <c:showCatName val="0"/>
          <c:showSerName val="0"/>
          <c:showPercent val="0"/>
          <c:showBubbleSize val="0"/>
        </c:dLbls>
        <c:marker val="1"/>
        <c:smooth val="0"/>
        <c:axId val="2036955800"/>
        <c:axId val="-2117248632"/>
      </c:lineChart>
      <c:catAx>
        <c:axId val="2036955800"/>
        <c:scaling>
          <c:orientation val="minMax"/>
        </c:scaling>
        <c:delete val="0"/>
        <c:axPos val="b"/>
        <c:numFmt formatCode="General" sourceLinked="1"/>
        <c:majorTickMark val="out"/>
        <c:minorTickMark val="none"/>
        <c:tickLblPos val="nextTo"/>
        <c:crossAx val="-2117248632"/>
        <c:crosses val="autoZero"/>
        <c:auto val="1"/>
        <c:lblAlgn val="ctr"/>
        <c:lblOffset val="100"/>
        <c:noMultiLvlLbl val="0"/>
      </c:catAx>
      <c:valAx>
        <c:axId val="-2117248632"/>
        <c:scaling>
          <c:orientation val="minMax"/>
        </c:scaling>
        <c:delete val="0"/>
        <c:axPos val="l"/>
        <c:majorGridlines/>
        <c:numFmt formatCode="_(&quot;$&quot;* #,##0_);_(&quot;$&quot;* \(#,##0\);_(&quot;$&quot;* &quot;-&quot;??_);_(@_)" sourceLinked="1"/>
        <c:majorTickMark val="out"/>
        <c:minorTickMark val="none"/>
        <c:tickLblPos val="nextTo"/>
        <c:crossAx val="2036955800"/>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Legislative Revenue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60993691351443"/>
          <c:y val="0.14089268755935425"/>
          <c:w val="0.86284806598365105"/>
          <c:h val="0.68408970246240586"/>
        </c:manualLayout>
      </c:layout>
      <c:lineChart>
        <c:grouping val="standard"/>
        <c:varyColors val="0"/>
        <c:ser>
          <c:idx val="1"/>
          <c:order val="0"/>
          <c:tx>
            <c:strRef>
              <c:f>Legis!$A$6</c:f>
              <c:strCache>
                <c:ptCount val="1"/>
                <c:pt idx="0">
                  <c:v>General Fund</c:v>
                </c:pt>
              </c:strCache>
              <c:extLst xmlns:c15="http://schemas.microsoft.com/office/drawing/2012/chart"/>
            </c:strRef>
          </c:tx>
          <c:spPr>
            <a:ln w="28575" cap="rnd">
              <a:solidFill>
                <a:srgbClr val="FF0000"/>
              </a:solidFill>
              <a:round/>
            </a:ln>
            <a:effectLst/>
          </c:spPr>
          <c:marker>
            <c:symbol val="none"/>
          </c:marker>
          <c:cat>
            <c:numRef>
              <c:f>Legis!$B$5:$L$5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Legis!$B$6:$L$6</c:f>
              <c:numCache>
                <c:formatCode>_("$"* #,##0_);_("$"* \(#,##0\);_("$"* "-"??_);_(@_)</c:formatCode>
                <c:ptCount val="11"/>
                <c:pt idx="0">
                  <c:v>92527</c:v>
                </c:pt>
                <c:pt idx="1">
                  <c:v>106423</c:v>
                </c:pt>
                <c:pt idx="2">
                  <c:v>101076</c:v>
                </c:pt>
                <c:pt idx="3">
                  <c:v>97102</c:v>
                </c:pt>
                <c:pt idx="4">
                  <c:v>118263</c:v>
                </c:pt>
                <c:pt idx="5">
                  <c:v>162625</c:v>
                </c:pt>
                <c:pt idx="6">
                  <c:v>157812</c:v>
                </c:pt>
                <c:pt idx="7">
                  <c:v>151146</c:v>
                </c:pt>
                <c:pt idx="8">
                  <c:v>159913</c:v>
                </c:pt>
                <c:pt idx="9">
                  <c:v>168523</c:v>
                </c:pt>
                <c:pt idx="10">
                  <c:v>139383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1741-4CAD-8074-19A8C22727F6}"/>
            </c:ext>
          </c:extLst>
        </c:ser>
        <c:dLbls>
          <c:showLegendKey val="0"/>
          <c:showVal val="0"/>
          <c:showCatName val="0"/>
          <c:showSerName val="0"/>
          <c:showPercent val="0"/>
          <c:showBubbleSize val="0"/>
        </c:dLbls>
        <c:smooth val="0"/>
        <c:axId val="508739984"/>
        <c:axId val="508749496"/>
        <c:extLst>
          <c:ext xmlns:c15="http://schemas.microsoft.com/office/drawing/2012/chart" uri="{02D57815-91ED-43cb-92C2-25804820EDAC}">
            <c15:filteredLineSeries>
              <c15:ser>
                <c:idx val="2"/>
                <c:order val="1"/>
                <c:tx>
                  <c:strRef>
                    <c:extLst>
                      <c:ext uri="{02D57815-91ED-43cb-92C2-25804820EDAC}">
                        <c15:formulaRef>
                          <c15:sqref>Legis!$A$7</c15:sqref>
                        </c15:formulaRef>
                      </c:ext>
                    </c:extLst>
                    <c:strCache>
                      <c:ptCount val="1"/>
                      <c:pt idx="0">
                        <c:v>Internal Service Funds</c:v>
                      </c:pt>
                    </c:strCache>
                  </c:strRef>
                </c:tx>
                <c:spPr>
                  <a:ln w="28575" cap="rnd">
                    <a:solidFill>
                      <a:schemeClr val="accent3"/>
                    </a:solidFill>
                    <a:round/>
                  </a:ln>
                  <a:effectLst/>
                </c:spPr>
                <c:marker>
                  <c:symbol val="none"/>
                </c:marker>
                <c:cat>
                  <c:numRef>
                    <c:extLst>
                      <c:ext uri="{02D57815-91ED-43cb-92C2-25804820EDAC}">
                        <c15:formulaRef>
                          <c15:sqref>Legis!$B$5:$L$5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Legis!$B$7:$L$7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1741-4CAD-8074-19A8C22727F6}"/>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Legis!$A$8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Legis!$B$5:$L$5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Legis!$B$8:$L$8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1741-4CAD-8074-19A8C22727F6}"/>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Legis!$A$9</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Legis!$B$5:$L$5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Legis!$B$9:$L$9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1741-4CAD-8074-19A8C22727F6}"/>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Legis!$A$10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Legis!$B$5:$L$5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Legis!$B$10:$L$10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1741-4CAD-8074-19A8C22727F6}"/>
                  </c:ext>
                </c:extLst>
              </c15:ser>
            </c15:filteredLineSeries>
            <c15:filteredLineSeries>
              <c15:ser>
                <c:idx val="6"/>
                <c:order val="5"/>
                <c:tx>
                  <c:strRef>
                    <c:extLst xmlns:c15="http://schemas.microsoft.com/office/drawing/2012/chart">
                      <c:ext xmlns:c15="http://schemas.microsoft.com/office/drawing/2012/chart" uri="{02D57815-91ED-43cb-92C2-25804820EDAC}">
                        <c15:formulaRef>
                          <c15:sqref>Legis!$A$11</c15:sqref>
                        </c15:formulaRef>
                      </c:ext>
                    </c:extLst>
                    <c:strCache>
                      <c:ptCount val="1"/>
                      <c:pt idx="0">
                        <c:v>Total City Budget Revenues</c:v>
                      </c:pt>
                    </c:strCache>
                  </c:strRef>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Legis!$B$5:$L$5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Legis!$B$11:$L$11</c15:sqref>
                        </c15:formulaRef>
                      </c:ext>
                    </c:extLst>
                    <c:numCache>
                      <c:formatCode>_("$"* #,##0_);_("$"* \(#,##0\);_("$"* "-"??_);_(@_)</c:formatCode>
                      <c:ptCount val="11"/>
                      <c:pt idx="0">
                        <c:v>92527</c:v>
                      </c:pt>
                      <c:pt idx="1">
                        <c:v>106423</c:v>
                      </c:pt>
                      <c:pt idx="2">
                        <c:v>101076</c:v>
                      </c:pt>
                      <c:pt idx="3">
                        <c:v>97102</c:v>
                      </c:pt>
                      <c:pt idx="4">
                        <c:v>118263</c:v>
                      </c:pt>
                      <c:pt idx="5">
                        <c:v>162625</c:v>
                      </c:pt>
                      <c:pt idx="6">
                        <c:v>157812</c:v>
                      </c:pt>
                      <c:pt idx="7">
                        <c:v>151146</c:v>
                      </c:pt>
                      <c:pt idx="8">
                        <c:v>159913</c:v>
                      </c:pt>
                      <c:pt idx="9">
                        <c:v>168523</c:v>
                      </c:pt>
                      <c:pt idx="10">
                        <c:v>139383</c:v>
                      </c:pt>
                    </c:numCache>
                  </c:numRef>
                </c:val>
                <c:smooth val="0"/>
                <c:extLst xmlns:c15="http://schemas.microsoft.com/office/drawing/2012/chart">
                  <c:ext xmlns:c16="http://schemas.microsoft.com/office/drawing/2014/chart" uri="{C3380CC4-5D6E-409C-BE32-E72D297353CC}">
                    <c16:uniqueId val="{00000000-1741-4CAD-8074-19A8C22727F6}"/>
                  </c:ext>
                </c:extLst>
              </c15:ser>
            </c15:filteredLineSeries>
          </c:ext>
        </c:extLst>
      </c:lineChart>
      <c:catAx>
        <c:axId val="508739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749496"/>
        <c:crosses val="autoZero"/>
        <c:auto val="1"/>
        <c:lblAlgn val="ctr"/>
        <c:lblOffset val="100"/>
        <c:noMultiLvlLbl val="0"/>
      </c:catAx>
      <c:valAx>
        <c:axId val="5087494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7399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Legislative Expenditures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Legis!$A$15</c:f>
              <c:strCache>
                <c:ptCount val="1"/>
                <c:pt idx="0">
                  <c:v>General Fund</c:v>
                </c:pt>
              </c:strCache>
            </c:strRef>
          </c:tx>
          <c:spPr>
            <a:ln w="28575" cap="rnd">
              <a:solidFill>
                <a:srgbClr val="FF0000"/>
              </a:solidFill>
              <a:round/>
            </a:ln>
            <a:effectLst/>
          </c:spPr>
          <c:marker>
            <c:symbol val="none"/>
          </c:marker>
          <c:cat>
            <c:numRef>
              <c:f>Legis!$B$14:$L$14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Legis!$B$15:$L$15</c:f>
              <c:numCache>
                <c:formatCode>_("$"* #,##0_);_("$"* \(#,##0\);_("$"* "-"??_);_(@_)</c:formatCode>
                <c:ptCount val="11"/>
                <c:pt idx="0">
                  <c:v>92527</c:v>
                </c:pt>
                <c:pt idx="1">
                  <c:v>106423</c:v>
                </c:pt>
                <c:pt idx="2">
                  <c:v>101076</c:v>
                </c:pt>
                <c:pt idx="3">
                  <c:v>97102</c:v>
                </c:pt>
                <c:pt idx="4">
                  <c:v>118263</c:v>
                </c:pt>
                <c:pt idx="5">
                  <c:v>162625</c:v>
                </c:pt>
                <c:pt idx="6">
                  <c:v>157812</c:v>
                </c:pt>
                <c:pt idx="7">
                  <c:v>151146</c:v>
                </c:pt>
                <c:pt idx="8">
                  <c:v>159913</c:v>
                </c:pt>
                <c:pt idx="9">
                  <c:v>168523</c:v>
                </c:pt>
                <c:pt idx="10">
                  <c:v>139383</c:v>
                </c:pt>
              </c:numCache>
            </c:numRef>
          </c:val>
          <c:smooth val="0"/>
          <c:extLst>
            <c:ext xmlns:c16="http://schemas.microsoft.com/office/drawing/2014/chart" uri="{C3380CC4-5D6E-409C-BE32-E72D297353CC}">
              <c16:uniqueId val="{00000000-A32B-48CC-B42A-9DE3C6B42C7C}"/>
            </c:ext>
          </c:extLst>
        </c:ser>
        <c:dLbls>
          <c:showLegendKey val="0"/>
          <c:showVal val="0"/>
          <c:showCatName val="0"/>
          <c:showSerName val="0"/>
          <c:showPercent val="0"/>
          <c:showBubbleSize val="0"/>
        </c:dLbls>
        <c:smooth val="0"/>
        <c:axId val="550948848"/>
        <c:axId val="550946552"/>
      </c:lineChart>
      <c:catAx>
        <c:axId val="55094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0946552"/>
        <c:crosses val="autoZero"/>
        <c:auto val="1"/>
        <c:lblAlgn val="ctr"/>
        <c:lblOffset val="100"/>
        <c:noMultiLvlLbl val="0"/>
      </c:catAx>
      <c:valAx>
        <c:axId val="5509465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0948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Legis!$A$31</c:f>
              <c:strCache>
                <c:ptCount val="1"/>
                <c:pt idx="0">
                  <c:v>Expenditures per Capita</c:v>
                </c:pt>
              </c:strCache>
            </c:strRef>
          </c:tx>
          <c:spPr>
            <a:ln w="28575" cap="rnd">
              <a:solidFill>
                <a:srgbClr val="FF0000"/>
              </a:solidFill>
              <a:round/>
            </a:ln>
            <a:effectLst/>
          </c:spPr>
          <c:marker>
            <c:symbol val="none"/>
          </c:marker>
          <c:cat>
            <c:numRef>
              <c:f>Legis!$B$31:$L$31</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Legis!$B$32:$L$32</c:f>
              <c:numCache>
                <c:formatCode>_("$"* #,##0.00_);_("$"* \(#,##0.00\);_("$"* "-"??_);_(@_)</c:formatCode>
                <c:ptCount val="11"/>
                <c:pt idx="0">
                  <c:v>1.4649156138184352</c:v>
                </c:pt>
                <c:pt idx="1">
                  <c:v>1.5710046942812435</c:v>
                </c:pt>
                <c:pt idx="2">
                  <c:v>1.4699611698491877</c:v>
                </c:pt>
                <c:pt idx="3">
                  <c:v>1.4003547684631026</c:v>
                </c:pt>
                <c:pt idx="4">
                  <c:v>1.6805883188858888</c:v>
                </c:pt>
                <c:pt idx="5">
                  <c:v>2.2896222563250594</c:v>
                </c:pt>
                <c:pt idx="6">
                  <c:v>2.1494415690547535</c:v>
                </c:pt>
                <c:pt idx="7">
                  <c:v>2.0319419237749545</c:v>
                </c:pt>
                <c:pt idx="8">
                  <c:v>2.1085574894514769</c:v>
                </c:pt>
                <c:pt idx="9">
                  <c:v>2.1811886826641818</c:v>
                </c:pt>
                <c:pt idx="10">
                  <c:v>1.76478855406432</c:v>
                </c:pt>
              </c:numCache>
            </c:numRef>
          </c:val>
          <c:smooth val="0"/>
          <c:extLst>
            <c:ext xmlns:c16="http://schemas.microsoft.com/office/drawing/2014/chart" uri="{C3380CC4-5D6E-409C-BE32-E72D297353CC}">
              <c16:uniqueId val="{00000000-2387-4E8E-B1D5-543E80B452F0}"/>
            </c:ext>
          </c:extLst>
        </c:ser>
        <c:dLbls>
          <c:showLegendKey val="0"/>
          <c:showVal val="0"/>
          <c:showCatName val="0"/>
          <c:showSerName val="0"/>
          <c:showPercent val="0"/>
          <c:showBubbleSize val="0"/>
        </c:dLbls>
        <c:smooth val="0"/>
        <c:axId val="597725272"/>
        <c:axId val="597723632"/>
      </c:lineChart>
      <c:catAx>
        <c:axId val="59772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723632"/>
        <c:crosses val="autoZero"/>
        <c:auto val="1"/>
        <c:lblAlgn val="ctr"/>
        <c:lblOffset val="100"/>
        <c:noMultiLvlLbl val="0"/>
      </c:catAx>
      <c:valAx>
        <c:axId val="59772363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725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Executive &amp; Legal Revenue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'Exec-Legal'!$A$6</c:f>
              <c:strCache>
                <c:ptCount val="1"/>
                <c:pt idx="0">
                  <c:v>General Fund</c:v>
                </c:pt>
              </c:strCache>
              <c:extLst xmlns:c15="http://schemas.microsoft.com/office/drawing/2012/chart"/>
            </c:strRef>
          </c:tx>
          <c:spPr>
            <a:ln w="28575" cap="rnd">
              <a:solidFill>
                <a:srgbClr val="FF0000"/>
              </a:solidFill>
              <a:round/>
            </a:ln>
            <a:effectLst/>
          </c:spPr>
          <c:marker>
            <c:symbol val="none"/>
          </c:marker>
          <c:cat>
            <c:numRef>
              <c:f>'Exec-Legal'!$B$5:$L$5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'Exec-Legal'!$B$6:$L$6</c:f>
              <c:numCache>
                <c:formatCode>_("$"* #,##0_);_("$"* \(#,##0\);_("$"* "-"??_);_(@_)</c:formatCode>
                <c:ptCount val="11"/>
                <c:pt idx="0">
                  <c:v>1021383</c:v>
                </c:pt>
                <c:pt idx="1">
                  <c:v>1804015</c:v>
                </c:pt>
                <c:pt idx="2">
                  <c:v>2262316</c:v>
                </c:pt>
                <c:pt idx="3">
                  <c:v>1810112</c:v>
                </c:pt>
                <c:pt idx="4">
                  <c:v>1957336</c:v>
                </c:pt>
                <c:pt idx="5">
                  <c:v>2246175</c:v>
                </c:pt>
                <c:pt idx="6">
                  <c:v>3292660</c:v>
                </c:pt>
                <c:pt idx="7">
                  <c:v>3293352</c:v>
                </c:pt>
                <c:pt idx="8">
                  <c:v>2433674</c:v>
                </c:pt>
                <c:pt idx="9">
                  <c:v>2696998</c:v>
                </c:pt>
                <c:pt idx="10">
                  <c:v>842497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6DF7-4C7E-BC2D-F6010B031E00}"/>
            </c:ext>
          </c:extLst>
        </c:ser>
        <c:ser>
          <c:idx val="4"/>
          <c:order val="4"/>
          <c:tx>
            <c:strRef>
              <c:f>'Exec-Legal'!$A$9</c:f>
              <c:strCache>
                <c:ptCount val="1"/>
                <c:pt idx="0">
                  <c:v>Special Revenue Funds - Trf fm DevSvc</c:v>
                </c:pt>
              </c:strCache>
              <c:extLst xmlns:c15="http://schemas.microsoft.com/office/drawing/2012/chart"/>
            </c:strRef>
          </c:tx>
          <c:spPr>
            <a:ln w="28575" cap="rnd">
              <a:solidFill>
                <a:schemeClr val="accent5"/>
              </a:solidFill>
              <a:round/>
            </a:ln>
            <a:effectLst/>
          </c:spPr>
          <c:marker>
            <c:symbol val="none"/>
          </c:marker>
          <c:cat>
            <c:numRef>
              <c:f>'Exec-Legal'!$B$5:$L$5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'Exec-Legal'!$B$9:$L$9</c:f>
              <c:numCache>
                <c:formatCode>_("$"* #,##0_);_("$"* \(#,##0\);_("$"* "-"??_);_(@_)</c:formatCode>
                <c:ptCount val="11"/>
                <c:pt idx="0">
                  <c:v>458374</c:v>
                </c:pt>
                <c:pt idx="1">
                  <c:v>224222</c:v>
                </c:pt>
                <c:pt idx="2">
                  <c:v>391874</c:v>
                </c:pt>
                <c:pt idx="3">
                  <c:v>240077</c:v>
                </c:pt>
                <c:pt idx="4">
                  <c:v>293278</c:v>
                </c:pt>
                <c:pt idx="5">
                  <c:v>458233</c:v>
                </c:pt>
                <c:pt idx="6">
                  <c:v>288081</c:v>
                </c:pt>
                <c:pt idx="7">
                  <c:v>372615</c:v>
                </c:pt>
                <c:pt idx="8">
                  <c:v>758318</c:v>
                </c:pt>
                <c:pt idx="9">
                  <c:v>1379318</c:v>
                </c:pt>
                <c:pt idx="10">
                  <c:v>901785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6DF7-4C7E-BC2D-F6010B031E00}"/>
            </c:ext>
          </c:extLst>
        </c:ser>
        <c:ser>
          <c:idx val="6"/>
          <c:order val="5"/>
          <c:tx>
            <c:strRef>
              <c:f>'Exec-Legal'!$A$11</c:f>
              <c:strCache>
                <c:ptCount val="1"/>
                <c:pt idx="0">
                  <c:v>Total City Budget Revenues</c:v>
                </c:pt>
              </c:strCache>
            </c:strRef>
          </c:tx>
          <c:spPr>
            <a:ln w="28575" cap="rnd">
              <a:solidFill>
                <a:schemeClr val="accent1">
                  <a:lumMod val="60000"/>
                </a:schemeClr>
              </a:solidFill>
              <a:round/>
            </a:ln>
            <a:effectLst/>
          </c:spPr>
          <c:marker>
            <c:symbol val="none"/>
          </c:marker>
          <c:cat>
            <c:numRef>
              <c:f>'Exec-Legal'!$B$5:$L$5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'Exec-Legal'!$B$11:$L$11</c:f>
              <c:numCache>
                <c:formatCode>_("$"* #,##0_);_("$"* \(#,##0\);_("$"* "-"??_);_(@_)</c:formatCode>
                <c:ptCount val="11"/>
                <c:pt idx="0">
                  <c:v>1479757</c:v>
                </c:pt>
                <c:pt idx="1">
                  <c:v>2028237</c:v>
                </c:pt>
                <c:pt idx="2">
                  <c:v>2654190</c:v>
                </c:pt>
                <c:pt idx="3">
                  <c:v>2050189</c:v>
                </c:pt>
                <c:pt idx="4">
                  <c:v>2250614</c:v>
                </c:pt>
                <c:pt idx="5">
                  <c:v>2704408</c:v>
                </c:pt>
                <c:pt idx="6">
                  <c:v>3580741</c:v>
                </c:pt>
                <c:pt idx="7">
                  <c:v>3665967</c:v>
                </c:pt>
                <c:pt idx="8">
                  <c:v>3191992</c:v>
                </c:pt>
                <c:pt idx="9">
                  <c:v>4076316</c:v>
                </c:pt>
                <c:pt idx="10">
                  <c:v>1744282</c:v>
                </c:pt>
              </c:numCache>
            </c:numRef>
          </c:val>
          <c:smooth val="0"/>
          <c:extLst>
            <c:ext xmlns:c16="http://schemas.microsoft.com/office/drawing/2014/chart" uri="{C3380CC4-5D6E-409C-BE32-E72D297353CC}">
              <c16:uniqueId val="{00000000-6DF7-4C7E-BC2D-F6010B031E00}"/>
            </c:ext>
          </c:extLst>
        </c:ser>
        <c:dLbls>
          <c:showLegendKey val="0"/>
          <c:showVal val="0"/>
          <c:showCatName val="0"/>
          <c:showSerName val="0"/>
          <c:showPercent val="0"/>
          <c:showBubbleSize val="0"/>
        </c:dLbls>
        <c:smooth val="0"/>
        <c:axId val="607682672"/>
        <c:axId val="607680704"/>
        <c:extLst>
          <c:ext xmlns:c15="http://schemas.microsoft.com/office/drawing/2012/chart" uri="{02D57815-91ED-43cb-92C2-25804820EDAC}">
            <c15:filteredLineSeries>
              <c15:ser>
                <c:idx val="0"/>
                <c:order val="0"/>
                <c:tx>
                  <c:strRef>
                    <c:extLst>
                      <c:ext uri="{02D57815-91ED-43cb-92C2-25804820EDAC}">
                        <c15:formulaRef>
                          <c15:sqref>'Exec-Legal'!$A$5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'Exec-Legal'!$B$5:$L$5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'Exec-Legal'!$B$5:$L$5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1-6DF7-4C7E-BC2D-F6010B031E0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'Exec-Legal'!$A$7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'Exec-Legal'!$B$5:$L$5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'Exec-Legal'!$B$7:$L$7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6DF7-4C7E-BC2D-F6010B031E0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'Exec-Legal'!$A$8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'Exec-Legal'!$B$5:$L$5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'Exec-Legal'!$B$8:$L$8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6DF7-4C7E-BC2D-F6010B031E00}"/>
                  </c:ext>
                </c:extLst>
              </c15:ser>
            </c15:filteredLineSeries>
          </c:ext>
        </c:extLst>
      </c:lineChart>
      <c:catAx>
        <c:axId val="60768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0704"/>
        <c:crosses val="autoZero"/>
        <c:auto val="1"/>
        <c:lblAlgn val="ctr"/>
        <c:lblOffset val="100"/>
        <c:noMultiLvlLbl val="0"/>
      </c:catAx>
      <c:valAx>
        <c:axId val="6076807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2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Executive</a:t>
            </a:r>
            <a:r>
              <a:rPr lang="en-US" baseline="0"/>
              <a:t> and Legal Expenses</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'Exec-Legal'!$A$16</c:f>
              <c:strCache>
                <c:ptCount val="1"/>
                <c:pt idx="0">
                  <c:v>General Fund</c:v>
                </c:pt>
              </c:strCache>
            </c:strRef>
          </c:tx>
          <c:spPr>
            <a:ln w="28575" cap="rnd">
              <a:solidFill>
                <a:srgbClr val="FF0000"/>
              </a:solidFill>
              <a:round/>
            </a:ln>
            <a:effectLst/>
          </c:spPr>
          <c:marker>
            <c:symbol val="none"/>
          </c:marker>
          <c:cat>
            <c:numRef>
              <c:f>'Exec-Legal'!$B$15:$L$15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'Exec-Legal'!$B$16:$L$16</c:f>
              <c:numCache>
                <c:formatCode>_("$"* #,##0_);_("$"* \(#,##0\);_("$"* "-"??_);_(@_)</c:formatCode>
                <c:ptCount val="11"/>
                <c:pt idx="0">
                  <c:v>2657798</c:v>
                </c:pt>
                <c:pt idx="1">
                  <c:v>2441449</c:v>
                </c:pt>
                <c:pt idx="2">
                  <c:v>2410390</c:v>
                </c:pt>
                <c:pt idx="3">
                  <c:v>2301591</c:v>
                </c:pt>
                <c:pt idx="4">
                  <c:v>2506070</c:v>
                </c:pt>
                <c:pt idx="5">
                  <c:v>2910948</c:v>
                </c:pt>
                <c:pt idx="6">
                  <c:v>3292660</c:v>
                </c:pt>
                <c:pt idx="7">
                  <c:v>3293352</c:v>
                </c:pt>
                <c:pt idx="8">
                  <c:v>4565818</c:v>
                </c:pt>
                <c:pt idx="9">
                  <c:v>5185874</c:v>
                </c:pt>
                <c:pt idx="10">
                  <c:v>3976867</c:v>
                </c:pt>
              </c:numCache>
            </c:numRef>
          </c:val>
          <c:smooth val="0"/>
          <c:extLst>
            <c:ext xmlns:c16="http://schemas.microsoft.com/office/drawing/2014/chart" uri="{C3380CC4-5D6E-409C-BE32-E72D297353CC}">
              <c16:uniqueId val="{00000000-DEE6-4F0B-A284-3F55087C153F}"/>
            </c:ext>
          </c:extLst>
        </c:ser>
        <c:ser>
          <c:idx val="3"/>
          <c:order val="3"/>
          <c:tx>
            <c:strRef>
              <c:f>'Exec-Legal'!$A$19</c:f>
              <c:strCache>
                <c:ptCount val="1"/>
                <c:pt idx="0">
                  <c:v>Special Revenue Funds</c:v>
                </c:pt>
              </c:strCache>
              <c:extLst xmlns:c15="http://schemas.microsoft.com/office/drawing/2012/chart"/>
            </c:strRef>
          </c:tx>
          <c:spPr>
            <a:ln w="28575" cap="rnd">
              <a:solidFill>
                <a:schemeClr val="accent5"/>
              </a:solidFill>
              <a:round/>
            </a:ln>
            <a:effectLst/>
          </c:spPr>
          <c:marker>
            <c:symbol val="none"/>
          </c:marker>
          <c:cat>
            <c:numRef>
              <c:f>'Exec-Legal'!$B$15:$L$15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extLst xmlns:c15="http://schemas.microsoft.com/office/drawing/2012/chart"/>
            </c:numRef>
          </c:cat>
          <c:val>
            <c:numRef>
              <c:f>'Exec-Legal'!$B$19:$L$19</c:f>
              <c:numCache>
                <c:formatCode>_("$"* #,##0_);_("$"* \(#,##0\);_("$"* "-"??_);_(@_)</c:formatCode>
                <c:ptCount val="11"/>
                <c:pt idx="0">
                  <c:v>458374</c:v>
                </c:pt>
                <c:pt idx="1">
                  <c:v>224222</c:v>
                </c:pt>
                <c:pt idx="2">
                  <c:v>391874</c:v>
                </c:pt>
                <c:pt idx="3">
                  <c:v>240077</c:v>
                </c:pt>
                <c:pt idx="4">
                  <c:v>293278</c:v>
                </c:pt>
                <c:pt idx="5">
                  <c:v>458233</c:v>
                </c:pt>
                <c:pt idx="6">
                  <c:v>576160</c:v>
                </c:pt>
                <c:pt idx="7">
                  <c:v>356494</c:v>
                </c:pt>
                <c:pt idx="8">
                  <c:v>393939</c:v>
                </c:pt>
                <c:pt idx="9">
                  <c:v>1762003</c:v>
                </c:pt>
                <c:pt idx="10">
                  <c:v>883133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DEE6-4F0B-A284-3F55087C153F}"/>
            </c:ext>
          </c:extLst>
        </c:ser>
        <c:ser>
          <c:idx val="5"/>
          <c:order val="5"/>
          <c:tx>
            <c:strRef>
              <c:f>'Exec-Legal'!$A$21</c:f>
              <c:strCache>
                <c:ptCount val="1"/>
                <c:pt idx="0">
                  <c:v>Total City Budget Expenses</c:v>
                </c:pt>
              </c:strCache>
            </c:strRef>
          </c:tx>
          <c:spPr>
            <a:ln w="28575" cap="rnd">
              <a:solidFill>
                <a:sysClr val="windowText" lastClr="000000"/>
              </a:solidFill>
              <a:round/>
            </a:ln>
            <a:effectLst/>
          </c:spPr>
          <c:marker>
            <c:symbol val="none"/>
          </c:marker>
          <c:cat>
            <c:numRef>
              <c:f>'Exec-Legal'!$B$15:$L$15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'Exec-Legal'!$B$21:$L$21</c:f>
              <c:numCache>
                <c:formatCode>_("$"* #,##0_);_("$"* \(#,##0\);_("$"* "-"??_);_(@_)</c:formatCode>
                <c:ptCount val="11"/>
                <c:pt idx="0">
                  <c:v>3116172</c:v>
                </c:pt>
                <c:pt idx="1">
                  <c:v>2665671</c:v>
                </c:pt>
                <c:pt idx="2">
                  <c:v>2802264</c:v>
                </c:pt>
                <c:pt idx="3">
                  <c:v>2541668</c:v>
                </c:pt>
                <c:pt idx="4">
                  <c:v>2799348</c:v>
                </c:pt>
                <c:pt idx="5">
                  <c:v>3369181</c:v>
                </c:pt>
                <c:pt idx="6">
                  <c:v>3868820</c:v>
                </c:pt>
                <c:pt idx="7">
                  <c:v>3649846</c:v>
                </c:pt>
                <c:pt idx="8">
                  <c:v>4959757</c:v>
                </c:pt>
                <c:pt idx="9">
                  <c:v>6947877</c:v>
                </c:pt>
                <c:pt idx="10">
                  <c:v>4860000</c:v>
                </c:pt>
              </c:numCache>
            </c:numRef>
          </c:val>
          <c:smooth val="0"/>
          <c:extLst>
            <c:ext xmlns:c16="http://schemas.microsoft.com/office/drawing/2014/chart" uri="{C3380CC4-5D6E-409C-BE32-E72D297353CC}">
              <c16:uniqueId val="{00000005-DEE6-4F0B-A284-3F55087C153F}"/>
            </c:ext>
          </c:extLst>
        </c:ser>
        <c:dLbls>
          <c:showLegendKey val="0"/>
          <c:showVal val="0"/>
          <c:showCatName val="0"/>
          <c:showSerName val="0"/>
          <c:showPercent val="0"/>
          <c:showBubbleSize val="0"/>
        </c:dLbls>
        <c:smooth val="0"/>
        <c:axId val="607211000"/>
        <c:axId val="607204440"/>
        <c:extLst>
          <c:ext xmlns:c15="http://schemas.microsoft.com/office/drawing/2012/chart" uri="{02D57815-91ED-43cb-92C2-25804820EDAC}">
            <c15:filteredLineSeries>
              <c15:ser>
                <c:idx val="1"/>
                <c:order val="1"/>
                <c:tx>
                  <c:strRef>
                    <c:extLst>
                      <c:ext uri="{02D57815-91ED-43cb-92C2-25804820EDAC}">
                        <c15:formulaRef>
                          <c15:sqref>'Exec-Legal'!$A$17</c15:sqref>
                        </c15:formulaRef>
                      </c:ext>
                    </c:extLst>
                    <c:strCache>
                      <c:ptCount val="1"/>
                      <c:pt idx="0">
                        <c:v>Internal Service Funds</c:v>
                      </c:pt>
                    </c:strCache>
                  </c:strRef>
                </c:tx>
                <c:spPr>
                  <a:ln w="28575" cap="rnd">
                    <a:solidFill>
                      <a:schemeClr val="accent2"/>
                    </a:solidFill>
                    <a:round/>
                  </a:ln>
                  <a:effectLst/>
                </c:spPr>
                <c:marker>
                  <c:symbol val="none"/>
                </c:marker>
                <c:cat>
                  <c:numRef>
                    <c:extLst>
                      <c:ext uri="{02D57815-91ED-43cb-92C2-25804820EDAC}">
                        <c15:formulaRef>
                          <c15:sqref>'Exec-Legal'!$B$15:$L$15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'Exec-Legal'!$B$17:$L$17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DEE6-4F0B-A284-3F55087C153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'Exec-Legal'!$A$18</c15:sqref>
                        </c15:formulaRef>
                      </c:ext>
                    </c:extLst>
                    <c:strCache>
                      <c:ptCount val="1"/>
                      <c:pt idx="0">
                        <c:v>Enterprise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'Exec-Legal'!$B$15:$L$15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'Exec-Legal'!$B$18:$L$18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DEE6-4F0B-A284-3F55087C153F}"/>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'Exec-Legal'!$A$20</c15:sqref>
                        </c15:formulaRef>
                      </c:ext>
                    </c:extLst>
                    <c:strCache>
                      <c:ptCount val="1"/>
                      <c:pt idx="0">
                        <c:v>Non Dept &amp; Other Entities Funds</c:v>
                      </c:pt>
                    </c:strCache>
                  </c:strRef>
                </c:tx>
                <c:spPr>
                  <a:ln w="28575" cap="rnd">
                    <a:solidFill>
                      <a:sysClr val="windowText" lastClr="000000"/>
                    </a:solidFill>
                    <a:round/>
                  </a:ln>
                  <a:effectLst/>
                </c:spPr>
                <c:marker>
                  <c:symbol val="none"/>
                </c:marker>
                <c:cat>
                  <c:numRef>
                    <c:extLst xmlns:c15="http://schemas.microsoft.com/office/drawing/2012/chart">
                      <c:ext xmlns:c15="http://schemas.microsoft.com/office/drawing/2012/chart" uri="{02D57815-91ED-43cb-92C2-25804820EDAC}">
                        <c15:formulaRef>
                          <c15:sqref>'Exec-Legal'!$B$15:$L$15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'Exec-Legal'!$B$20:$L$20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DEE6-4F0B-A284-3F55087C153F}"/>
                  </c:ext>
                </c:extLst>
              </c15:ser>
            </c15:filteredLineSeries>
          </c:ext>
        </c:extLst>
      </c:lineChart>
      <c:catAx>
        <c:axId val="607211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204440"/>
        <c:crosses val="autoZero"/>
        <c:auto val="1"/>
        <c:lblAlgn val="ctr"/>
        <c:lblOffset val="100"/>
        <c:noMultiLvlLbl val="0"/>
      </c:catAx>
      <c:valAx>
        <c:axId val="6072044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211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'Exec-Legal'!$A$25</c:f>
              <c:strCache>
                <c:ptCount val="1"/>
                <c:pt idx="0">
                  <c:v>Expenditures per Capita</c:v>
                </c:pt>
              </c:strCache>
            </c:strRef>
          </c:tx>
          <c:spPr>
            <a:ln w="28575" cap="rnd">
              <a:solidFill>
                <a:sysClr val="windowText" lastClr="000000"/>
              </a:solidFill>
              <a:round/>
            </a:ln>
            <a:effectLst/>
          </c:spPr>
          <c:marker>
            <c:symbol val="none"/>
          </c:marker>
          <c:cat>
            <c:numRef>
              <c:f>'Exec-Legal'!$B$24:$L$24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'Exec-Legal'!$B$25:$L$25</c:f>
              <c:numCache>
                <c:formatCode>_("$"* #,##0.00_);_("$"* \(#,##0.00\);_("$"* "-"??_);_(@_)</c:formatCode>
                <c:ptCount val="11"/>
                <c:pt idx="0">
                  <c:v>49.336183148095373</c:v>
                </c:pt>
                <c:pt idx="1">
                  <c:v>39.350343952053379</c:v>
                </c:pt>
                <c:pt idx="2">
                  <c:v>40.753683047076102</c:v>
                </c:pt>
                <c:pt idx="3">
                  <c:v>36.654619921835568</c:v>
                </c:pt>
                <c:pt idx="4">
                  <c:v>39.780417791672591</c:v>
                </c:pt>
                <c:pt idx="5">
                  <c:v>47.43521477747899</c:v>
                </c:pt>
                <c:pt idx="6">
                  <c:v>52.694361209479709</c:v>
                </c:pt>
                <c:pt idx="7">
                  <c:v>49.06696242522014</c:v>
                </c:pt>
                <c:pt idx="8">
                  <c:v>65.397639767932489</c:v>
                </c:pt>
                <c:pt idx="9">
                  <c:v>89.926186223499258</c:v>
                </c:pt>
                <c:pt idx="10">
                  <c:v>61.534565712838692</c:v>
                </c:pt>
              </c:numCache>
            </c:numRef>
          </c:val>
          <c:smooth val="0"/>
          <c:extLst>
            <c:ext xmlns:c16="http://schemas.microsoft.com/office/drawing/2014/chart" uri="{C3380CC4-5D6E-409C-BE32-E72D297353CC}">
              <c16:uniqueId val="{00000000-A18B-43A7-B1ED-5061F91A97C1}"/>
            </c:ext>
          </c:extLst>
        </c:ser>
        <c:dLbls>
          <c:showLegendKey val="0"/>
          <c:showVal val="0"/>
          <c:showCatName val="0"/>
          <c:showSerName val="0"/>
          <c:showPercent val="0"/>
          <c:showBubbleSize val="0"/>
        </c:dLbls>
        <c:smooth val="0"/>
        <c:axId val="624504248"/>
        <c:axId val="624505560"/>
      </c:lineChart>
      <c:catAx>
        <c:axId val="624504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4505560"/>
        <c:crosses val="autoZero"/>
        <c:auto val="1"/>
        <c:lblAlgn val="ctr"/>
        <c:lblOffset val="100"/>
        <c:noMultiLvlLbl val="0"/>
      </c:catAx>
      <c:valAx>
        <c:axId val="6245055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4504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'Exec-Legal'!$A$28</c:f>
              <c:strCache>
                <c:ptCount val="1"/>
                <c:pt idx="0">
                  <c:v>Expenditures per FTE</c:v>
                </c:pt>
              </c:strCache>
            </c:strRef>
          </c:tx>
          <c:spPr>
            <a:ln w="28575" cap="rnd">
              <a:solidFill>
                <a:sysClr val="windowText" lastClr="000000"/>
              </a:solidFill>
              <a:round/>
            </a:ln>
            <a:effectLst/>
          </c:spPr>
          <c:marker>
            <c:symbol val="none"/>
          </c:marker>
          <c:cat>
            <c:numRef>
              <c:f>'Exec-Legal'!$B$24:$L$24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'Exec-Legal'!$B$28:$L$28</c:f>
              <c:numCache>
                <c:formatCode>_("$"* #,##0_);_("$"* \(#,##0\);_("$"* "-"??_);_(@_)</c:formatCode>
                <c:ptCount val="11"/>
                <c:pt idx="0">
                  <c:v>155882.58064516127</c:v>
                </c:pt>
                <c:pt idx="1">
                  <c:v>160095.01639344261</c:v>
                </c:pt>
                <c:pt idx="2">
                  <c:v>148331.69230769231</c:v>
                </c:pt>
                <c:pt idx="3">
                  <c:v>143849.4375</c:v>
                </c:pt>
                <c:pt idx="4">
                  <c:v>151424.16918429002</c:v>
                </c:pt>
                <c:pt idx="5">
                  <c:v>158634.76839237055</c:v>
                </c:pt>
                <c:pt idx="6">
                  <c:v>172300.3663003663</c:v>
                </c:pt>
                <c:pt idx="7">
                  <c:v>157803.16243411598</c:v>
                </c:pt>
                <c:pt idx="8">
                  <c:v>220304.84921592279</c:v>
                </c:pt>
                <c:pt idx="9">
                  <c:v>207642.60260260259</c:v>
                </c:pt>
                <c:pt idx="10">
                  <c:v>159233.91391391392</c:v>
                </c:pt>
              </c:numCache>
            </c:numRef>
          </c:val>
          <c:smooth val="0"/>
          <c:extLst>
            <c:ext xmlns:c16="http://schemas.microsoft.com/office/drawing/2014/chart" uri="{C3380CC4-5D6E-409C-BE32-E72D297353CC}">
              <c16:uniqueId val="{00000000-A1D3-4C3A-8219-476CCECAD737}"/>
            </c:ext>
          </c:extLst>
        </c:ser>
        <c:dLbls>
          <c:showLegendKey val="0"/>
          <c:showVal val="0"/>
          <c:showCatName val="0"/>
          <c:showSerName val="0"/>
          <c:showPercent val="0"/>
          <c:showBubbleSize val="0"/>
        </c:dLbls>
        <c:smooth val="0"/>
        <c:axId val="412368672"/>
        <c:axId val="412371296"/>
      </c:lineChart>
      <c:catAx>
        <c:axId val="41236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371296"/>
        <c:crosses val="autoZero"/>
        <c:auto val="1"/>
        <c:lblAlgn val="ctr"/>
        <c:lblOffset val="100"/>
        <c:noMultiLvlLbl val="0"/>
      </c:catAx>
      <c:valAx>
        <c:axId val="412371296"/>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36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per Capita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'All Depts'!$A$24</c:f>
              <c:strCache>
                <c:ptCount val="1"/>
                <c:pt idx="0">
                  <c:v>General Fund</c:v>
                </c:pt>
              </c:strCache>
            </c:strRef>
          </c:tx>
          <c:spPr>
            <a:ln w="28575" cap="rnd">
              <a:solidFill>
                <a:srgbClr val="FF0000"/>
              </a:solidFill>
              <a:round/>
            </a:ln>
            <a:effectLst/>
          </c:spPr>
          <c:marker>
            <c:symbol val="none"/>
          </c:marker>
          <c:cat>
            <c:numRef>
              <c:f>'All Depts'!$B$23:$L$23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Depts'!$B$24:$L$24</c:f>
              <c:numCache>
                <c:formatCode>_("$"* #,##0_);_("$"* \(#,##0\);_("$"* "-"??_);_(@_)</c:formatCode>
                <c:ptCount val="11"/>
                <c:pt idx="0">
                  <c:v>0</c:v>
                </c:pt>
                <c:pt idx="1">
                  <c:v>729.86203536949017</c:v>
                </c:pt>
                <c:pt idx="2">
                  <c:v>679.23162839400243</c:v>
                </c:pt>
                <c:pt idx="3">
                  <c:v>672.4593386308245</c:v>
                </c:pt>
                <c:pt idx="4">
                  <c:v>730.99910473213015</c:v>
                </c:pt>
                <c:pt idx="5">
                  <c:v>871.90577104481395</c:v>
                </c:pt>
                <c:pt idx="6">
                  <c:v>823.63149005720516</c:v>
                </c:pt>
                <c:pt idx="7">
                  <c:v>1226.426147744841</c:v>
                </c:pt>
                <c:pt idx="8">
                  <c:v>1609.628098628692</c:v>
                </c:pt>
                <c:pt idx="9">
                  <c:v>1931.1264140198286</c:v>
                </c:pt>
                <c:pt idx="10">
                  <c:v>1268.3908457837426</c:v>
                </c:pt>
              </c:numCache>
            </c:numRef>
          </c:val>
          <c:smooth val="0"/>
          <c:extLst>
            <c:ext xmlns:c16="http://schemas.microsoft.com/office/drawing/2014/chart" uri="{C3380CC4-5D6E-409C-BE32-E72D297353CC}">
              <c16:uniqueId val="{00000000-7CCE-43EC-A4E9-270B083F4224}"/>
            </c:ext>
          </c:extLst>
        </c:ser>
        <c:ser>
          <c:idx val="1"/>
          <c:order val="1"/>
          <c:tx>
            <c:strRef>
              <c:f>'All Depts'!$A$25</c:f>
              <c:strCache>
                <c:ptCount val="1"/>
                <c:pt idx="0">
                  <c:v>Internal Service Funds</c:v>
                </c:pt>
              </c:strCache>
            </c:strRef>
          </c:tx>
          <c:spPr>
            <a:ln w="28575" cap="rnd">
              <a:solidFill>
                <a:srgbClr val="92D050"/>
              </a:solidFill>
              <a:round/>
            </a:ln>
            <a:effectLst/>
          </c:spPr>
          <c:marker>
            <c:symbol val="none"/>
          </c:marker>
          <c:cat>
            <c:numRef>
              <c:f>'All Depts'!$B$23:$L$23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Depts'!$B$25:$L$25</c:f>
              <c:numCache>
                <c:formatCode>_("$"* #,##0_);_("$"* \(#,##0\);_("$"* "-"??_);_(@_)</c:formatCode>
                <c:ptCount val="11"/>
                <c:pt idx="0">
                  <c:v>262.20203603432441</c:v>
                </c:pt>
                <c:pt idx="1">
                  <c:v>250.57375040595198</c:v>
                </c:pt>
                <c:pt idx="2">
                  <c:v>248.55116999461904</c:v>
                </c:pt>
                <c:pt idx="3">
                  <c:v>234.7317892733015</c:v>
                </c:pt>
                <c:pt idx="4">
                  <c:v>237.73322438539151</c:v>
                </c:pt>
                <c:pt idx="5">
                  <c:v>244.73857828713025</c:v>
                </c:pt>
                <c:pt idx="6">
                  <c:v>265.70058567147919</c:v>
                </c:pt>
                <c:pt idx="7">
                  <c:v>342.39244471331585</c:v>
                </c:pt>
                <c:pt idx="8">
                  <c:v>320.85915084388188</c:v>
                </c:pt>
                <c:pt idx="9">
                  <c:v>355.75839351815898</c:v>
                </c:pt>
                <c:pt idx="10">
                  <c:v>361.51276272474047</c:v>
                </c:pt>
              </c:numCache>
            </c:numRef>
          </c:val>
          <c:smooth val="0"/>
          <c:extLst>
            <c:ext xmlns:c16="http://schemas.microsoft.com/office/drawing/2014/chart" uri="{C3380CC4-5D6E-409C-BE32-E72D297353CC}">
              <c16:uniqueId val="{00000001-7CCE-43EC-A4E9-270B083F4224}"/>
            </c:ext>
          </c:extLst>
        </c:ser>
        <c:ser>
          <c:idx val="2"/>
          <c:order val="2"/>
          <c:tx>
            <c:strRef>
              <c:f>'All Depts'!$A$26</c:f>
              <c:strCache>
                <c:ptCount val="1"/>
                <c:pt idx="0">
                  <c:v>Enterprise Funds</c:v>
                </c:pt>
              </c:strCache>
            </c:strRef>
          </c:tx>
          <c:spPr>
            <a:ln w="28575" cap="rnd">
              <a:solidFill>
                <a:srgbClr val="7030A0"/>
              </a:solidFill>
              <a:round/>
            </a:ln>
            <a:effectLst/>
          </c:spPr>
          <c:marker>
            <c:symbol val="none"/>
          </c:marker>
          <c:cat>
            <c:numRef>
              <c:f>'All Depts'!$B$23:$L$23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Depts'!$B$26:$L$26</c:f>
              <c:numCache>
                <c:formatCode>_("$"* #,##0_);_("$"* \(#,##0\);_("$"* "-"??_);_(@_)</c:formatCode>
                <c:ptCount val="11"/>
                <c:pt idx="0">
                  <c:v>1501.064674962794</c:v>
                </c:pt>
                <c:pt idx="1">
                  <c:v>1161.8688848867762</c:v>
                </c:pt>
                <c:pt idx="2">
                  <c:v>1317.495455272611</c:v>
                </c:pt>
                <c:pt idx="3">
                  <c:v>1297.443676901112</c:v>
                </c:pt>
                <c:pt idx="4">
                  <c:v>1430.9212874804605</c:v>
                </c:pt>
                <c:pt idx="5">
                  <c:v>1578.2709814577554</c:v>
                </c:pt>
                <c:pt idx="6">
                  <c:v>1787.0318850449469</c:v>
                </c:pt>
                <c:pt idx="7">
                  <c:v>1780.1169590643274</c:v>
                </c:pt>
                <c:pt idx="8">
                  <c:v>1904.7605748945148</c:v>
                </c:pt>
                <c:pt idx="9">
                  <c:v>2064.0401361600789</c:v>
                </c:pt>
                <c:pt idx="10">
                  <c:v>2238.3420106356039</c:v>
                </c:pt>
              </c:numCache>
            </c:numRef>
          </c:val>
          <c:smooth val="0"/>
          <c:extLst>
            <c:ext xmlns:c16="http://schemas.microsoft.com/office/drawing/2014/chart" uri="{C3380CC4-5D6E-409C-BE32-E72D297353CC}">
              <c16:uniqueId val="{00000002-7CCE-43EC-A4E9-270B083F4224}"/>
            </c:ext>
          </c:extLst>
        </c:ser>
        <c:ser>
          <c:idx val="3"/>
          <c:order val="3"/>
          <c:tx>
            <c:strRef>
              <c:f>'All Depts'!$A$27</c:f>
              <c:strCache>
                <c:ptCount val="1"/>
                <c:pt idx="0">
                  <c:v>Special Revenue Funds</c:v>
                </c:pt>
              </c:strCache>
            </c:strRef>
          </c:tx>
          <c:spPr>
            <a:ln w="28575" cap="rnd">
              <a:solidFill>
                <a:srgbClr val="00B0F0"/>
              </a:solidFill>
              <a:round/>
            </a:ln>
            <a:effectLst/>
          </c:spPr>
          <c:marker>
            <c:symbol val="none"/>
          </c:marker>
          <c:cat>
            <c:numRef>
              <c:f>'All Depts'!$B$23:$L$23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Depts'!$B$27:$L$27</c:f>
              <c:numCache>
                <c:formatCode>_("$"* #,##0_);_("$"* \(#,##0\);_("$"* "-"??_);_(@_)</c:formatCode>
                <c:ptCount val="11"/>
                <c:pt idx="0">
                  <c:v>52.767518444634433</c:v>
                </c:pt>
                <c:pt idx="1">
                  <c:v>49.685896489622394</c:v>
                </c:pt>
                <c:pt idx="2">
                  <c:v>263.31544043862073</c:v>
                </c:pt>
                <c:pt idx="3">
                  <c:v>245.29667873264015</c:v>
                </c:pt>
                <c:pt idx="4">
                  <c:v>255.02800909478472</c:v>
                </c:pt>
                <c:pt idx="5">
                  <c:v>317.10576259732215</c:v>
                </c:pt>
                <c:pt idx="6">
                  <c:v>292.77774448379188</c:v>
                </c:pt>
                <c:pt idx="7">
                  <c:v>550.89030046380321</c:v>
                </c:pt>
                <c:pt idx="8">
                  <c:v>460.93276635021095</c:v>
                </c:pt>
                <c:pt idx="9">
                  <c:v>829.14531076078799</c:v>
                </c:pt>
                <c:pt idx="10">
                  <c:v>576.44470752089137</c:v>
                </c:pt>
              </c:numCache>
            </c:numRef>
          </c:val>
          <c:smooth val="0"/>
          <c:extLst>
            <c:ext xmlns:c16="http://schemas.microsoft.com/office/drawing/2014/chart" uri="{C3380CC4-5D6E-409C-BE32-E72D297353CC}">
              <c16:uniqueId val="{00000003-7CCE-43EC-A4E9-270B083F4224}"/>
            </c:ext>
          </c:extLst>
        </c:ser>
        <c:dLbls>
          <c:showLegendKey val="0"/>
          <c:showVal val="0"/>
          <c:showCatName val="0"/>
          <c:showSerName val="0"/>
          <c:showPercent val="0"/>
          <c:showBubbleSize val="0"/>
        </c:dLbls>
        <c:smooth val="0"/>
        <c:axId val="610502640"/>
        <c:axId val="610502968"/>
      </c:lineChart>
      <c:catAx>
        <c:axId val="610502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502968"/>
        <c:crosses val="autoZero"/>
        <c:auto val="1"/>
        <c:lblAlgn val="ctr"/>
        <c:lblOffset val="100"/>
        <c:noMultiLvlLbl val="0"/>
      </c:catAx>
      <c:valAx>
        <c:axId val="6105029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502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Manager </a:t>
            </a:r>
            <a:r>
              <a:rPr lang="en-US" baseline="0"/>
              <a:t>Expenditures</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2"/>
          <c:tx>
            <c:strRef>
              <c:f>'City Manager only'!$A$51</c:f>
              <c:strCache>
                <c:ptCount val="1"/>
                <c:pt idx="0">
                  <c:v>O&amp;M</c:v>
                </c:pt>
              </c:strCache>
            </c:strRef>
          </c:tx>
          <c:spPr>
            <a:ln w="28575" cap="rnd">
              <a:solidFill>
                <a:schemeClr val="tx1"/>
              </a:solidFill>
              <a:round/>
            </a:ln>
            <a:effectLst/>
          </c:spPr>
          <c:marker>
            <c:symbol val="none"/>
          </c:marker>
          <c:cat>
            <c:numRef>
              <c:f>'City Manager only'!$B$49:$L$49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Manager only'!$B$51:$L$51</c:f>
              <c:numCache>
                <c:formatCode>_("$"* #,##0_);_("$"* \(#,##0\);_("$"* "-"??_);_(@_)</c:formatCode>
                <c:ptCount val="11"/>
                <c:pt idx="0">
                  <c:v>645757</c:v>
                </c:pt>
                <c:pt idx="1">
                  <c:v>621731</c:v>
                </c:pt>
                <c:pt idx="2">
                  <c:v>578036</c:v>
                </c:pt>
                <c:pt idx="3">
                  <c:v>560510</c:v>
                </c:pt>
                <c:pt idx="4">
                  <c:v>626710</c:v>
                </c:pt>
                <c:pt idx="5">
                  <c:v>743632</c:v>
                </c:pt>
                <c:pt idx="6">
                  <c:v>792123</c:v>
                </c:pt>
                <c:pt idx="7">
                  <c:v>1278962</c:v>
                </c:pt>
                <c:pt idx="8">
                  <c:v>1388746</c:v>
                </c:pt>
                <c:pt idx="9">
                  <c:v>2884192</c:v>
                </c:pt>
                <c:pt idx="10">
                  <c:v>1807501</c:v>
                </c:pt>
              </c:numCache>
            </c:numRef>
          </c:val>
          <c:smooth val="0"/>
          <c:extLst>
            <c:ext xmlns:c16="http://schemas.microsoft.com/office/drawing/2014/chart" uri="{C3380CC4-5D6E-409C-BE32-E72D297353CC}">
              <c16:uniqueId val="{00000001-3197-4D8E-89C2-8892A98B7B60}"/>
            </c:ext>
          </c:extLst>
        </c:ser>
        <c:dLbls>
          <c:showLegendKey val="0"/>
          <c:showVal val="0"/>
          <c:showCatName val="0"/>
          <c:showSerName val="0"/>
          <c:showPercent val="0"/>
          <c:showBubbleSize val="0"/>
        </c:dLbls>
        <c:smooth val="0"/>
        <c:axId val="644325024"/>
        <c:axId val="644321416"/>
        <c:extLst>
          <c:ext xmlns:c15="http://schemas.microsoft.com/office/drawing/2012/chart" uri="{02D57815-91ED-43cb-92C2-25804820EDAC}">
            <c15:filteredLineSeries>
              <c15:ser>
                <c:idx val="0"/>
                <c:order val="0"/>
                <c:tx>
                  <c:strRef>
                    <c:extLst>
                      <c:ext uri="{02D57815-91ED-43cb-92C2-25804820EDAC}">
                        <c15:formulaRef>
                          <c15:sqref>'City Manager only'!$A$48</c15:sqref>
                        </c15:formulaRef>
                      </c:ext>
                    </c:extLst>
                    <c:strCache>
                      <c:ptCount val="1"/>
                      <c:pt idx="0">
                        <c:v>Other Entity Funds</c:v>
                      </c:pt>
                    </c:strCache>
                  </c:strRef>
                </c:tx>
                <c:spPr>
                  <a:ln w="28575" cap="rnd">
                    <a:solidFill>
                      <a:schemeClr val="accent1"/>
                    </a:solidFill>
                    <a:round/>
                  </a:ln>
                  <a:effectLst/>
                </c:spPr>
                <c:marker>
                  <c:symbol val="none"/>
                </c:marker>
                <c:cat>
                  <c:numRef>
                    <c:extLst>
                      <c:ext uri="{02D57815-91ED-43cb-92C2-25804820EDAC}">
                        <c15:formulaRef>
                          <c15:sqref>'City Manager only'!$B$49:$L$49</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'City Manager only'!$B$48:$L$48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3197-4D8E-89C2-8892A98B7B6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'City Manager only'!$A$49</c15:sqref>
                        </c15:formulaRef>
                      </c:ext>
                    </c:extLst>
                    <c:strCache>
                      <c:ptCount val="1"/>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'City Manager only'!$B$49:$L$49</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Manager only'!$B$49:$L$49</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xmlns:c15="http://schemas.microsoft.com/office/drawing/2012/chart">
                  <c:ext xmlns:c16="http://schemas.microsoft.com/office/drawing/2014/chart" uri="{C3380CC4-5D6E-409C-BE32-E72D297353CC}">
                    <c16:uniqueId val="{00000003-3197-4D8E-89C2-8892A98B7B60}"/>
                  </c:ext>
                </c:extLst>
              </c15:ser>
            </c15:filteredLineSeries>
          </c:ext>
        </c:extLst>
      </c:lineChart>
      <c:catAx>
        <c:axId val="6443250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4321416"/>
        <c:crosses val="autoZero"/>
        <c:auto val="1"/>
        <c:lblAlgn val="ctr"/>
        <c:lblOffset val="100"/>
        <c:noMultiLvlLbl val="0"/>
      </c:catAx>
      <c:valAx>
        <c:axId val="6443214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4325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a:t>
            </a:r>
            <a:r>
              <a:rPr lang="en-US" baseline="0"/>
              <a:t> Manager Revenue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6"/>
          <c:order val="5"/>
          <c:tx>
            <c:strRef>
              <c:f>'City Manager only'!$A$11</c:f>
              <c:strCache>
                <c:ptCount val="1"/>
                <c:pt idx="0">
                  <c:v>Total City Budget Revenues</c:v>
                </c:pt>
              </c:strCache>
            </c:strRef>
          </c:tx>
          <c:spPr>
            <a:ln w="28575" cap="rnd">
              <a:solidFill>
                <a:schemeClr val="accent1">
                  <a:lumMod val="60000"/>
                </a:schemeClr>
              </a:solidFill>
              <a:round/>
            </a:ln>
            <a:effectLst/>
          </c:spPr>
          <c:marker>
            <c:symbol val="none"/>
          </c:marker>
          <c:cat>
            <c:numRef>
              <c:f>'City Manager only'!$B$5:$L$5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Manager only'!$B$11:$L$11</c:f>
              <c:numCache>
                <c:formatCode>_("$"* #,##0_);_("$"* \(#,##0\);_("$"* "-"??_);_(@_)</c:formatCode>
                <c:ptCount val="11"/>
                <c:pt idx="0">
                  <c:v>1104131</c:v>
                </c:pt>
                <c:pt idx="1">
                  <c:v>701910</c:v>
                </c:pt>
                <c:pt idx="2">
                  <c:v>834156</c:v>
                </c:pt>
                <c:pt idx="3">
                  <c:v>657742</c:v>
                </c:pt>
                <c:pt idx="4">
                  <c:v>761838</c:v>
                </c:pt>
                <c:pt idx="5">
                  <c:v>987028</c:v>
                </c:pt>
                <c:pt idx="6">
                  <c:v>867401</c:v>
                </c:pt>
                <c:pt idx="7">
                  <c:v>674449</c:v>
                </c:pt>
                <c:pt idx="8">
                  <c:v>1316086</c:v>
                </c:pt>
                <c:pt idx="9">
                  <c:v>2079175</c:v>
                </c:pt>
                <c:pt idx="10">
                  <c:v>901785</c:v>
                </c:pt>
              </c:numCache>
            </c:numRef>
          </c:val>
          <c:smooth val="0"/>
          <c:extLst>
            <c:ext xmlns:c16="http://schemas.microsoft.com/office/drawing/2014/chart" uri="{C3380CC4-5D6E-409C-BE32-E72D297353CC}">
              <c16:uniqueId val="{00000000-F7F5-49DC-B9EE-82FA70759ECF}"/>
            </c:ext>
          </c:extLst>
        </c:ser>
        <c:dLbls>
          <c:showLegendKey val="0"/>
          <c:showVal val="0"/>
          <c:showCatName val="0"/>
          <c:showSerName val="0"/>
          <c:showPercent val="0"/>
          <c:showBubbleSize val="0"/>
        </c:dLbls>
        <c:smooth val="0"/>
        <c:axId val="607682672"/>
        <c:axId val="607680704"/>
        <c:extLst>
          <c:ext xmlns:c15="http://schemas.microsoft.com/office/drawing/2012/chart" uri="{02D57815-91ED-43cb-92C2-25804820EDAC}">
            <c15:filteredLineSeries>
              <c15:ser>
                <c:idx val="0"/>
                <c:order val="0"/>
                <c:tx>
                  <c:strRef>
                    <c:extLst>
                      <c:ext uri="{02D57815-91ED-43cb-92C2-25804820EDAC}">
                        <c15:formulaRef>
                          <c15:sqref>'City Manager only'!$A$5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1-F7F5-49DC-B9EE-82FA70759ECF}"/>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'City Manager only'!$A$6</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Manager only'!$B$6:$L$6</c15:sqref>
                        </c15:formulaRef>
                      </c:ext>
                    </c:extLst>
                    <c:numCache>
                      <c:formatCode>_("$"* #,##0_);_("$"* \(#,##0\);_("$"* "-"??_);_(@_)</c:formatCode>
                      <c:ptCount val="11"/>
                      <c:pt idx="0">
                        <c:v>645757</c:v>
                      </c:pt>
                      <c:pt idx="1">
                        <c:v>477688</c:v>
                      </c:pt>
                      <c:pt idx="2">
                        <c:v>442282</c:v>
                      </c:pt>
                      <c:pt idx="3">
                        <c:v>417665</c:v>
                      </c:pt>
                      <c:pt idx="4">
                        <c:v>468560</c:v>
                      </c:pt>
                      <c:pt idx="5">
                        <c:v>528795</c:v>
                      </c:pt>
                      <c:pt idx="6">
                        <c:v>579320</c:v>
                      </c:pt>
                      <c:pt idx="7">
                        <c:v>674449</c:v>
                      </c:pt>
                      <c:pt idx="8">
                        <c:v>557768</c:v>
                      </c:pt>
                      <c:pt idx="9">
                        <c:v>699857</c:v>
                      </c:pt>
                      <c:pt idx="10">
                        <c:v>0</c:v>
                      </c:pt>
                    </c:numCache>
                  </c:numRef>
                </c:val>
                <c:smooth val="0"/>
                <c:extLst xmlns:c15="http://schemas.microsoft.com/office/drawing/2012/chart">
                  <c:ext xmlns:c16="http://schemas.microsoft.com/office/drawing/2014/chart" uri="{C3380CC4-5D6E-409C-BE32-E72D297353CC}">
                    <c16:uniqueId val="{00000002-F7F5-49DC-B9EE-82FA70759EC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'City Manager only'!$A$7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Manager only'!$B$7:$L$7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F7F5-49DC-B9EE-82FA70759ECF}"/>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'City Manager only'!$A$8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Manager only'!$B$8:$L$8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F7F5-49DC-B9EE-82FA70759ECF}"/>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'City Manager only'!$A$9</c15:sqref>
                        </c15:formulaRef>
                      </c:ext>
                    </c:extLst>
                    <c:strCache>
                      <c:ptCount val="1"/>
                      <c:pt idx="0">
                        <c:v>Special Revenue Funds - Trf fm DevSvc</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'City Manager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Manager only'!$B$9:$L$9</c15:sqref>
                        </c15:formulaRef>
                      </c:ext>
                    </c:extLst>
                    <c:numCache>
                      <c:formatCode>_("$"* #,##0_);_("$"* \(#,##0\);_("$"* "-"??_);_(@_)</c:formatCode>
                      <c:ptCount val="11"/>
                      <c:pt idx="0">
                        <c:v>458374</c:v>
                      </c:pt>
                      <c:pt idx="1">
                        <c:v>224222</c:v>
                      </c:pt>
                      <c:pt idx="2">
                        <c:v>391874</c:v>
                      </c:pt>
                      <c:pt idx="3">
                        <c:v>240077</c:v>
                      </c:pt>
                      <c:pt idx="4">
                        <c:v>293278</c:v>
                      </c:pt>
                      <c:pt idx="5">
                        <c:v>458233</c:v>
                      </c:pt>
                      <c:pt idx="6">
                        <c:v>288081</c:v>
                      </c:pt>
                      <c:pt idx="8">
                        <c:v>758318</c:v>
                      </c:pt>
                      <c:pt idx="9">
                        <c:v>1379318</c:v>
                      </c:pt>
                      <c:pt idx="10">
                        <c:v>901785</c:v>
                      </c:pt>
                    </c:numCache>
                  </c:numRef>
                </c:val>
                <c:smooth val="0"/>
                <c:extLst xmlns:c15="http://schemas.microsoft.com/office/drawing/2012/chart">
                  <c:ext xmlns:c16="http://schemas.microsoft.com/office/drawing/2014/chart" uri="{C3380CC4-5D6E-409C-BE32-E72D297353CC}">
                    <c16:uniqueId val="{00000005-F7F5-49DC-B9EE-82FA70759ECF}"/>
                  </c:ext>
                </c:extLst>
              </c15:ser>
            </c15:filteredLineSeries>
          </c:ext>
        </c:extLst>
      </c:lineChart>
      <c:catAx>
        <c:axId val="60768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0704"/>
        <c:crosses val="autoZero"/>
        <c:auto val="1"/>
        <c:lblAlgn val="ctr"/>
        <c:lblOffset val="100"/>
        <c:noMultiLvlLbl val="0"/>
      </c:catAx>
      <c:valAx>
        <c:axId val="6076807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2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'City Manager only'!$A$23</c:f>
              <c:strCache>
                <c:ptCount val="1"/>
                <c:pt idx="0">
                  <c:v>Expenditures per Capita</c:v>
                </c:pt>
              </c:strCache>
            </c:strRef>
          </c:tx>
          <c:spPr>
            <a:ln w="28575" cap="rnd">
              <a:solidFill>
                <a:schemeClr val="tx1"/>
              </a:solidFill>
              <a:round/>
            </a:ln>
            <a:effectLst/>
          </c:spPr>
          <c:marker>
            <c:symbol val="none"/>
          </c:marker>
          <c:cat>
            <c:numRef>
              <c:f>'City Manager only'!$B$22:$L$22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Manager only'!$B$23:$L$23</c:f>
              <c:numCache>
                <c:formatCode>_("$"* #,##0.00_);_("$"* \(#,##0.00\);_("$"* "-"??_);_(@_)</c:formatCode>
                <c:ptCount val="11"/>
                <c:pt idx="0">
                  <c:v>10.223821284949812</c:v>
                </c:pt>
                <c:pt idx="1">
                  <c:v>9.1779250686427911</c:v>
                </c:pt>
                <c:pt idx="2">
                  <c:v>14.777242913861055</c:v>
                </c:pt>
                <c:pt idx="3">
                  <c:v>8.0833850103113605</c:v>
                </c:pt>
                <c:pt idx="4">
                  <c:v>8.9059258206622136</c:v>
                </c:pt>
                <c:pt idx="5">
                  <c:v>10.469708702324468</c:v>
                </c:pt>
                <c:pt idx="6">
                  <c:v>10.788926722963771</c:v>
                </c:pt>
                <c:pt idx="7">
                  <c:v>17.193815957518318</c:v>
                </c:pt>
                <c:pt idx="8">
                  <c:v>16.863950421940928</c:v>
                </c:pt>
                <c:pt idx="9">
                  <c:v>19.616616189070953</c:v>
                </c:pt>
                <c:pt idx="10">
                  <c:v>15.503785768548999</c:v>
                </c:pt>
              </c:numCache>
            </c:numRef>
          </c:val>
          <c:smooth val="0"/>
          <c:extLst>
            <c:ext xmlns:c16="http://schemas.microsoft.com/office/drawing/2014/chart" uri="{C3380CC4-5D6E-409C-BE32-E72D297353CC}">
              <c16:uniqueId val="{00000000-F5B8-4D60-9286-F1EFFAA08439}"/>
            </c:ext>
          </c:extLst>
        </c:ser>
        <c:dLbls>
          <c:showLegendKey val="0"/>
          <c:showVal val="0"/>
          <c:showCatName val="0"/>
          <c:showSerName val="0"/>
          <c:showPercent val="0"/>
          <c:showBubbleSize val="0"/>
        </c:dLbls>
        <c:smooth val="0"/>
        <c:axId val="558255992"/>
        <c:axId val="558257960"/>
      </c:lineChart>
      <c:catAx>
        <c:axId val="55825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257960"/>
        <c:crosses val="autoZero"/>
        <c:auto val="1"/>
        <c:lblAlgn val="ctr"/>
        <c:lblOffset val="100"/>
        <c:noMultiLvlLbl val="0"/>
      </c:catAx>
      <c:valAx>
        <c:axId val="5582579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255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'City Manager only'!$A$26</c:f>
              <c:strCache>
                <c:ptCount val="1"/>
                <c:pt idx="0">
                  <c:v>Expenditures per FTE</c:v>
                </c:pt>
              </c:strCache>
            </c:strRef>
          </c:tx>
          <c:spPr>
            <a:ln w="28575" cap="rnd">
              <a:solidFill>
                <a:schemeClr val="tx1"/>
              </a:solidFill>
              <a:round/>
            </a:ln>
            <a:effectLst/>
          </c:spPr>
          <c:marker>
            <c:symbol val="none"/>
          </c:marker>
          <c:cat>
            <c:numRef>
              <c:f>'City Manager only'!$B$25:$L$25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Manager only'!$B$26:$L$26</c:f>
              <c:numCache>
                <c:formatCode>_(* #,##0_);_(* \(#,##0\);_(* "-"??_);_(@_)</c:formatCode>
                <c:ptCount val="11"/>
                <c:pt idx="0">
                  <c:v>198694.46153846153</c:v>
                </c:pt>
                <c:pt idx="1">
                  <c:v>226084</c:v>
                </c:pt>
                <c:pt idx="2">
                  <c:v>210194.90909090909</c:v>
                </c:pt>
                <c:pt idx="3">
                  <c:v>224204</c:v>
                </c:pt>
                <c:pt idx="4">
                  <c:v>250684</c:v>
                </c:pt>
                <c:pt idx="5">
                  <c:v>286012.30769230769</c:v>
                </c:pt>
                <c:pt idx="6">
                  <c:v>316849.2</c:v>
                </c:pt>
                <c:pt idx="7">
                  <c:v>319740.5</c:v>
                </c:pt>
                <c:pt idx="8">
                  <c:v>347186.5</c:v>
                </c:pt>
                <c:pt idx="9">
                  <c:v>576838.40000000002</c:v>
                </c:pt>
                <c:pt idx="10">
                  <c:v>361500.2</c:v>
                </c:pt>
              </c:numCache>
            </c:numRef>
          </c:val>
          <c:smooth val="0"/>
          <c:extLst>
            <c:ext xmlns:c16="http://schemas.microsoft.com/office/drawing/2014/chart" uri="{C3380CC4-5D6E-409C-BE32-E72D297353CC}">
              <c16:uniqueId val="{00000000-859F-40D2-9312-969E5C1BE435}"/>
            </c:ext>
          </c:extLst>
        </c:ser>
        <c:dLbls>
          <c:showLegendKey val="0"/>
          <c:showVal val="0"/>
          <c:showCatName val="0"/>
          <c:showSerName val="0"/>
          <c:showPercent val="0"/>
          <c:showBubbleSize val="0"/>
        </c:dLbls>
        <c:smooth val="0"/>
        <c:axId val="854404920"/>
        <c:axId val="854398360"/>
      </c:lineChart>
      <c:catAx>
        <c:axId val="854404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4398360"/>
        <c:crosses val="autoZero"/>
        <c:auto val="1"/>
        <c:lblAlgn val="ctr"/>
        <c:lblOffset val="100"/>
        <c:noMultiLvlLbl val="0"/>
      </c:catAx>
      <c:valAx>
        <c:axId val="85439836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4404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City Attorney Revenue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98051753597914"/>
          <c:y val="0.13179342723004694"/>
          <c:w val="0.84141098134545267"/>
          <c:h val="0.68764925511071684"/>
        </c:manualLayout>
      </c:layout>
      <c:lineChart>
        <c:grouping val="standard"/>
        <c:varyColors val="0"/>
        <c:ser>
          <c:idx val="6"/>
          <c:order val="5"/>
          <c:tx>
            <c:strRef>
              <c:f>'City Attorney only'!$A$11</c:f>
              <c:strCache>
                <c:ptCount val="1"/>
                <c:pt idx="0">
                  <c:v>Total City Budget Revenues</c:v>
                </c:pt>
              </c:strCache>
            </c:strRef>
          </c:tx>
          <c:spPr>
            <a:ln w="28575" cap="rnd">
              <a:solidFill>
                <a:schemeClr val="accent1">
                  <a:lumMod val="60000"/>
                </a:schemeClr>
              </a:solidFill>
              <a:round/>
            </a:ln>
            <a:effectLst/>
          </c:spPr>
          <c:marker>
            <c:symbol val="none"/>
          </c:marker>
          <c:cat>
            <c:numRef>
              <c:f>'City Attorney only'!$B$5:$L$5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Attorney only'!$B$11:$L$11</c:f>
              <c:numCache>
                <c:formatCode>_("$"* #,##0_);_("$"* \(#,##0\);_("$"* "-"??_);_(@_)</c:formatCode>
                <c:ptCount val="11"/>
                <c:pt idx="0">
                  <c:v>878014</c:v>
                </c:pt>
                <c:pt idx="1">
                  <c:v>843140</c:v>
                </c:pt>
                <c:pt idx="2">
                  <c:v>889490</c:v>
                </c:pt>
                <c:pt idx="3">
                  <c:v>894046</c:v>
                </c:pt>
                <c:pt idx="4">
                  <c:v>932189</c:v>
                </c:pt>
                <c:pt idx="5">
                  <c:v>929516</c:v>
                </c:pt>
                <c:pt idx="6">
                  <c:v>1000620</c:v>
                </c:pt>
                <c:pt idx="7">
                  <c:v>1093179</c:v>
                </c:pt>
                <c:pt idx="8">
                  <c:v>924177</c:v>
                </c:pt>
                <c:pt idx="9">
                  <c:v>1209541</c:v>
                </c:pt>
                <c:pt idx="10">
                  <c:v>34000</c:v>
                </c:pt>
              </c:numCache>
            </c:numRef>
          </c:val>
          <c:smooth val="0"/>
          <c:extLst>
            <c:ext xmlns:c16="http://schemas.microsoft.com/office/drawing/2014/chart" uri="{C3380CC4-5D6E-409C-BE32-E72D297353CC}">
              <c16:uniqueId val="{00000000-4C6B-4172-AE0E-188A4F09D4A4}"/>
            </c:ext>
          </c:extLst>
        </c:ser>
        <c:dLbls>
          <c:showLegendKey val="0"/>
          <c:showVal val="0"/>
          <c:showCatName val="0"/>
          <c:showSerName val="0"/>
          <c:showPercent val="0"/>
          <c:showBubbleSize val="0"/>
        </c:dLbls>
        <c:smooth val="0"/>
        <c:axId val="607682672"/>
        <c:axId val="607680704"/>
        <c:extLst>
          <c:ext xmlns:c15="http://schemas.microsoft.com/office/drawing/2012/chart" uri="{02D57815-91ED-43cb-92C2-25804820EDAC}">
            <c15:filteredLineSeries>
              <c15:ser>
                <c:idx val="0"/>
                <c:order val="0"/>
                <c:tx>
                  <c:strRef>
                    <c:extLst>
                      <c:ext uri="{02D57815-91ED-43cb-92C2-25804820EDAC}">
                        <c15:formulaRef>
                          <c15:sqref>'City Attorney only'!$A$5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1-4C6B-4172-AE0E-188A4F09D4A4}"/>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'City Attorney only'!$A$6</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Attorney only'!$B$6:$L$6</c15:sqref>
                        </c15:formulaRef>
                      </c:ext>
                    </c:extLst>
                    <c:numCache>
                      <c:formatCode>_("$"* #,##0_);_("$"* \(#,##0\);_("$"* "-"??_);_(@_)</c:formatCode>
                      <c:ptCount val="11"/>
                      <c:pt idx="0">
                        <c:v>878014</c:v>
                      </c:pt>
                      <c:pt idx="1">
                        <c:v>843140</c:v>
                      </c:pt>
                      <c:pt idx="2">
                        <c:v>889490</c:v>
                      </c:pt>
                      <c:pt idx="3">
                        <c:v>894046</c:v>
                      </c:pt>
                      <c:pt idx="4">
                        <c:v>932189</c:v>
                      </c:pt>
                      <c:pt idx="5">
                        <c:v>929516</c:v>
                      </c:pt>
                      <c:pt idx="6">
                        <c:v>1000620</c:v>
                      </c:pt>
                      <c:pt idx="7">
                        <c:v>1093179</c:v>
                      </c:pt>
                      <c:pt idx="8">
                        <c:v>924177</c:v>
                      </c:pt>
                      <c:pt idx="9">
                        <c:v>1209541</c:v>
                      </c:pt>
                      <c:pt idx="10">
                        <c:v>34000</c:v>
                      </c:pt>
                    </c:numCache>
                  </c:numRef>
                </c:val>
                <c:smooth val="0"/>
                <c:extLst xmlns:c15="http://schemas.microsoft.com/office/drawing/2012/chart">
                  <c:ext xmlns:c16="http://schemas.microsoft.com/office/drawing/2014/chart" uri="{C3380CC4-5D6E-409C-BE32-E72D297353CC}">
                    <c16:uniqueId val="{00000002-4C6B-4172-AE0E-188A4F09D4A4}"/>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'City Attorney only'!$A$7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Attorney only'!$B$7:$L$7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4C6B-4172-AE0E-188A4F09D4A4}"/>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'City Attorney only'!$A$8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Attorney only'!$B$8:$L$8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4C6B-4172-AE0E-188A4F09D4A4}"/>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'City Attorney only'!$A$9</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'City Attorney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'City Attorney only'!$B$9:$L$9</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4C6B-4172-AE0E-188A4F09D4A4}"/>
                  </c:ext>
                </c:extLst>
              </c15:ser>
            </c15:filteredLineSeries>
          </c:ext>
        </c:extLst>
      </c:lineChart>
      <c:catAx>
        <c:axId val="60768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0704"/>
        <c:crosses val="autoZero"/>
        <c:auto val="1"/>
        <c:lblAlgn val="ctr"/>
        <c:lblOffset val="100"/>
        <c:noMultiLvlLbl val="0"/>
      </c:catAx>
      <c:valAx>
        <c:axId val="6076807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2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'City Attorney only'!$A$26</c:f>
              <c:strCache>
                <c:ptCount val="1"/>
                <c:pt idx="0">
                  <c:v>Expenditures per Capita</c:v>
                </c:pt>
              </c:strCache>
            </c:strRef>
          </c:tx>
          <c:spPr>
            <a:ln w="28575" cap="rnd">
              <a:solidFill>
                <a:schemeClr val="tx1"/>
              </a:solidFill>
              <a:round/>
            </a:ln>
            <a:effectLst/>
          </c:spPr>
          <c:marker>
            <c:symbol val="none"/>
          </c:marker>
          <c:cat>
            <c:numRef>
              <c:f>'City Attorney only'!$B$25:$L$25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Attorney only'!$B$26:$L$26</c:f>
              <c:numCache>
                <c:formatCode>_("$"* #,##0.00_);_("$"* \(#,##0.00\);_("$"* "-"??_);_(@_)</c:formatCode>
                <c:ptCount val="11"/>
                <c:pt idx="0">
                  <c:v>13.572638738599474</c:v>
                </c:pt>
                <c:pt idx="1">
                  <c:v>13.348848991482221</c:v>
                </c:pt>
                <c:pt idx="2">
                  <c:v>13.13055416137699</c:v>
                </c:pt>
                <c:pt idx="3">
                  <c:v>13.00222509852969</c:v>
                </c:pt>
                <c:pt idx="4">
                  <c:v>13.443547107771737</c:v>
                </c:pt>
                <c:pt idx="5">
                  <c:v>13.208981099900527</c:v>
                </c:pt>
                <c:pt idx="6">
                  <c:v>14.087882073014487</c:v>
                </c:pt>
                <c:pt idx="7">
                  <c:v>14.889389812040315</c:v>
                </c:pt>
                <c:pt idx="8">
                  <c:v>16.730832829199436</c:v>
                </c:pt>
                <c:pt idx="9">
                  <c:v>21.632792721518989</c:v>
                </c:pt>
                <c:pt idx="10">
                  <c:v>18.04961041650488</c:v>
                </c:pt>
              </c:numCache>
            </c:numRef>
          </c:val>
          <c:smooth val="0"/>
          <c:extLst>
            <c:ext xmlns:c16="http://schemas.microsoft.com/office/drawing/2014/chart" uri="{C3380CC4-5D6E-409C-BE32-E72D297353CC}">
              <c16:uniqueId val="{00000000-9147-453D-A541-1B16999D1702}"/>
            </c:ext>
          </c:extLst>
        </c:ser>
        <c:dLbls>
          <c:showLegendKey val="0"/>
          <c:showVal val="0"/>
          <c:showCatName val="0"/>
          <c:showSerName val="0"/>
          <c:showPercent val="0"/>
          <c:showBubbleSize val="0"/>
        </c:dLbls>
        <c:smooth val="0"/>
        <c:axId val="854379992"/>
        <c:axId val="854383272"/>
      </c:lineChart>
      <c:catAx>
        <c:axId val="854379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4383272"/>
        <c:crosses val="autoZero"/>
        <c:auto val="1"/>
        <c:lblAlgn val="ctr"/>
        <c:lblOffset val="100"/>
        <c:noMultiLvlLbl val="0"/>
      </c:catAx>
      <c:valAx>
        <c:axId val="8543832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437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'City Attorney only'!$A$29</c:f>
              <c:strCache>
                <c:ptCount val="1"/>
                <c:pt idx="0">
                  <c:v>Expenditures per FTE</c:v>
                </c:pt>
              </c:strCache>
            </c:strRef>
          </c:tx>
          <c:spPr>
            <a:ln w="28575" cap="rnd">
              <a:solidFill>
                <a:schemeClr val="tx1"/>
              </a:solidFill>
              <a:round/>
            </a:ln>
            <a:effectLst/>
          </c:spPr>
          <c:marker>
            <c:symbol val="none"/>
          </c:marker>
          <c:cat>
            <c:numRef>
              <c:f>'City Attorney only'!$B$28:$L$28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Attorney only'!$B$29:$L$29</c:f>
              <c:numCache>
                <c:formatCode>_(* #,##0_);_(* \(#,##0\);_(* "-"??_);_(@_)</c:formatCode>
                <c:ptCount val="11"/>
                <c:pt idx="0">
                  <c:v>125430.57142857143</c:v>
                </c:pt>
                <c:pt idx="1">
                  <c:v>124909.62962962964</c:v>
                </c:pt>
                <c:pt idx="2">
                  <c:v>131776.29629629629</c:v>
                </c:pt>
                <c:pt idx="3">
                  <c:v>132451.25925925927</c:v>
                </c:pt>
                <c:pt idx="4">
                  <c:v>138102.07407407407</c:v>
                </c:pt>
                <c:pt idx="5">
                  <c:v>116189.5</c:v>
                </c:pt>
                <c:pt idx="6">
                  <c:v>111180</c:v>
                </c:pt>
                <c:pt idx="7">
                  <c:v>123244.53213077791</c:v>
                </c:pt>
                <c:pt idx="8">
                  <c:v>156053.04075235111</c:v>
                </c:pt>
                <c:pt idx="9">
                  <c:v>182800.11142061281</c:v>
                </c:pt>
                <c:pt idx="10">
                  <c:v>155381.504178273</c:v>
                </c:pt>
              </c:numCache>
            </c:numRef>
          </c:val>
          <c:smooth val="0"/>
          <c:extLst>
            <c:ext xmlns:c16="http://schemas.microsoft.com/office/drawing/2014/chart" uri="{C3380CC4-5D6E-409C-BE32-E72D297353CC}">
              <c16:uniqueId val="{00000000-4EF7-4E57-B134-591F299B2D46}"/>
            </c:ext>
          </c:extLst>
        </c:ser>
        <c:dLbls>
          <c:showLegendKey val="0"/>
          <c:showVal val="0"/>
          <c:showCatName val="0"/>
          <c:showSerName val="0"/>
          <c:showPercent val="0"/>
          <c:showBubbleSize val="0"/>
        </c:dLbls>
        <c:smooth val="0"/>
        <c:axId val="775176120"/>
        <c:axId val="775172512"/>
      </c:lineChart>
      <c:catAx>
        <c:axId val="775176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5172512"/>
        <c:crosses val="autoZero"/>
        <c:auto val="1"/>
        <c:lblAlgn val="ctr"/>
        <c:lblOffset val="100"/>
        <c:noMultiLvlLbl val="0"/>
      </c:catAx>
      <c:valAx>
        <c:axId val="77517251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5176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Attorney Expenses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'City Attorney only'!$A$15</c:f>
              <c:strCache>
                <c:ptCount val="1"/>
                <c:pt idx="0">
                  <c:v>General Fund</c:v>
                </c:pt>
              </c:strCache>
            </c:strRef>
          </c:tx>
          <c:spPr>
            <a:ln w="28575" cap="rnd">
              <a:solidFill>
                <a:schemeClr val="tx1"/>
              </a:solidFill>
              <a:round/>
            </a:ln>
            <a:effectLst/>
          </c:spPr>
          <c:marker>
            <c:symbol val="none"/>
          </c:marker>
          <c:cat>
            <c:numRef>
              <c:f>'City Attorney only'!$B$14:$L$14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'City Attorney only'!$B$15:$L$15</c:f>
              <c:numCache>
                <c:formatCode>_("$"* #,##0_);_("$"* \(#,##0\);_("$"* "-"??_);_(@_)</c:formatCode>
                <c:ptCount val="11"/>
                <c:pt idx="0">
                  <c:v>878014</c:v>
                </c:pt>
                <c:pt idx="1">
                  <c:v>843140</c:v>
                </c:pt>
                <c:pt idx="2">
                  <c:v>889490</c:v>
                </c:pt>
                <c:pt idx="3">
                  <c:v>894046</c:v>
                </c:pt>
                <c:pt idx="4">
                  <c:v>932189</c:v>
                </c:pt>
                <c:pt idx="5">
                  <c:v>929516</c:v>
                </c:pt>
                <c:pt idx="6">
                  <c:v>1000620</c:v>
                </c:pt>
                <c:pt idx="7">
                  <c:v>1093179</c:v>
                </c:pt>
                <c:pt idx="8">
                  <c:v>1244523</c:v>
                </c:pt>
                <c:pt idx="9">
                  <c:v>1640631</c:v>
                </c:pt>
                <c:pt idx="10">
                  <c:v>1394549</c:v>
                </c:pt>
              </c:numCache>
            </c:numRef>
          </c:val>
          <c:smooth val="0"/>
          <c:extLst>
            <c:ext xmlns:c16="http://schemas.microsoft.com/office/drawing/2014/chart" uri="{C3380CC4-5D6E-409C-BE32-E72D297353CC}">
              <c16:uniqueId val="{00000000-E3EE-4304-ABF8-80701E1571F0}"/>
            </c:ext>
          </c:extLst>
        </c:ser>
        <c:dLbls>
          <c:showLegendKey val="0"/>
          <c:showVal val="0"/>
          <c:showCatName val="0"/>
          <c:showSerName val="0"/>
          <c:showPercent val="0"/>
          <c:showBubbleSize val="0"/>
        </c:dLbls>
        <c:smooth val="0"/>
        <c:axId val="816082080"/>
        <c:axId val="816080112"/>
      </c:lineChart>
      <c:catAx>
        <c:axId val="81608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080112"/>
        <c:crosses val="autoZero"/>
        <c:auto val="1"/>
        <c:lblAlgn val="ctr"/>
        <c:lblOffset val="100"/>
        <c:noMultiLvlLbl val="0"/>
      </c:catAx>
      <c:valAx>
        <c:axId val="8160801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0820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Municipal Court Revenue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6"/>
          <c:order val="5"/>
          <c:tx>
            <c:strRef>
              <c:f>'Municipal Court only'!$A$11</c:f>
              <c:strCache>
                <c:ptCount val="1"/>
                <c:pt idx="0">
                  <c:v>Total City Budget Revenues</c:v>
                </c:pt>
              </c:strCache>
            </c:strRef>
          </c:tx>
          <c:spPr>
            <a:ln w="28575" cap="rnd">
              <a:solidFill>
                <a:schemeClr val="tx1"/>
              </a:solidFill>
              <a:round/>
            </a:ln>
            <a:effectLst/>
          </c:spPr>
          <c:marker>
            <c:symbol val="none"/>
          </c:marker>
          <c:cat>
            <c:numRef>
              <c:f>'Municipal Court only'!$B$5:$L$5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'Municipal Court only'!$B$11:$L$11</c:f>
              <c:numCache>
                <c:formatCode>_("$"* #,##0_);_("$"* \(#,##0\);_("$"* "-"??_);_(@_)</c:formatCode>
                <c:ptCount val="11"/>
                <c:pt idx="0">
                  <c:v>357276</c:v>
                </c:pt>
                <c:pt idx="1">
                  <c:v>339144</c:v>
                </c:pt>
                <c:pt idx="2">
                  <c:v>356728</c:v>
                </c:pt>
                <c:pt idx="3">
                  <c:v>355556</c:v>
                </c:pt>
                <c:pt idx="4">
                  <c:v>398437</c:v>
                </c:pt>
                <c:pt idx="5">
                  <c:v>573027</c:v>
                </c:pt>
                <c:pt idx="6">
                  <c:v>619609</c:v>
                </c:pt>
                <c:pt idx="7">
                  <c:v>638249</c:v>
                </c:pt>
                <c:pt idx="8">
                  <c:v>951729</c:v>
                </c:pt>
                <c:pt idx="9">
                  <c:v>787600</c:v>
                </c:pt>
                <c:pt idx="10">
                  <c:v>808497</c:v>
                </c:pt>
              </c:numCache>
            </c:numRef>
          </c:val>
          <c:smooth val="0"/>
          <c:extLst>
            <c:ext xmlns:c16="http://schemas.microsoft.com/office/drawing/2014/chart" uri="{C3380CC4-5D6E-409C-BE32-E72D297353CC}">
              <c16:uniqueId val="{00000000-6B48-4BEB-87E9-9428901356A1}"/>
            </c:ext>
          </c:extLst>
        </c:ser>
        <c:dLbls>
          <c:showLegendKey val="0"/>
          <c:showVal val="0"/>
          <c:showCatName val="0"/>
          <c:showSerName val="0"/>
          <c:showPercent val="0"/>
          <c:showBubbleSize val="0"/>
        </c:dLbls>
        <c:smooth val="0"/>
        <c:axId val="607682672"/>
        <c:axId val="607680704"/>
        <c:extLst>
          <c:ext xmlns:c15="http://schemas.microsoft.com/office/drawing/2012/chart" uri="{02D57815-91ED-43cb-92C2-25804820EDAC}">
            <c15:filteredLineSeries>
              <c15:ser>
                <c:idx val="0"/>
                <c:order val="0"/>
                <c:tx>
                  <c:strRef>
                    <c:extLst>
                      <c:ext uri="{02D57815-91ED-43cb-92C2-25804820EDAC}">
                        <c15:formulaRef>
                          <c15:sqref>'Municipal Court only'!$A$5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'Municipal Court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'Municipal Court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1-6B48-4BEB-87E9-9428901356A1}"/>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'Municipal Court only'!$A$6</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'Municipal Court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'Municipal Court only'!$B$6:$L$6</c15:sqref>
                        </c15:formulaRef>
                      </c:ext>
                    </c:extLst>
                    <c:numCache>
                      <c:formatCode>_("$"* #,##0_);_("$"* \(#,##0\);_("$"* "-"??_);_(@_)</c:formatCode>
                      <c:ptCount val="11"/>
                      <c:pt idx="0">
                        <c:v>357276</c:v>
                      </c:pt>
                      <c:pt idx="1">
                        <c:v>339144</c:v>
                      </c:pt>
                      <c:pt idx="2">
                        <c:v>356728</c:v>
                      </c:pt>
                      <c:pt idx="3">
                        <c:v>355556</c:v>
                      </c:pt>
                      <c:pt idx="4">
                        <c:v>398437</c:v>
                      </c:pt>
                      <c:pt idx="5">
                        <c:v>573027</c:v>
                      </c:pt>
                      <c:pt idx="6">
                        <c:v>619609</c:v>
                      </c:pt>
                      <c:pt idx="7">
                        <c:v>638249</c:v>
                      </c:pt>
                      <c:pt idx="8">
                        <c:v>951729</c:v>
                      </c:pt>
                      <c:pt idx="9">
                        <c:v>787600</c:v>
                      </c:pt>
                      <c:pt idx="10">
                        <c:v>808497</c:v>
                      </c:pt>
                    </c:numCache>
                  </c:numRef>
                </c:val>
                <c:smooth val="0"/>
                <c:extLst xmlns:c15="http://schemas.microsoft.com/office/drawing/2012/chart">
                  <c:ext xmlns:c16="http://schemas.microsoft.com/office/drawing/2014/chart" uri="{C3380CC4-5D6E-409C-BE32-E72D297353CC}">
                    <c16:uniqueId val="{00000002-6B48-4BEB-87E9-9428901356A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'Municipal Court only'!$A$7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'Municipal Court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'Municipal Court only'!$B$7:$L$7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6B48-4BEB-87E9-9428901356A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'Municipal Court only'!$A$8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'Municipal Court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'Municipal Court only'!$B$8:$L$8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6B48-4BEB-87E9-9428901356A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'Municipal Court only'!$A$9</c15:sqref>
                        </c15:formulaRef>
                      </c:ext>
                    </c:extLst>
                    <c:strCache>
                      <c:ptCount val="1"/>
                      <c:pt idx="0">
                        <c:v>Special Revenue Funds - Trf fm DevSvc</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'Municipal Court only'!$B$5:$L$5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'Municipal Court only'!$B$9:$L$9</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6B48-4BEB-87E9-9428901356A1}"/>
                  </c:ext>
                </c:extLst>
              </c15:ser>
            </c15:filteredLineSeries>
          </c:ext>
        </c:extLst>
      </c:lineChart>
      <c:catAx>
        <c:axId val="60768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0704"/>
        <c:crosses val="autoZero"/>
        <c:auto val="1"/>
        <c:lblAlgn val="ctr"/>
        <c:lblOffset val="100"/>
        <c:noMultiLvlLbl val="0"/>
      </c:catAx>
      <c:valAx>
        <c:axId val="6076807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82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Municipal Court Expenditures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9688736091087207E-2"/>
          <c:y val="0.15782407407407409"/>
          <c:w val="0.87965398691360763"/>
          <c:h val="0.72088764946048411"/>
        </c:manualLayout>
      </c:layout>
      <c:lineChart>
        <c:grouping val="standard"/>
        <c:varyColors val="0"/>
        <c:ser>
          <c:idx val="0"/>
          <c:order val="0"/>
          <c:tx>
            <c:strRef>
              <c:f>'Municipal Court only'!$A$15</c:f>
              <c:strCache>
                <c:ptCount val="1"/>
                <c:pt idx="0">
                  <c:v>General Fund</c:v>
                </c:pt>
              </c:strCache>
            </c:strRef>
          </c:tx>
          <c:spPr>
            <a:ln w="28575" cap="rnd">
              <a:solidFill>
                <a:schemeClr val="tx1"/>
              </a:solidFill>
              <a:round/>
            </a:ln>
            <a:effectLst/>
          </c:spPr>
          <c:marker>
            <c:symbol val="none"/>
          </c:marker>
          <c:cat>
            <c:numRef>
              <c:f>'Municipal Court only'!$B$14:$L$14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'Municipal Court only'!$B$15:$L$15</c:f>
              <c:numCache>
                <c:formatCode>_("$"* #,##0_);_("$"* \(#,##0\);_("$"* "-"??_);_(@_)</c:formatCode>
                <c:ptCount val="11"/>
                <c:pt idx="0">
                  <c:v>357276</c:v>
                </c:pt>
                <c:pt idx="1">
                  <c:v>339144</c:v>
                </c:pt>
                <c:pt idx="2">
                  <c:v>356728</c:v>
                </c:pt>
                <c:pt idx="3">
                  <c:v>355556</c:v>
                </c:pt>
                <c:pt idx="4">
                  <c:v>398437</c:v>
                </c:pt>
                <c:pt idx="5">
                  <c:v>573027</c:v>
                </c:pt>
                <c:pt idx="6">
                  <c:v>619609</c:v>
                </c:pt>
                <c:pt idx="7">
                  <c:v>638249</c:v>
                </c:pt>
                <c:pt idx="8">
                  <c:v>743843</c:v>
                </c:pt>
                <c:pt idx="9">
                  <c:v>881710</c:v>
                </c:pt>
                <c:pt idx="10">
                  <c:v>660575</c:v>
                </c:pt>
              </c:numCache>
            </c:numRef>
          </c:val>
          <c:smooth val="0"/>
          <c:extLst>
            <c:ext xmlns:c16="http://schemas.microsoft.com/office/drawing/2014/chart" uri="{C3380CC4-5D6E-409C-BE32-E72D297353CC}">
              <c16:uniqueId val="{00000000-CF25-46EA-BC49-61D8DCC64AD1}"/>
            </c:ext>
          </c:extLst>
        </c:ser>
        <c:dLbls>
          <c:showLegendKey val="0"/>
          <c:showVal val="0"/>
          <c:showCatName val="0"/>
          <c:showSerName val="0"/>
          <c:showPercent val="0"/>
          <c:showBubbleSize val="0"/>
        </c:dLbls>
        <c:smooth val="0"/>
        <c:axId val="848043336"/>
        <c:axId val="848047272"/>
      </c:lineChart>
      <c:catAx>
        <c:axId val="84804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47272"/>
        <c:crosses val="autoZero"/>
        <c:auto val="1"/>
        <c:lblAlgn val="ctr"/>
        <c:lblOffset val="100"/>
        <c:noMultiLvlLbl val="0"/>
      </c:catAx>
      <c:valAx>
        <c:axId val="8480472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433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Expenditures by Fund</a:t>
            </a:r>
            <a:r>
              <a:rPr lang="en-US" baseline="0"/>
              <a:t> Type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'All Depts'!$A$59</c:f>
              <c:strCache>
                <c:ptCount val="1"/>
                <c:pt idx="0">
                  <c:v>General Fund</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'All Depts'!$B$57:$S$57</c15:sqref>
                  </c15:fullRef>
                </c:ext>
              </c:extLst>
              <c:f>('All Depts'!$B$57:$L$57,'All Depts'!$Q$57:$S$57)</c:f>
              <c:strCache>
                <c:ptCount val="1"/>
                <c:pt idx="0">
                  <c:v>***Reconciles to Fund Summaries</c:v>
                </c:pt>
              </c:strCache>
            </c:strRef>
          </c:cat>
          <c:val>
            <c:numRef>
              <c:extLst>
                <c:ext xmlns:c15="http://schemas.microsoft.com/office/drawing/2012/chart" uri="{02D57815-91ED-43cb-92C2-25804820EDAC}">
                  <c15:fullRef>
                    <c15:sqref>'All Depts'!$B$59:$S$59</c15:sqref>
                  </c15:fullRef>
                </c:ext>
              </c:extLst>
              <c:f>('All Depts'!$B$59:$L$59,'All Depts'!$Q$59:$S$59)</c:f>
              <c:numCache>
                <c:formatCode>_("$"* #,##0_);_("$"* \(#,##0\);_("$"* "-"??_);_(@_)</c:formatCode>
                <c:ptCount val="11"/>
                <c:pt idx="0">
                  <c:v>49642584</c:v>
                </c:pt>
                <c:pt idx="1">
                  <c:v>49664459</c:v>
                </c:pt>
                <c:pt idx="2">
                  <c:v>54223658</c:v>
                </c:pt>
                <c:pt idx="3">
                  <c:v>46873286</c:v>
                </c:pt>
                <c:pt idx="4">
                  <c:v>51440407</c:v>
                </c:pt>
                <c:pt idx="5">
                  <c:v>61511424</c:v>
                </c:pt>
                <c:pt idx="6">
                  <c:v>60468531</c:v>
                </c:pt>
                <c:pt idx="7">
                  <c:v>62360855</c:v>
                </c:pt>
                <c:pt idx="8">
                  <c:v>103990136</c:v>
                </c:pt>
                <c:pt idx="9">
                  <c:v>128815229</c:v>
                </c:pt>
                <c:pt idx="10">
                  <c:v>102049572</c:v>
                </c:pt>
              </c:numCache>
            </c:numRef>
          </c:val>
          <c:smooth val="0"/>
          <c:extLst>
            <c:ext xmlns:c16="http://schemas.microsoft.com/office/drawing/2014/chart" uri="{C3380CC4-5D6E-409C-BE32-E72D297353CC}">
              <c16:uniqueId val="{00000000-4310-40E6-9663-066EBCA3ECF6}"/>
            </c:ext>
          </c:extLst>
        </c:ser>
        <c:ser>
          <c:idx val="2"/>
          <c:order val="2"/>
          <c:tx>
            <c:strRef>
              <c:f>'All Depts'!$A$60</c:f>
              <c:strCache>
                <c:ptCount val="1"/>
                <c:pt idx="0">
                  <c:v>Internal Service Funds</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'All Depts'!$B$57:$S$57</c15:sqref>
                  </c15:fullRef>
                </c:ext>
              </c:extLst>
              <c:f>('All Depts'!$B$57:$L$57,'All Depts'!$Q$57:$S$57)</c:f>
              <c:strCache>
                <c:ptCount val="1"/>
                <c:pt idx="0">
                  <c:v>***Reconciles to Fund Summaries</c:v>
                </c:pt>
              </c:strCache>
            </c:strRef>
          </c:cat>
          <c:val>
            <c:numRef>
              <c:extLst>
                <c:ext xmlns:c15="http://schemas.microsoft.com/office/drawing/2012/chart" uri="{02D57815-91ED-43cb-92C2-25804820EDAC}">
                  <c15:fullRef>
                    <c15:sqref>'All Depts'!$B$60:$S$60</c15:sqref>
                  </c15:fullRef>
                </c:ext>
              </c:extLst>
              <c:f>('All Depts'!$B$60:$L$60,'All Depts'!$Q$60:$S$60)</c:f>
              <c:numCache>
                <c:formatCode>_("$"* #,##0_);_("$"* \(#,##0\);_("$"* "-"??_);_(@_)</c:formatCode>
                <c:ptCount val="11"/>
                <c:pt idx="0">
                  <c:v>16078251</c:v>
                </c:pt>
                <c:pt idx="1">
                  <c:v>15326837</c:v>
                </c:pt>
                <c:pt idx="2">
                  <c:v>15939646</c:v>
                </c:pt>
                <c:pt idx="3">
                  <c:v>14646690</c:v>
                </c:pt>
                <c:pt idx="4">
                  <c:v>17533239</c:v>
                </c:pt>
                <c:pt idx="5">
                  <c:v>21537660</c:v>
                </c:pt>
                <c:pt idx="6">
                  <c:v>22752692</c:v>
                </c:pt>
                <c:pt idx="7">
                  <c:v>20668703</c:v>
                </c:pt>
                <c:pt idx="8">
                  <c:v>23000265</c:v>
                </c:pt>
                <c:pt idx="9">
                  <c:v>27019005</c:v>
                </c:pt>
                <c:pt idx="10">
                  <c:v>27953300</c:v>
                </c:pt>
              </c:numCache>
            </c:numRef>
          </c:val>
          <c:smooth val="0"/>
          <c:extLst>
            <c:ext xmlns:c16="http://schemas.microsoft.com/office/drawing/2014/chart" uri="{C3380CC4-5D6E-409C-BE32-E72D297353CC}">
              <c16:uniqueId val="{00000001-4310-40E6-9663-066EBCA3ECF6}"/>
            </c:ext>
          </c:extLst>
        </c:ser>
        <c:ser>
          <c:idx val="3"/>
          <c:order val="3"/>
          <c:tx>
            <c:strRef>
              <c:f>'All Depts'!$A$61</c:f>
              <c:strCache>
                <c:ptCount val="1"/>
                <c:pt idx="0">
                  <c:v>Enterprise Funds (Excluding Water &amp; Power</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'All Depts'!$B$57:$S$57</c15:sqref>
                  </c15:fullRef>
                </c:ext>
              </c:extLst>
              <c:f>('All Depts'!$B$57:$L$57,'All Depts'!$Q$57:$S$57)</c:f>
              <c:strCache>
                <c:ptCount val="1"/>
                <c:pt idx="0">
                  <c:v>***Reconciles to Fund Summaries</c:v>
                </c:pt>
              </c:strCache>
            </c:strRef>
          </c:cat>
          <c:val>
            <c:numRef>
              <c:extLst>
                <c:ext xmlns:c15="http://schemas.microsoft.com/office/drawing/2012/chart" uri="{02D57815-91ED-43cb-92C2-25804820EDAC}">
                  <c15:fullRef>
                    <c15:sqref>'All Depts'!$B$61:$S$61</c15:sqref>
                  </c15:fullRef>
                </c:ext>
              </c:extLst>
              <c:f>('All Depts'!$B$61:$L$61,'All Depts'!$Q$61:$S$61)</c:f>
              <c:numCache>
                <c:formatCode>_("$"* #,##0_);_("$"* \(#,##0\);_("$"* "-"??_);_(@_)</c:formatCode>
                <c:ptCount val="11"/>
                <c:pt idx="0">
                  <c:v>76842855</c:v>
                </c:pt>
                <c:pt idx="1">
                  <c:v>78042609</c:v>
                </c:pt>
                <c:pt idx="2">
                  <c:v>92362538</c:v>
                </c:pt>
                <c:pt idx="3">
                  <c:v>87006375</c:v>
                </c:pt>
                <c:pt idx="4">
                  <c:v>102710060</c:v>
                </c:pt>
                <c:pt idx="5">
                  <c:v>125788198</c:v>
                </c:pt>
                <c:pt idx="6">
                  <c:v>143924079</c:v>
                </c:pt>
                <c:pt idx="7">
                  <c:v>138601594</c:v>
                </c:pt>
                <c:pt idx="8">
                  <c:v>149561039</c:v>
                </c:pt>
                <c:pt idx="9">
                  <c:v>202704817</c:v>
                </c:pt>
                <c:pt idx="10">
                  <c:v>199046694</c:v>
                </c:pt>
              </c:numCache>
            </c:numRef>
          </c:val>
          <c:smooth val="0"/>
          <c:extLst>
            <c:ext xmlns:c16="http://schemas.microsoft.com/office/drawing/2014/chart" uri="{C3380CC4-5D6E-409C-BE32-E72D297353CC}">
              <c16:uniqueId val="{00000002-4310-40E6-9663-066EBCA3ECF6}"/>
            </c:ext>
          </c:extLst>
        </c:ser>
        <c:ser>
          <c:idx val="4"/>
          <c:order val="4"/>
          <c:tx>
            <c:strRef>
              <c:f>'All Depts'!$A$62</c:f>
              <c:strCache>
                <c:ptCount val="1"/>
                <c:pt idx="0">
                  <c:v>Special Revenue Funds - Includes CEF Funds</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'All Depts'!$B$57:$S$57</c15:sqref>
                  </c15:fullRef>
                </c:ext>
              </c:extLst>
              <c:f>('All Depts'!$B$57:$L$57,'All Depts'!$Q$57:$S$57)</c:f>
              <c:strCache>
                <c:ptCount val="1"/>
                <c:pt idx="0">
                  <c:v>***Reconciles to Fund Summaries</c:v>
                </c:pt>
              </c:strCache>
            </c:strRef>
          </c:cat>
          <c:val>
            <c:numRef>
              <c:extLst>
                <c:ext xmlns:c15="http://schemas.microsoft.com/office/drawing/2012/chart" uri="{02D57815-91ED-43cb-92C2-25804820EDAC}">
                  <c15:fullRef>
                    <c15:sqref>'All Depts'!$B$62:$S$62</c15:sqref>
                  </c15:fullRef>
                </c:ext>
              </c:extLst>
              <c:f>('All Depts'!$B$62:$L$62,'All Depts'!$Q$62:$S$62)</c:f>
              <c:numCache>
                <c:formatCode>_("$"* #,##0_);_("$"* \(#,##0\);_("$"* "-"??_);_(@_)</c:formatCode>
                <c:ptCount val="11"/>
                <c:pt idx="0">
                  <c:v>8614137</c:v>
                </c:pt>
                <c:pt idx="1">
                  <c:v>9113946</c:v>
                </c:pt>
                <c:pt idx="2">
                  <c:v>15282918</c:v>
                </c:pt>
                <c:pt idx="3">
                  <c:v>15325474</c:v>
                </c:pt>
                <c:pt idx="4">
                  <c:v>18583344</c:v>
                </c:pt>
                <c:pt idx="5">
                  <c:v>22863639</c:v>
                </c:pt>
                <c:pt idx="6">
                  <c:v>31342659</c:v>
                </c:pt>
                <c:pt idx="7">
                  <c:v>29011770</c:v>
                </c:pt>
                <c:pt idx="8">
                  <c:v>33036581</c:v>
                </c:pt>
                <c:pt idx="9">
                  <c:v>81879273</c:v>
                </c:pt>
                <c:pt idx="10">
                  <c:v>49993877</c:v>
                </c:pt>
              </c:numCache>
            </c:numRef>
          </c:val>
          <c:smooth val="0"/>
          <c:extLst>
            <c:ext xmlns:c16="http://schemas.microsoft.com/office/drawing/2014/chart" uri="{C3380CC4-5D6E-409C-BE32-E72D297353CC}">
              <c16:uniqueId val="{00000003-4310-40E6-9663-066EBCA3ECF6}"/>
            </c:ext>
          </c:extLst>
        </c:ser>
        <c:ser>
          <c:idx val="5"/>
          <c:order val="5"/>
          <c:tx>
            <c:strRef>
              <c:f>'All Depts'!$A$63</c:f>
              <c:strCache>
                <c:ptCount val="1"/>
                <c:pt idx="0">
                  <c:v>Non Dept &amp; Other Entities Funds</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'All Depts'!$B$57:$S$57</c15:sqref>
                  </c15:fullRef>
                </c:ext>
              </c:extLst>
              <c:f>('All Depts'!$B$57:$L$57,'All Depts'!$Q$57:$S$57)</c:f>
              <c:strCache>
                <c:ptCount val="1"/>
                <c:pt idx="0">
                  <c:v>***Reconciles to Fund Summaries</c:v>
                </c:pt>
              </c:strCache>
            </c:strRef>
          </c:cat>
          <c:val>
            <c:numRef>
              <c:extLst>
                <c:ext xmlns:c15="http://schemas.microsoft.com/office/drawing/2012/chart" uri="{02D57815-91ED-43cb-92C2-25804820EDAC}">
                  <c15:fullRef>
                    <c15:sqref>'All Depts'!$B$63:$S$63</c15:sqref>
                  </c15:fullRef>
                </c:ext>
              </c:extLst>
              <c:f>('All Depts'!$B$63:$L$63,'All Depts'!$Q$63:$S$63)</c:f>
              <c:numCache>
                <c:formatCode>_("$"* #,##0_);_("$"* \(#,##0\);_("$"* "-"??_);_(@_)</c:formatCode>
                <c:ptCount val="11"/>
                <c:pt idx="0">
                  <c:v>0</c:v>
                </c:pt>
                <c:pt idx="1">
                  <c:v>0</c:v>
                </c:pt>
                <c:pt idx="2">
                  <c:v>0</c:v>
                </c:pt>
                <c:pt idx="3">
                  <c:v>0</c:v>
                </c:pt>
                <c:pt idx="4">
                  <c:v>0</c:v>
                </c:pt>
                <c:pt idx="5">
                  <c:v>0</c:v>
                </c:pt>
                <c:pt idx="6">
                  <c:v>0</c:v>
                </c:pt>
                <c:pt idx="7">
                  <c:v>3538650</c:v>
                </c:pt>
                <c:pt idx="8">
                  <c:v>32748950</c:v>
                </c:pt>
                <c:pt idx="9">
                  <c:v>47808333</c:v>
                </c:pt>
                <c:pt idx="10">
                  <c:v>6180557</c:v>
                </c:pt>
              </c:numCache>
            </c:numRef>
          </c:val>
          <c:smooth val="0"/>
          <c:extLst>
            <c:ext xmlns:c16="http://schemas.microsoft.com/office/drawing/2014/chart" uri="{C3380CC4-5D6E-409C-BE32-E72D297353CC}">
              <c16:uniqueId val="{00000004-4310-40E6-9663-066EBCA3ECF6}"/>
            </c:ext>
          </c:extLst>
        </c:ser>
        <c:ser>
          <c:idx val="6"/>
          <c:order val="6"/>
          <c:tx>
            <c:strRef>
              <c:f>'All Depts'!$A$64</c:f>
              <c:strCache>
                <c:ptCount val="1"/>
                <c:pt idx="0">
                  <c:v>Total City Budget Expenses</c:v>
                </c:pt>
              </c:strCache>
            </c:strRef>
          </c:tx>
          <c:spPr>
            <a:ln w="28575" cap="rnd">
              <a:solidFill>
                <a:schemeClr val="accent1">
                  <a:lumMod val="60000"/>
                </a:schemeClr>
              </a:solidFill>
              <a:round/>
            </a:ln>
            <a:effectLst/>
          </c:spPr>
          <c:marker>
            <c:symbol val="none"/>
          </c:marker>
          <c:cat>
            <c:strRef>
              <c:extLst>
                <c:ext xmlns:c15="http://schemas.microsoft.com/office/drawing/2012/chart" uri="{02D57815-91ED-43cb-92C2-25804820EDAC}">
                  <c15:fullRef>
                    <c15:sqref>'All Depts'!$B$57:$S$57</c15:sqref>
                  </c15:fullRef>
                </c:ext>
              </c:extLst>
              <c:f>('All Depts'!$B$57:$L$57,'All Depts'!$Q$57:$S$57)</c:f>
              <c:strCache>
                <c:ptCount val="1"/>
                <c:pt idx="0">
                  <c:v>***Reconciles to Fund Summaries</c:v>
                </c:pt>
              </c:strCache>
            </c:strRef>
          </c:cat>
          <c:val>
            <c:numRef>
              <c:extLst>
                <c:ext xmlns:c15="http://schemas.microsoft.com/office/drawing/2012/chart" uri="{02D57815-91ED-43cb-92C2-25804820EDAC}">
                  <c15:fullRef>
                    <c15:sqref>'All Depts'!$B$64:$S$64</c15:sqref>
                  </c15:fullRef>
                </c:ext>
              </c:extLst>
              <c:f>('All Depts'!$B$64:$L$64,'All Depts'!$Q$64:$S$64)</c:f>
              <c:numCache>
                <c:formatCode>_("$"* #,##0_);_("$"* \(#,##0\);_("$"* "-"??_);_(@_)</c:formatCode>
                <c:ptCount val="11"/>
                <c:pt idx="0">
                  <c:v>151177827</c:v>
                </c:pt>
                <c:pt idx="1">
                  <c:v>152147851</c:v>
                </c:pt>
                <c:pt idx="2">
                  <c:v>177808760</c:v>
                </c:pt>
                <c:pt idx="3">
                  <c:v>163851825</c:v>
                </c:pt>
                <c:pt idx="4">
                  <c:v>190267050</c:v>
                </c:pt>
                <c:pt idx="5">
                  <c:v>231700921</c:v>
                </c:pt>
                <c:pt idx="6">
                  <c:v>258487961</c:v>
                </c:pt>
                <c:pt idx="7">
                  <c:v>254181572</c:v>
                </c:pt>
                <c:pt idx="8">
                  <c:v>342336971</c:v>
                </c:pt>
                <c:pt idx="9">
                  <c:v>488226657</c:v>
                </c:pt>
                <c:pt idx="10">
                  <c:v>385224000</c:v>
                </c:pt>
              </c:numCache>
            </c:numRef>
          </c:val>
          <c:smooth val="0"/>
          <c:extLst>
            <c:ext xmlns:c16="http://schemas.microsoft.com/office/drawing/2014/chart" uri="{C3380CC4-5D6E-409C-BE32-E72D297353CC}">
              <c16:uniqueId val="{00000005-4310-40E6-9663-066EBCA3ECF6}"/>
            </c:ext>
          </c:extLst>
        </c:ser>
        <c:dLbls>
          <c:showLegendKey val="0"/>
          <c:showVal val="0"/>
          <c:showCatName val="0"/>
          <c:showSerName val="0"/>
          <c:showPercent val="0"/>
          <c:showBubbleSize val="0"/>
        </c:dLbls>
        <c:smooth val="0"/>
        <c:axId val="790069808"/>
        <c:axId val="790061936"/>
        <c:extLst>
          <c:ext xmlns:c15="http://schemas.microsoft.com/office/drawing/2012/chart" uri="{02D57815-91ED-43cb-92C2-25804820EDAC}">
            <c15:filteredLineSeries>
              <c15:ser>
                <c:idx val="0"/>
                <c:order val="0"/>
                <c:tx>
                  <c:strRef>
                    <c:extLst>
                      <c:ext uri="{02D57815-91ED-43cb-92C2-25804820EDAC}">
                        <c15:formulaRef>
                          <c15:sqref>'All Depts'!$A$57</c15:sqref>
                        </c15:formulaRef>
                      </c:ext>
                    </c:extLst>
                    <c:strCache>
                      <c:ptCount val="1"/>
                      <c:pt idx="0">
                        <c:v>Expenditures - From Dept Tabs</c:v>
                      </c:pt>
                    </c:strCache>
                  </c:strRef>
                </c:tx>
                <c:spPr>
                  <a:ln w="28575" cap="rnd">
                    <a:solidFill>
                      <a:schemeClr val="accent1"/>
                    </a:solidFill>
                    <a:round/>
                  </a:ln>
                  <a:effectLst/>
                </c:spPr>
                <c:marker>
                  <c:symbol val="none"/>
                </c:marker>
                <c:cat>
                  <c:strRef>
                    <c:extLst>
                      <c:ext uri="{02D57815-91ED-43cb-92C2-25804820EDAC}">
                        <c15:fullRef>
                          <c15:sqref>'All Depts'!$B$57:$S$57</c15:sqref>
                        </c15:fullRef>
                        <c15:formulaRef>
                          <c15:sqref>('All Depts'!$B$57:$L$57,'All Depts'!$Q$57:$S$57)</c15:sqref>
                        </c15:formulaRef>
                      </c:ext>
                    </c:extLst>
                    <c:strCache>
                      <c:ptCount val="1"/>
                      <c:pt idx="0">
                        <c:v>***Reconciles to Fund Summaries</c:v>
                      </c:pt>
                    </c:strCache>
                  </c:strRef>
                </c:cat>
                <c:val>
                  <c:numRef>
                    <c:extLst>
                      <c:ext uri="{02D57815-91ED-43cb-92C2-25804820EDAC}">
                        <c15:fullRef>
                          <c15:sqref>'All Depts'!$B$57:$S$57</c15:sqref>
                        </c15:fullRef>
                        <c15:formulaRef>
                          <c15:sqref>('All Depts'!$B$57:$L$57,'All Depts'!$Q$57:$S$57)</c15:sqref>
                        </c15:formulaRef>
                      </c:ext>
                    </c:extLst>
                    <c:numCache>
                      <c:formatCode>General</c:formatCode>
                      <c:ptCount val="11"/>
                      <c:pt idx="0">
                        <c:v>0</c:v>
                      </c:pt>
                    </c:numCache>
                  </c:numRef>
                </c:val>
                <c:smooth val="0"/>
                <c:extLst>
                  <c:ext xmlns:c16="http://schemas.microsoft.com/office/drawing/2014/chart" uri="{C3380CC4-5D6E-409C-BE32-E72D297353CC}">
                    <c16:uniqueId val="{00000006-4310-40E6-9663-066EBCA3ECF6}"/>
                  </c:ext>
                </c:extLst>
              </c15:ser>
            </c15:filteredLineSeries>
          </c:ext>
        </c:extLst>
      </c:lineChart>
      <c:catAx>
        <c:axId val="790069808"/>
        <c:scaling>
          <c:orientation val="minMax"/>
        </c:scaling>
        <c:delete val="1"/>
        <c:axPos val="b"/>
        <c:numFmt formatCode="General" sourceLinked="1"/>
        <c:majorTickMark val="none"/>
        <c:minorTickMark val="none"/>
        <c:tickLblPos val="nextTo"/>
        <c:crossAx val="790061936"/>
        <c:crosses val="autoZero"/>
        <c:auto val="1"/>
        <c:lblAlgn val="ctr"/>
        <c:lblOffset val="100"/>
        <c:noMultiLvlLbl val="0"/>
      </c:catAx>
      <c:valAx>
        <c:axId val="7900619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069808"/>
        <c:crosses val="autoZero"/>
        <c:crossBetween val="between"/>
      </c:valAx>
      <c:spPr>
        <a:noFill/>
        <a:ln>
          <a:noFill/>
        </a:ln>
        <a:effectLst/>
      </c:spPr>
    </c:plotArea>
    <c:legend>
      <c:legendPos val="b"/>
      <c:layout>
        <c:manualLayout>
          <c:xMode val="edge"/>
          <c:yMode val="edge"/>
          <c:x val="0.17410212169693928"/>
          <c:y val="0.8238625626342162"/>
          <c:w val="0.65533700717689169"/>
          <c:h val="0.148864710093056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'Municipal Court only'!$A$26</c:f>
              <c:strCache>
                <c:ptCount val="1"/>
                <c:pt idx="0">
                  <c:v>Expenditures per Capita</c:v>
                </c:pt>
              </c:strCache>
            </c:strRef>
          </c:tx>
          <c:spPr>
            <a:ln w="28575" cap="rnd">
              <a:solidFill>
                <a:schemeClr val="tx1"/>
              </a:solidFill>
              <a:round/>
            </a:ln>
            <a:effectLst/>
          </c:spPr>
          <c:marker>
            <c:symbol val="none"/>
          </c:marker>
          <c:cat>
            <c:numRef>
              <c:f>'Municipal Court only'!$B$25:$L$25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'Municipal Court only'!$B$26:$L$26</c:f>
              <c:numCache>
                <c:formatCode>_("$"* #,##0.00_);_("$"* \(#,##0.00\);_("$"* "-"??_);_(@_)</c:formatCode>
                <c:ptCount val="11"/>
                <c:pt idx="0">
                  <c:v>5.656502327348722</c:v>
                </c:pt>
                <c:pt idx="1">
                  <c:v>5.0064066605650854</c:v>
                </c:pt>
                <c:pt idx="2">
                  <c:v>5.1879408385567398</c:v>
                </c:pt>
                <c:pt idx="3">
                  <c:v>5.1276445393057495</c:v>
                </c:pt>
                <c:pt idx="4">
                  <c:v>5.6620292738382831</c:v>
                </c:pt>
                <c:pt idx="5">
                  <c:v>8.0677348050741262</c:v>
                </c:pt>
                <c:pt idx="6">
                  <c:v>8.4392399891037861</c:v>
                </c:pt>
                <c:pt idx="7">
                  <c:v>8.5803454997647375</c:v>
                </c:pt>
                <c:pt idx="8">
                  <c:v>9.8080564345991554</c:v>
                </c:pt>
                <c:pt idx="9">
                  <c:v>11.411948952913463</c:v>
                </c:pt>
                <c:pt idx="10">
                  <c:v>8.3638262851354774</c:v>
                </c:pt>
              </c:numCache>
            </c:numRef>
          </c:val>
          <c:smooth val="0"/>
          <c:extLst>
            <c:ext xmlns:c16="http://schemas.microsoft.com/office/drawing/2014/chart" uri="{C3380CC4-5D6E-409C-BE32-E72D297353CC}">
              <c16:uniqueId val="{00000000-F39C-4FB5-9AAB-E100CD511FF7}"/>
            </c:ext>
          </c:extLst>
        </c:ser>
        <c:dLbls>
          <c:showLegendKey val="0"/>
          <c:showVal val="0"/>
          <c:showCatName val="0"/>
          <c:showSerName val="0"/>
          <c:showPercent val="0"/>
          <c:showBubbleSize val="0"/>
        </c:dLbls>
        <c:smooth val="0"/>
        <c:axId val="854359328"/>
        <c:axId val="854361624"/>
      </c:lineChart>
      <c:catAx>
        <c:axId val="85435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4361624"/>
        <c:crosses val="autoZero"/>
        <c:auto val="1"/>
        <c:lblAlgn val="ctr"/>
        <c:lblOffset val="100"/>
        <c:noMultiLvlLbl val="0"/>
      </c:catAx>
      <c:valAx>
        <c:axId val="8543616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4359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'Municipal Court only'!$A$29</c:f>
              <c:strCache>
                <c:ptCount val="1"/>
                <c:pt idx="0">
                  <c:v>Expenditures per FTE</c:v>
                </c:pt>
              </c:strCache>
            </c:strRef>
          </c:tx>
          <c:spPr>
            <a:ln w="28575" cap="rnd">
              <a:solidFill>
                <a:schemeClr val="tx1"/>
              </a:solidFill>
              <a:round/>
            </a:ln>
            <a:effectLst/>
          </c:spPr>
          <c:marker>
            <c:symbol val="none"/>
          </c:marker>
          <c:cat>
            <c:numRef>
              <c:f>'Municipal Court only'!$B$28:$L$28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'Municipal Court only'!$B$29:$L$29</c:f>
              <c:numCache>
                <c:formatCode>_("$"* #,##0_);_("$"* \(#,##0\);_("$"* "-"??_);_(@_)</c:formatCode>
                <c:ptCount val="11"/>
                <c:pt idx="0">
                  <c:v>89319</c:v>
                </c:pt>
                <c:pt idx="1">
                  <c:v>90438.399999999994</c:v>
                </c:pt>
                <c:pt idx="2">
                  <c:v>89182</c:v>
                </c:pt>
                <c:pt idx="3">
                  <c:v>88889</c:v>
                </c:pt>
                <c:pt idx="4">
                  <c:v>99609.25</c:v>
                </c:pt>
                <c:pt idx="5">
                  <c:v>143256.75</c:v>
                </c:pt>
                <c:pt idx="6">
                  <c:v>134697.60869565219</c:v>
                </c:pt>
                <c:pt idx="7">
                  <c:v>127649.8</c:v>
                </c:pt>
                <c:pt idx="8">
                  <c:v>148768.6</c:v>
                </c:pt>
                <c:pt idx="9">
                  <c:v>146951.66666666666</c:v>
                </c:pt>
                <c:pt idx="10">
                  <c:v>110095.83333333333</c:v>
                </c:pt>
              </c:numCache>
            </c:numRef>
          </c:val>
          <c:smooth val="0"/>
          <c:extLst>
            <c:ext xmlns:c16="http://schemas.microsoft.com/office/drawing/2014/chart" uri="{C3380CC4-5D6E-409C-BE32-E72D297353CC}">
              <c16:uniqueId val="{00000000-A24B-4E1D-B0EA-2EB0C87AE80C}"/>
            </c:ext>
          </c:extLst>
        </c:ser>
        <c:dLbls>
          <c:showLegendKey val="0"/>
          <c:showVal val="0"/>
          <c:showCatName val="0"/>
          <c:showSerName val="0"/>
          <c:showPercent val="0"/>
          <c:showBubbleSize val="0"/>
        </c:dLbls>
        <c:smooth val="0"/>
        <c:axId val="829656928"/>
        <c:axId val="829657256"/>
      </c:lineChart>
      <c:catAx>
        <c:axId val="82965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9657256"/>
        <c:crosses val="autoZero"/>
        <c:auto val="1"/>
        <c:lblAlgn val="ctr"/>
        <c:lblOffset val="100"/>
        <c:noMultiLvlLbl val="0"/>
      </c:catAx>
      <c:valAx>
        <c:axId val="8296572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9656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Clerk Revenue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30988798813945"/>
          <c:y val="0.17373333333333335"/>
          <c:w val="0.84479629701459735"/>
          <c:h val="0.63038495188101484"/>
        </c:manualLayout>
      </c:layout>
      <c:lineChart>
        <c:grouping val="standard"/>
        <c:varyColors val="0"/>
        <c:ser>
          <c:idx val="1"/>
          <c:order val="1"/>
          <c:tx>
            <c:strRef>
              <c:f>CClerk!$A$6</c:f>
              <c:strCache>
                <c:ptCount val="1"/>
                <c:pt idx="0">
                  <c:v>General Fund</c:v>
                </c:pt>
              </c:strCache>
              <c:extLst xmlns:c15="http://schemas.microsoft.com/office/drawing/2012/chart"/>
            </c:strRef>
          </c:tx>
          <c:spPr>
            <a:ln w="28575" cap="rnd">
              <a:solidFill>
                <a:srgbClr val="FF0000"/>
              </a:solidFill>
              <a:round/>
            </a:ln>
            <a:effectLst/>
          </c:spPr>
          <c:marker>
            <c:symbol val="none"/>
          </c:marker>
          <c:cat>
            <c:numRef>
              <c:f>CClerk!$D$5:$L$5</c:f>
              <c:numCache>
                <c:formatCode>General</c:formatCode>
                <c:ptCount val="9"/>
                <c:pt idx="0">
                  <c:v>2011</c:v>
                </c:pt>
                <c:pt idx="1">
                  <c:v>2012</c:v>
                </c:pt>
                <c:pt idx="2">
                  <c:v>2013</c:v>
                </c:pt>
                <c:pt idx="3">
                  <c:v>2014</c:v>
                </c:pt>
                <c:pt idx="4">
                  <c:v>2015</c:v>
                </c:pt>
                <c:pt idx="5">
                  <c:v>2016</c:v>
                </c:pt>
                <c:pt idx="6">
                  <c:v>2017</c:v>
                </c:pt>
                <c:pt idx="7">
                  <c:v>2018</c:v>
                </c:pt>
                <c:pt idx="8">
                  <c:v>2019</c:v>
                </c:pt>
              </c:numCache>
              <c:extLst xmlns:c15="http://schemas.microsoft.com/office/drawing/2012/chart"/>
            </c:numRef>
          </c:cat>
          <c:val>
            <c:numRef>
              <c:f>CClerk!$D$6:$L$6</c:f>
              <c:numCache>
                <c:formatCode>_("$"* #,##0_);_("$"* \(#,##0\);_("$"* "-"??_);_(@_)</c:formatCode>
                <c:ptCount val="9"/>
                <c:pt idx="0">
                  <c:v>438062</c:v>
                </c:pt>
                <c:pt idx="1">
                  <c:v>441233</c:v>
                </c:pt>
                <c:pt idx="2">
                  <c:v>454431</c:v>
                </c:pt>
                <c:pt idx="3">
                  <c:v>599214</c:v>
                </c:pt>
                <c:pt idx="4">
                  <c:v>585051</c:v>
                </c:pt>
                <c:pt idx="5">
                  <c:v>586611</c:v>
                </c:pt>
                <c:pt idx="6">
                  <c:v>272128</c:v>
                </c:pt>
                <c:pt idx="7">
                  <c:v>520348</c:v>
                </c:pt>
                <c:pt idx="8">
                  <c:v>151000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5775-43F4-A85A-6F4A6C61F623}"/>
            </c:ext>
          </c:extLst>
        </c:ser>
        <c:dLbls>
          <c:showLegendKey val="0"/>
          <c:showVal val="0"/>
          <c:showCatName val="0"/>
          <c:showSerName val="0"/>
          <c:showPercent val="0"/>
          <c:showBubbleSize val="0"/>
        </c:dLbls>
        <c:smooth val="0"/>
        <c:axId val="607690872"/>
        <c:axId val="607692184"/>
        <c:extLst>
          <c:ext xmlns:c15="http://schemas.microsoft.com/office/drawing/2012/chart" uri="{02D57815-91ED-43cb-92C2-25804820EDAC}">
            <c15:filteredLineSeries>
              <c15:ser>
                <c:idx val="0"/>
                <c:order val="0"/>
                <c:tx>
                  <c:strRef>
                    <c:extLst>
                      <c:ext uri="{02D57815-91ED-43cb-92C2-25804820EDAC}">
                        <c15:formulaRef>
                          <c15:sqref>CClerk!$A$5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CClerk!$D$5:$L$5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c:ext uri="{02D57815-91ED-43cb-92C2-25804820EDAC}">
                        <c15:formulaRef>
                          <c15:sqref>CClerk!#REF!</c15:sqref>
                        </c15:formulaRef>
                      </c:ext>
                    </c:extLst>
                  </c:numRef>
                </c:val>
                <c:smooth val="0"/>
                <c:extLst>
                  <c:ext xmlns:c16="http://schemas.microsoft.com/office/drawing/2014/chart" uri="{C3380CC4-5D6E-409C-BE32-E72D297353CC}">
                    <c16:uniqueId val="{00000001-5775-43F4-A85A-6F4A6C61F62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CClerk!$A$7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CClerk!$D$5:$L$5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xmlns:c15="http://schemas.microsoft.com/office/drawing/2012/chart">
                      <c:ext xmlns:c15="http://schemas.microsoft.com/office/drawing/2012/chart" uri="{02D57815-91ED-43cb-92C2-25804820EDAC}">
                        <c15:formulaRef>
                          <c15:sqref>CClerk!$D$7:$L$7</c15:sqref>
                        </c15:formulaRef>
                      </c:ext>
                    </c:extLst>
                    <c:numCache>
                      <c:formatCode>_("$"* #,##0_);_("$"* \(#,##0\);_("$"* "-"??_);_(@_)</c:formatCode>
                      <c:ptCount val="9"/>
                      <c:pt idx="0">
                        <c:v>0</c:v>
                      </c:pt>
                      <c:pt idx="1">
                        <c:v>0</c:v>
                      </c:pt>
                      <c:pt idx="2">
                        <c:v>0</c:v>
                      </c:pt>
                      <c:pt idx="3">
                        <c:v>0</c:v>
                      </c:pt>
                      <c:pt idx="4">
                        <c:v>0</c:v>
                      </c:pt>
                      <c:pt idx="5">
                        <c:v>0</c:v>
                      </c:pt>
                      <c:pt idx="6">
                        <c:v>0</c:v>
                      </c:pt>
                      <c:pt idx="7">
                        <c:v>0</c:v>
                      </c:pt>
                      <c:pt idx="8">
                        <c:v>0</c:v>
                      </c:pt>
                    </c:numCache>
                  </c:numRef>
                </c:val>
                <c:smooth val="0"/>
                <c:extLst xmlns:c15="http://schemas.microsoft.com/office/drawing/2012/chart">
                  <c:ext xmlns:c16="http://schemas.microsoft.com/office/drawing/2014/chart" uri="{C3380CC4-5D6E-409C-BE32-E72D297353CC}">
                    <c16:uniqueId val="{00000003-5775-43F4-A85A-6F4A6C61F62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CClerk!$A$8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xmlns:c15="http://schemas.microsoft.com/office/drawing/2012/chart">
                      <c:ext xmlns:c15="http://schemas.microsoft.com/office/drawing/2012/chart" uri="{02D57815-91ED-43cb-92C2-25804820EDAC}">
                        <c15:formulaRef>
                          <c15:sqref>CClerk!$D$8:$L$8</c15:sqref>
                        </c15:formulaRef>
                      </c:ext>
                    </c:extLst>
                    <c:numCache>
                      <c:formatCode>_("$"* #,##0_);_("$"* \(#,##0\);_("$"* "-"??_);_(@_)</c:formatCode>
                      <c:ptCount val="9"/>
                      <c:pt idx="0">
                        <c:v>0</c:v>
                      </c:pt>
                      <c:pt idx="1">
                        <c:v>0</c:v>
                      </c:pt>
                      <c:pt idx="2">
                        <c:v>0</c:v>
                      </c:pt>
                      <c:pt idx="3">
                        <c:v>0</c:v>
                      </c:pt>
                      <c:pt idx="4">
                        <c:v>0</c:v>
                      </c:pt>
                      <c:pt idx="5">
                        <c:v>0</c:v>
                      </c:pt>
                      <c:pt idx="6">
                        <c:v>0</c:v>
                      </c:pt>
                      <c:pt idx="7">
                        <c:v>0</c:v>
                      </c:pt>
                      <c:pt idx="8">
                        <c:v>0</c:v>
                      </c:pt>
                    </c:numCache>
                  </c:numRef>
                </c:val>
                <c:smooth val="0"/>
                <c:extLst xmlns:c15="http://schemas.microsoft.com/office/drawing/2012/chart">
                  <c:ext xmlns:c16="http://schemas.microsoft.com/office/drawing/2014/chart" uri="{C3380CC4-5D6E-409C-BE32-E72D297353CC}">
                    <c16:uniqueId val="{00000004-5775-43F4-A85A-6F4A6C61F623}"/>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CClerk!$A$9</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CClerk!$D$5:$L$5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xmlns:c15="http://schemas.microsoft.com/office/drawing/2012/chart">
                      <c:ext xmlns:c15="http://schemas.microsoft.com/office/drawing/2012/chart" uri="{02D57815-91ED-43cb-92C2-25804820EDAC}">
                        <c15:formulaRef>
                          <c15:sqref>CClerk!$D$9:$L$9</c15:sqref>
                        </c15:formulaRef>
                      </c:ext>
                    </c:extLst>
                    <c:numCache>
                      <c:formatCode>_("$"* #,##0_);_("$"* \(#,##0\);_("$"* "-"??_);_(@_)</c:formatCode>
                      <c:ptCount val="9"/>
                      <c:pt idx="0">
                        <c:v>0</c:v>
                      </c:pt>
                      <c:pt idx="1">
                        <c:v>0</c:v>
                      </c:pt>
                      <c:pt idx="2">
                        <c:v>0</c:v>
                      </c:pt>
                      <c:pt idx="3">
                        <c:v>0</c:v>
                      </c:pt>
                      <c:pt idx="4">
                        <c:v>0</c:v>
                      </c:pt>
                      <c:pt idx="5">
                        <c:v>0</c:v>
                      </c:pt>
                      <c:pt idx="6">
                        <c:v>0</c:v>
                      </c:pt>
                      <c:pt idx="7">
                        <c:v>0</c:v>
                      </c:pt>
                      <c:pt idx="8">
                        <c:v>0</c:v>
                      </c:pt>
                    </c:numCache>
                  </c:numRef>
                </c:val>
                <c:smooth val="0"/>
                <c:extLst xmlns:c15="http://schemas.microsoft.com/office/drawing/2012/chart">
                  <c:ext xmlns:c16="http://schemas.microsoft.com/office/drawing/2014/chart" uri="{C3380CC4-5D6E-409C-BE32-E72D297353CC}">
                    <c16:uniqueId val="{00000005-5775-43F4-A85A-6F4A6C61F6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CClerk!$A$10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CClerk!$D$5:$L$5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xmlns:c15="http://schemas.microsoft.com/office/drawing/2012/chart">
                      <c:ext xmlns:c15="http://schemas.microsoft.com/office/drawing/2012/chart" uri="{02D57815-91ED-43cb-92C2-25804820EDAC}">
                        <c15:formulaRef>
                          <c15:sqref>CClerk!$D$10:$L$10</c15:sqref>
                        </c15:formulaRef>
                      </c:ext>
                    </c:extLst>
                    <c:numCache>
                      <c:formatCode>_("$"* #,##0_);_("$"* \(#,##0\);_("$"* "-"??_);_(@_)</c:formatCode>
                      <c:ptCount val="9"/>
                      <c:pt idx="0">
                        <c:v>0</c:v>
                      </c:pt>
                      <c:pt idx="1">
                        <c:v>0</c:v>
                      </c:pt>
                      <c:pt idx="2">
                        <c:v>0</c:v>
                      </c:pt>
                      <c:pt idx="3">
                        <c:v>0</c:v>
                      </c:pt>
                      <c:pt idx="4">
                        <c:v>0</c:v>
                      </c:pt>
                      <c:pt idx="5">
                        <c:v>0</c:v>
                      </c:pt>
                      <c:pt idx="6">
                        <c:v>0</c:v>
                      </c:pt>
                      <c:pt idx="7">
                        <c:v>0</c:v>
                      </c:pt>
                      <c:pt idx="8">
                        <c:v>0</c:v>
                      </c:pt>
                    </c:numCache>
                  </c:numRef>
                </c:val>
                <c:smooth val="0"/>
                <c:extLst xmlns:c15="http://schemas.microsoft.com/office/drawing/2012/chart">
                  <c:ext xmlns:c16="http://schemas.microsoft.com/office/drawing/2014/chart" uri="{C3380CC4-5D6E-409C-BE32-E72D297353CC}">
                    <c16:uniqueId val="{00000006-5775-43F4-A85A-6F4A6C61F6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CClerk!$A$11</c15:sqref>
                        </c15:formulaRef>
                      </c:ext>
                    </c:extLst>
                    <c:strCache>
                      <c:ptCount val="1"/>
                      <c:pt idx="0">
                        <c:v>Total City Budget Revenues</c:v>
                      </c:pt>
                    </c:strCache>
                  </c:strRef>
                </c:tx>
                <c:spPr>
                  <a:ln w="28575" cap="rnd">
                    <a:solidFill>
                      <a:sysClr val="windowText" lastClr="000000"/>
                    </a:solidFill>
                    <a:round/>
                  </a:ln>
                  <a:effectLst/>
                </c:spPr>
                <c:marker>
                  <c:symbol val="none"/>
                </c:marker>
                <c:cat>
                  <c:numRef>
                    <c:extLst xmlns:c15="http://schemas.microsoft.com/office/drawing/2012/chart">
                      <c:ext xmlns:c15="http://schemas.microsoft.com/office/drawing/2012/chart" uri="{02D57815-91ED-43cb-92C2-25804820EDAC}">
                        <c15:formulaRef>
                          <c15:sqref>CClerk!$D$5:$L$5</c15:sqref>
                        </c15:formulaRef>
                      </c:ext>
                    </c:extLst>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extLst xmlns:c15="http://schemas.microsoft.com/office/drawing/2012/chart">
                      <c:ext xmlns:c15="http://schemas.microsoft.com/office/drawing/2012/chart" uri="{02D57815-91ED-43cb-92C2-25804820EDAC}">
                        <c15:formulaRef>
                          <c15:sqref>CClerk!$D$11:$L$11</c15:sqref>
                        </c15:formulaRef>
                      </c:ext>
                    </c:extLst>
                    <c:numCache>
                      <c:formatCode>_("$"* #,##0_);_("$"* \(#,##0\);_("$"* "-"??_);_(@_)</c:formatCode>
                      <c:ptCount val="9"/>
                      <c:pt idx="0">
                        <c:v>438062</c:v>
                      </c:pt>
                      <c:pt idx="1">
                        <c:v>441233</c:v>
                      </c:pt>
                      <c:pt idx="2">
                        <c:v>454431</c:v>
                      </c:pt>
                      <c:pt idx="3">
                        <c:v>599214</c:v>
                      </c:pt>
                      <c:pt idx="4">
                        <c:v>585051</c:v>
                      </c:pt>
                      <c:pt idx="5">
                        <c:v>586611</c:v>
                      </c:pt>
                      <c:pt idx="6">
                        <c:v>272128</c:v>
                      </c:pt>
                      <c:pt idx="7">
                        <c:v>520348</c:v>
                      </c:pt>
                      <c:pt idx="8">
                        <c:v>151000</c:v>
                      </c:pt>
                    </c:numCache>
                  </c:numRef>
                </c:val>
                <c:smooth val="0"/>
                <c:extLst xmlns:c15="http://schemas.microsoft.com/office/drawing/2012/chart">
                  <c:ext xmlns:c16="http://schemas.microsoft.com/office/drawing/2014/chart" uri="{C3380CC4-5D6E-409C-BE32-E72D297353CC}">
                    <c16:uniqueId val="{00000000-5775-43F4-A85A-6F4A6C61F623}"/>
                  </c:ext>
                </c:extLst>
              </c15:ser>
            </c15:filteredLineSeries>
          </c:ext>
        </c:extLst>
      </c:lineChart>
      <c:catAx>
        <c:axId val="607690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2184"/>
        <c:crosses val="autoZero"/>
        <c:auto val="1"/>
        <c:lblAlgn val="ctr"/>
        <c:lblOffset val="100"/>
        <c:noMultiLvlLbl val="0"/>
      </c:catAx>
      <c:valAx>
        <c:axId val="6076921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08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Clerk Expenses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CClerk!$A$17</c:f>
              <c:strCache>
                <c:ptCount val="1"/>
                <c:pt idx="0">
                  <c:v>General Fund</c:v>
                </c:pt>
              </c:strCache>
            </c:strRef>
          </c:tx>
          <c:spPr>
            <a:ln w="28575" cap="rnd">
              <a:solidFill>
                <a:srgbClr val="FF0000"/>
              </a:solidFill>
              <a:round/>
            </a:ln>
            <a:effectLst/>
          </c:spPr>
          <c:marker>
            <c:symbol val="none"/>
          </c:marker>
          <c:cat>
            <c:numRef>
              <c:f>CClerk!$B$16:$L$16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CClerk!$B$17:$L$17</c:f>
              <c:numCache>
                <c:formatCode>_("$"* #,##0_);_("$"* \(#,##0\);_("$"* "-"??_);_(@_)</c:formatCode>
                <c:ptCount val="11"/>
                <c:pt idx="0">
                  <c:v>359189</c:v>
                </c:pt>
                <c:pt idx="1">
                  <c:v>492843</c:v>
                </c:pt>
                <c:pt idx="2">
                  <c:v>438062</c:v>
                </c:pt>
                <c:pt idx="3">
                  <c:v>441233</c:v>
                </c:pt>
                <c:pt idx="4">
                  <c:v>454431</c:v>
                </c:pt>
                <c:pt idx="5">
                  <c:v>599214</c:v>
                </c:pt>
                <c:pt idx="6">
                  <c:v>585051</c:v>
                </c:pt>
                <c:pt idx="7">
                  <c:v>586611</c:v>
                </c:pt>
                <c:pt idx="8">
                  <c:v>745450</c:v>
                </c:pt>
                <c:pt idx="9">
                  <c:v>949562</c:v>
                </c:pt>
                <c:pt idx="10">
                  <c:v>719859</c:v>
                </c:pt>
              </c:numCache>
            </c:numRef>
          </c:val>
          <c:smooth val="0"/>
          <c:extLst>
            <c:ext xmlns:c16="http://schemas.microsoft.com/office/drawing/2014/chart" uri="{C3380CC4-5D6E-409C-BE32-E72D297353CC}">
              <c16:uniqueId val="{00000001-8BCC-4A9D-8452-CE9679EFA997}"/>
            </c:ext>
          </c:extLst>
        </c:ser>
        <c:dLbls>
          <c:showLegendKey val="0"/>
          <c:showVal val="0"/>
          <c:showCatName val="0"/>
          <c:showSerName val="0"/>
          <c:showPercent val="0"/>
          <c:showBubbleSize val="0"/>
        </c:dLbls>
        <c:smooth val="0"/>
        <c:axId val="680275936"/>
        <c:axId val="680276920"/>
        <c:extLst>
          <c:ext xmlns:c15="http://schemas.microsoft.com/office/drawing/2012/chart" uri="{02D57815-91ED-43cb-92C2-25804820EDAC}">
            <c15:filteredLineSeries>
              <c15:ser>
                <c:idx val="0"/>
                <c:order val="0"/>
                <c:tx>
                  <c:strRef>
                    <c:extLst>
                      <c:ext uri="{02D57815-91ED-43cb-92C2-25804820EDAC}">
                        <c15:formulaRef>
                          <c15:sqref>CClerk!$A$16</c15:sqref>
                        </c15:formulaRef>
                      </c:ext>
                    </c:extLst>
                    <c:strCache>
                      <c:ptCount val="1"/>
                      <c:pt idx="0">
                        <c:v>Expenditures</c:v>
                      </c:pt>
                    </c:strCache>
                  </c:strRef>
                </c:tx>
                <c:spPr>
                  <a:ln w="28575" cap="rnd">
                    <a:solidFill>
                      <a:schemeClr val="accent1"/>
                    </a:solidFill>
                    <a:round/>
                  </a:ln>
                  <a:effectLst/>
                </c:spPr>
                <c:marker>
                  <c:symbol val="none"/>
                </c:marker>
                <c:cat>
                  <c:numRef>
                    <c:extLst>
                      <c:ext uri="{02D57815-91ED-43cb-92C2-25804820EDAC}">
                        <c15:formulaRef>
                          <c15:sqref>CClerk!$B$16:$L$16</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CClerk!$B$16:$L$16</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8BCC-4A9D-8452-CE9679EFA997}"/>
                  </c:ext>
                </c:extLst>
              </c15:ser>
            </c15:filteredLineSeries>
          </c:ext>
        </c:extLst>
      </c:lineChart>
      <c:catAx>
        <c:axId val="68027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276920"/>
        <c:crosses val="autoZero"/>
        <c:auto val="1"/>
        <c:lblAlgn val="ctr"/>
        <c:lblOffset val="100"/>
        <c:noMultiLvlLbl val="0"/>
      </c:catAx>
      <c:valAx>
        <c:axId val="68027692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275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CClerk!$A$26</c:f>
              <c:strCache>
                <c:ptCount val="1"/>
                <c:pt idx="0">
                  <c:v>Expenditures per Capita</c:v>
                </c:pt>
              </c:strCache>
            </c:strRef>
          </c:tx>
          <c:spPr>
            <a:ln w="28575" cap="rnd">
              <a:solidFill>
                <a:sysClr val="windowText" lastClr="000000"/>
              </a:solidFill>
              <a:round/>
            </a:ln>
            <a:effectLst/>
          </c:spPr>
          <c:marker>
            <c:symbol val="none"/>
          </c:marker>
          <c:cat>
            <c:numRef>
              <c:f>CClerk!$B$25:$L$25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CClerk!$B$26:$L$26</c:f>
              <c:numCache>
                <c:formatCode>_("$"* #,##0.00_);_("$"* \(#,##0.00\);_("$"* "-"??_);_(@_)</c:formatCode>
                <c:ptCount val="11"/>
                <c:pt idx="0">
                  <c:v>5.6867895253475194</c:v>
                </c:pt>
                <c:pt idx="1">
                  <c:v>7.2752944997195241</c:v>
                </c:pt>
                <c:pt idx="2">
                  <c:v>6.370791582437719</c:v>
                </c:pt>
                <c:pt idx="3">
                  <c:v>6.3632338731774851</c:v>
                </c:pt>
                <c:pt idx="4">
                  <c:v>6.457737672303538</c:v>
                </c:pt>
                <c:pt idx="5">
                  <c:v>8.4364255846368277</c:v>
                </c:pt>
                <c:pt idx="6">
                  <c:v>7.9685508035957504</c:v>
                </c:pt>
                <c:pt idx="7">
                  <c:v>7.8861464004839688</c:v>
                </c:pt>
                <c:pt idx="8">
                  <c:v>9.8292457805907176</c:v>
                </c:pt>
                <c:pt idx="9">
                  <c:v>12.290155574538582</c:v>
                </c:pt>
                <c:pt idx="10">
                  <c:v>9.1144466953659151</c:v>
                </c:pt>
              </c:numCache>
            </c:numRef>
          </c:val>
          <c:smooth val="0"/>
          <c:extLst>
            <c:ext xmlns:c16="http://schemas.microsoft.com/office/drawing/2014/chart" uri="{C3380CC4-5D6E-409C-BE32-E72D297353CC}">
              <c16:uniqueId val="{00000000-CAC2-480F-B1A4-D20EEA7CCB38}"/>
            </c:ext>
          </c:extLst>
        </c:ser>
        <c:dLbls>
          <c:showLegendKey val="0"/>
          <c:showVal val="0"/>
          <c:showCatName val="0"/>
          <c:showSerName val="0"/>
          <c:showPercent val="0"/>
          <c:showBubbleSize val="0"/>
        </c:dLbls>
        <c:smooth val="0"/>
        <c:axId val="703533760"/>
        <c:axId val="703528840"/>
      </c:lineChart>
      <c:catAx>
        <c:axId val="70353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528840"/>
        <c:crosses val="autoZero"/>
        <c:auto val="1"/>
        <c:lblAlgn val="ctr"/>
        <c:lblOffset val="100"/>
        <c:noMultiLvlLbl val="0"/>
      </c:catAx>
      <c:valAx>
        <c:axId val="7035288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533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CClerk!$A$29</c:f>
              <c:strCache>
                <c:ptCount val="1"/>
                <c:pt idx="0">
                  <c:v>Expenditures per FTE</c:v>
                </c:pt>
              </c:strCache>
            </c:strRef>
          </c:tx>
          <c:spPr>
            <a:ln w="28575" cap="rnd">
              <a:solidFill>
                <a:sysClr val="windowText" lastClr="000000"/>
              </a:solidFill>
              <a:round/>
            </a:ln>
            <a:effectLst/>
          </c:spPr>
          <c:marker>
            <c:symbol val="none"/>
          </c:marker>
          <c:cat>
            <c:numRef>
              <c:f>CClerk!$B$25:$L$25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CClerk!$B$29:$L$29</c:f>
              <c:numCache>
                <c:formatCode>_("$"* #,##0_);_("$"* \(#,##0\);_("$"* "-"??_);_(@_)</c:formatCode>
                <c:ptCount val="11"/>
                <c:pt idx="0">
                  <c:v>71837.8</c:v>
                </c:pt>
                <c:pt idx="1">
                  <c:v>123210.75</c:v>
                </c:pt>
                <c:pt idx="2">
                  <c:v>116816.53333333334</c:v>
                </c:pt>
                <c:pt idx="3">
                  <c:v>117662.13333333333</c:v>
                </c:pt>
                <c:pt idx="4">
                  <c:v>110031.71912832931</c:v>
                </c:pt>
                <c:pt idx="5">
                  <c:v>145088.13559322033</c:v>
                </c:pt>
                <c:pt idx="6">
                  <c:v>141658.83777239709</c:v>
                </c:pt>
                <c:pt idx="7">
                  <c:v>142036.56174334142</c:v>
                </c:pt>
                <c:pt idx="8">
                  <c:v>138688.37209302327</c:v>
                </c:pt>
                <c:pt idx="9">
                  <c:v>189912.4</c:v>
                </c:pt>
                <c:pt idx="10">
                  <c:v>143971.79999999999</c:v>
                </c:pt>
              </c:numCache>
            </c:numRef>
          </c:val>
          <c:smooth val="0"/>
          <c:extLst>
            <c:ext xmlns:c16="http://schemas.microsoft.com/office/drawing/2014/chart" uri="{C3380CC4-5D6E-409C-BE32-E72D297353CC}">
              <c16:uniqueId val="{00000000-78C6-49BE-A5B0-F7EC1CD160B8}"/>
            </c:ext>
          </c:extLst>
        </c:ser>
        <c:dLbls>
          <c:showLegendKey val="0"/>
          <c:showVal val="0"/>
          <c:showCatName val="0"/>
          <c:showSerName val="0"/>
          <c:showPercent val="0"/>
          <c:showBubbleSize val="0"/>
        </c:dLbls>
        <c:smooth val="0"/>
        <c:axId val="753676904"/>
        <c:axId val="753679200"/>
      </c:lineChart>
      <c:catAx>
        <c:axId val="753676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679200"/>
        <c:crosses val="autoZero"/>
        <c:auto val="1"/>
        <c:lblAlgn val="ctr"/>
        <c:lblOffset val="100"/>
        <c:noMultiLvlLbl val="0"/>
      </c:catAx>
      <c:valAx>
        <c:axId val="7536792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676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Cultural Services Revenue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CS!$A$6</c:f>
              <c:strCache>
                <c:ptCount val="1"/>
                <c:pt idx="0">
                  <c:v>General Fund</c:v>
                </c:pt>
              </c:strCache>
              <c:extLst xmlns:c15="http://schemas.microsoft.com/office/drawing/2012/chart"/>
            </c:strRef>
          </c:tx>
          <c:spPr>
            <a:ln w="28575" cap="rnd">
              <a:solidFill>
                <a:srgbClr val="FF0000"/>
              </a:solidFill>
              <a:round/>
            </a:ln>
            <a:effectLst/>
          </c:spPr>
          <c:marker>
            <c:symbol val="none"/>
          </c:marker>
          <c:cat>
            <c:numRef>
              <c:f>CS!$B$5:$L$5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CS!$B$6:$L$6</c:f>
              <c:numCache>
                <c:formatCode>_("$"* #,##0_);_("$"* \(#,##0\);_("$"* "-"??_);_(@_)</c:formatCode>
                <c:ptCount val="11"/>
                <c:pt idx="0">
                  <c:v>1248068</c:v>
                </c:pt>
                <c:pt idx="1">
                  <c:v>1133935</c:v>
                </c:pt>
                <c:pt idx="2">
                  <c:v>1224116</c:v>
                </c:pt>
                <c:pt idx="3">
                  <c:v>1360178</c:v>
                </c:pt>
                <c:pt idx="4">
                  <c:v>1719180</c:v>
                </c:pt>
                <c:pt idx="5">
                  <c:v>1922206</c:v>
                </c:pt>
                <c:pt idx="6">
                  <c:v>1980562</c:v>
                </c:pt>
                <c:pt idx="7">
                  <c:v>2104255</c:v>
                </c:pt>
                <c:pt idx="8">
                  <c:v>500970</c:v>
                </c:pt>
                <c:pt idx="9">
                  <c:v>506800</c:v>
                </c:pt>
                <c:pt idx="10">
                  <c:v>572169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95E4-4582-A454-EC25DC1384CF}"/>
            </c:ext>
          </c:extLst>
        </c:ser>
        <c:ser>
          <c:idx val="4"/>
          <c:order val="4"/>
          <c:tx>
            <c:strRef>
              <c:f>CS!$A$9</c:f>
              <c:strCache>
                <c:ptCount val="1"/>
                <c:pt idx="0">
                  <c:v>Special Revenue Funds</c:v>
                </c:pt>
              </c:strCache>
              <c:extLst xmlns:c15="http://schemas.microsoft.com/office/drawing/2012/chart"/>
            </c:strRef>
          </c:tx>
          <c:spPr>
            <a:ln w="28575" cap="rnd">
              <a:solidFill>
                <a:schemeClr val="accent5"/>
              </a:solidFill>
              <a:round/>
            </a:ln>
            <a:effectLst/>
          </c:spPr>
          <c:marker>
            <c:symbol val="none"/>
          </c:marker>
          <c:cat>
            <c:numRef>
              <c:f>CS!$B$5:$L$5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CS!$B$9:$L$9</c:f>
              <c:numCache>
                <c:formatCode>_("$"* #,##0_);_("$"* \(#,##0\);_("$"* "-"??_);_(@_)</c:formatCode>
                <c:ptCount val="11"/>
                <c:pt idx="0">
                  <c:v>341368</c:v>
                </c:pt>
                <c:pt idx="1">
                  <c:v>207463</c:v>
                </c:pt>
                <c:pt idx="2">
                  <c:v>214029</c:v>
                </c:pt>
                <c:pt idx="3">
                  <c:v>137214</c:v>
                </c:pt>
                <c:pt idx="4">
                  <c:v>172830</c:v>
                </c:pt>
                <c:pt idx="5">
                  <c:v>488665</c:v>
                </c:pt>
                <c:pt idx="6">
                  <c:v>316762</c:v>
                </c:pt>
                <c:pt idx="7">
                  <c:v>221631</c:v>
                </c:pt>
                <c:pt idx="8">
                  <c:v>504193</c:v>
                </c:pt>
                <c:pt idx="9">
                  <c:v>1504990</c:v>
                </c:pt>
                <c:pt idx="10">
                  <c:v>796656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95E4-4582-A454-EC25DC1384CF}"/>
            </c:ext>
          </c:extLst>
        </c:ser>
        <c:ser>
          <c:idx val="6"/>
          <c:order val="6"/>
          <c:tx>
            <c:strRef>
              <c:f>CS!$A$11</c:f>
              <c:strCache>
                <c:ptCount val="1"/>
                <c:pt idx="0">
                  <c:v>Total City Budget Revenues</c:v>
                </c:pt>
              </c:strCache>
            </c:strRef>
          </c:tx>
          <c:spPr>
            <a:ln w="28575" cap="rnd">
              <a:solidFill>
                <a:sysClr val="windowText" lastClr="000000"/>
              </a:solidFill>
              <a:round/>
            </a:ln>
            <a:effectLst/>
          </c:spPr>
          <c:marker>
            <c:symbol val="none"/>
          </c:marker>
          <c:cat>
            <c:numRef>
              <c:f>CS!$B$5:$L$5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CS!$B$11:$L$11</c:f>
              <c:numCache>
                <c:formatCode>_("$"* #,##0_);_("$"* \(#,##0\);_("$"* "-"??_);_(@_)</c:formatCode>
                <c:ptCount val="11"/>
                <c:pt idx="0">
                  <c:v>1589436</c:v>
                </c:pt>
                <c:pt idx="1">
                  <c:v>1341398</c:v>
                </c:pt>
                <c:pt idx="2">
                  <c:v>1438145</c:v>
                </c:pt>
                <c:pt idx="3">
                  <c:v>1497392</c:v>
                </c:pt>
                <c:pt idx="4">
                  <c:v>1892010</c:v>
                </c:pt>
                <c:pt idx="5">
                  <c:v>2410871</c:v>
                </c:pt>
                <c:pt idx="6">
                  <c:v>2297324</c:v>
                </c:pt>
                <c:pt idx="7">
                  <c:v>2325886</c:v>
                </c:pt>
                <c:pt idx="8">
                  <c:v>1005163</c:v>
                </c:pt>
                <c:pt idx="9">
                  <c:v>2011790</c:v>
                </c:pt>
                <c:pt idx="10">
                  <c:v>1368825</c:v>
                </c:pt>
              </c:numCache>
            </c:numRef>
          </c:val>
          <c:smooth val="0"/>
          <c:extLst>
            <c:ext xmlns:c16="http://schemas.microsoft.com/office/drawing/2014/chart" uri="{C3380CC4-5D6E-409C-BE32-E72D297353CC}">
              <c16:uniqueId val="{00000002-95E4-4582-A454-EC25DC1384CF}"/>
            </c:ext>
          </c:extLst>
        </c:ser>
        <c:dLbls>
          <c:showLegendKey val="0"/>
          <c:showVal val="0"/>
          <c:showCatName val="0"/>
          <c:showSerName val="0"/>
          <c:showPercent val="0"/>
          <c:showBubbleSize val="0"/>
        </c:dLbls>
        <c:smooth val="0"/>
        <c:axId val="607692512"/>
        <c:axId val="607694808"/>
        <c:extLst>
          <c:ext xmlns:c15="http://schemas.microsoft.com/office/drawing/2012/chart" uri="{02D57815-91ED-43cb-92C2-25804820EDAC}">
            <c15:filteredLineSeries>
              <c15:ser>
                <c:idx val="0"/>
                <c:order val="0"/>
                <c:tx>
                  <c:strRef>
                    <c:extLst>
                      <c:ext uri="{02D57815-91ED-43cb-92C2-25804820EDAC}">
                        <c15:formulaRef>
                          <c15:sqref>CS!$A$5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CS!$B$5:$L$5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CS!#REF!</c15:sqref>
                        </c15:formulaRef>
                      </c:ext>
                    </c:extLst>
                    <c:numCache>
                      <c:formatCode>General</c:formatCode>
                      <c:ptCount val="1"/>
                      <c:pt idx="0">
                        <c:v>1</c:v>
                      </c:pt>
                    </c:numCache>
                  </c:numRef>
                </c:val>
                <c:smooth val="0"/>
                <c:extLst>
                  <c:ext xmlns:c16="http://schemas.microsoft.com/office/drawing/2014/chart" uri="{C3380CC4-5D6E-409C-BE32-E72D297353CC}">
                    <c16:uniqueId val="{00000003-95E4-4582-A454-EC25DC1384C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CS!$A$7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CS!$B$5:$L$5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CS!$B$7:$L$7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95E4-4582-A454-EC25DC1384CF}"/>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CS!$A$8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CS!$B$8:$L$8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95E4-4582-A454-EC25DC1384CF}"/>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CS!$A$10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CS!$B$5:$L$5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CS!$B$10:$L$10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6-95E4-4582-A454-EC25DC1384CF}"/>
                  </c:ext>
                </c:extLst>
              </c15:ser>
            </c15:filteredLineSeries>
          </c:ext>
        </c:extLst>
      </c:lineChart>
      <c:catAx>
        <c:axId val="6076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4808"/>
        <c:crosses val="autoZero"/>
        <c:auto val="1"/>
        <c:lblAlgn val="ctr"/>
        <c:lblOffset val="100"/>
        <c:noMultiLvlLbl val="0"/>
      </c:catAx>
      <c:valAx>
        <c:axId val="6076948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692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Cultural Services Expenses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CS!$A$15</c:f>
              <c:strCache>
                <c:ptCount val="1"/>
                <c:pt idx="0">
                  <c:v>General Fund</c:v>
                </c:pt>
              </c:strCache>
            </c:strRef>
          </c:tx>
          <c:spPr>
            <a:ln w="28575" cap="rnd">
              <a:solidFill>
                <a:srgbClr val="FF0000"/>
              </a:solidFill>
              <a:round/>
            </a:ln>
            <a:effectLst/>
          </c:spPr>
          <c:marker>
            <c:symbol val="none"/>
          </c:marker>
          <c:cat>
            <c:numRef>
              <c:f>CS!$B$14:$L$14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CS!$B$15:$L$15</c:f>
              <c:numCache>
                <c:formatCode>_("$"* #,##0_);_("$"* \(#,##0\);_("$"* "-"??_);_(@_)</c:formatCode>
                <c:ptCount val="11"/>
                <c:pt idx="0">
                  <c:v>1248068</c:v>
                </c:pt>
                <c:pt idx="1">
                  <c:v>1133935</c:v>
                </c:pt>
                <c:pt idx="2">
                  <c:v>1224116</c:v>
                </c:pt>
                <c:pt idx="3">
                  <c:v>1360178</c:v>
                </c:pt>
                <c:pt idx="4">
                  <c:v>1719180</c:v>
                </c:pt>
                <c:pt idx="5">
                  <c:v>1922206</c:v>
                </c:pt>
                <c:pt idx="6">
                  <c:v>1980562</c:v>
                </c:pt>
                <c:pt idx="7">
                  <c:v>2104255</c:v>
                </c:pt>
                <c:pt idx="8">
                  <c:v>2333239</c:v>
                </c:pt>
                <c:pt idx="9">
                  <c:v>2590726</c:v>
                </c:pt>
                <c:pt idx="10">
                  <c:v>2002310</c:v>
                </c:pt>
              </c:numCache>
            </c:numRef>
          </c:val>
          <c:smooth val="0"/>
          <c:extLst>
            <c:ext xmlns:c16="http://schemas.microsoft.com/office/drawing/2014/chart" uri="{C3380CC4-5D6E-409C-BE32-E72D297353CC}">
              <c16:uniqueId val="{00000001-6B79-4883-9098-AA0F62E72285}"/>
            </c:ext>
          </c:extLst>
        </c:ser>
        <c:ser>
          <c:idx val="4"/>
          <c:order val="4"/>
          <c:tx>
            <c:strRef>
              <c:f>CS!$A$18</c:f>
              <c:strCache>
                <c:ptCount val="1"/>
                <c:pt idx="0">
                  <c:v>Special Revenue Funds</c:v>
                </c:pt>
              </c:strCache>
            </c:strRef>
          </c:tx>
          <c:spPr>
            <a:ln w="28575" cap="rnd">
              <a:solidFill>
                <a:schemeClr val="accent5"/>
              </a:solidFill>
              <a:round/>
            </a:ln>
            <a:effectLst/>
          </c:spPr>
          <c:marker>
            <c:symbol val="none"/>
          </c:marker>
          <c:cat>
            <c:numRef>
              <c:f>CS!$B$14:$L$14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CS!$B$18:$L$18</c:f>
              <c:numCache>
                <c:formatCode>_("$"* #,##0_);_("$"* \(#,##0\);_("$"* "-"??_);_(@_)</c:formatCode>
                <c:ptCount val="11"/>
                <c:pt idx="0">
                  <c:v>235494</c:v>
                </c:pt>
                <c:pt idx="1">
                  <c:v>283940</c:v>
                </c:pt>
                <c:pt idx="2">
                  <c:v>329925</c:v>
                </c:pt>
                <c:pt idx="3">
                  <c:v>430949</c:v>
                </c:pt>
                <c:pt idx="4">
                  <c:v>273501</c:v>
                </c:pt>
                <c:pt idx="5">
                  <c:v>558053</c:v>
                </c:pt>
                <c:pt idx="6">
                  <c:v>167400</c:v>
                </c:pt>
                <c:pt idx="7">
                  <c:v>218061</c:v>
                </c:pt>
                <c:pt idx="8">
                  <c:v>297275</c:v>
                </c:pt>
                <c:pt idx="9">
                  <c:v>903064</c:v>
                </c:pt>
                <c:pt idx="10">
                  <c:v>377489</c:v>
                </c:pt>
              </c:numCache>
            </c:numRef>
          </c:val>
          <c:smooth val="0"/>
          <c:extLst>
            <c:ext xmlns:c16="http://schemas.microsoft.com/office/drawing/2014/chart" uri="{C3380CC4-5D6E-409C-BE32-E72D297353CC}">
              <c16:uniqueId val="{00000004-6B79-4883-9098-AA0F62E72285}"/>
            </c:ext>
          </c:extLst>
        </c:ser>
        <c:ser>
          <c:idx val="6"/>
          <c:order val="6"/>
          <c:tx>
            <c:strRef>
              <c:f>CS!$A$20</c:f>
              <c:strCache>
                <c:ptCount val="1"/>
                <c:pt idx="0">
                  <c:v>Total City Budget Expenses</c:v>
                </c:pt>
              </c:strCache>
            </c:strRef>
          </c:tx>
          <c:spPr>
            <a:ln w="28575" cap="rnd">
              <a:solidFill>
                <a:sysClr val="windowText" lastClr="000000"/>
              </a:solidFill>
              <a:round/>
            </a:ln>
            <a:effectLst/>
          </c:spPr>
          <c:marker>
            <c:symbol val="none"/>
          </c:marker>
          <c:cat>
            <c:numRef>
              <c:f>CS!$B$14:$L$14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CS!$B$20:$L$20</c:f>
              <c:numCache>
                <c:formatCode>_("$"* #,##0_);_("$"* \(#,##0\);_("$"* "-"??_);_(@_)</c:formatCode>
                <c:ptCount val="11"/>
                <c:pt idx="0">
                  <c:v>1483562</c:v>
                </c:pt>
                <c:pt idx="1">
                  <c:v>1417875</c:v>
                </c:pt>
                <c:pt idx="2">
                  <c:v>1554041</c:v>
                </c:pt>
                <c:pt idx="3">
                  <c:v>1791127</c:v>
                </c:pt>
                <c:pt idx="4">
                  <c:v>1992681</c:v>
                </c:pt>
                <c:pt idx="5">
                  <c:v>2480259</c:v>
                </c:pt>
                <c:pt idx="6">
                  <c:v>2147962</c:v>
                </c:pt>
                <c:pt idx="7">
                  <c:v>2322316</c:v>
                </c:pt>
                <c:pt idx="8">
                  <c:v>2630514</c:v>
                </c:pt>
                <c:pt idx="9">
                  <c:v>3493790</c:v>
                </c:pt>
                <c:pt idx="10">
                  <c:v>2379799</c:v>
                </c:pt>
              </c:numCache>
            </c:numRef>
          </c:val>
          <c:smooth val="0"/>
          <c:extLst>
            <c:ext xmlns:c16="http://schemas.microsoft.com/office/drawing/2014/chart" uri="{C3380CC4-5D6E-409C-BE32-E72D297353CC}">
              <c16:uniqueId val="{00000006-6B79-4883-9098-AA0F62E72285}"/>
            </c:ext>
          </c:extLst>
        </c:ser>
        <c:dLbls>
          <c:showLegendKey val="0"/>
          <c:showVal val="0"/>
          <c:showCatName val="0"/>
          <c:showSerName val="0"/>
          <c:showPercent val="0"/>
          <c:showBubbleSize val="0"/>
        </c:dLbls>
        <c:smooth val="0"/>
        <c:axId val="750640280"/>
        <c:axId val="750640608"/>
        <c:extLst>
          <c:ext xmlns:c15="http://schemas.microsoft.com/office/drawing/2012/chart" uri="{02D57815-91ED-43cb-92C2-25804820EDAC}">
            <c15:filteredLineSeries>
              <c15:ser>
                <c:idx val="0"/>
                <c:order val="0"/>
                <c:tx>
                  <c:strRef>
                    <c:extLst>
                      <c:ext uri="{02D57815-91ED-43cb-92C2-25804820EDAC}">
                        <c15:formulaRef>
                          <c15:sqref>CS!$A$14</c15:sqref>
                        </c15:formulaRef>
                      </c:ext>
                    </c:extLst>
                    <c:strCache>
                      <c:ptCount val="1"/>
                      <c:pt idx="0">
                        <c:v>Expenditures</c:v>
                      </c:pt>
                    </c:strCache>
                  </c:strRef>
                </c:tx>
                <c:spPr>
                  <a:ln w="28575" cap="rnd">
                    <a:solidFill>
                      <a:schemeClr val="accent1"/>
                    </a:solidFill>
                    <a:round/>
                  </a:ln>
                  <a:effectLst/>
                </c:spPr>
                <c:marker>
                  <c:symbol val="none"/>
                </c:marker>
                <c:cat>
                  <c:numRef>
                    <c:extLst>
                      <c:ext uri="{02D57815-91ED-43cb-92C2-25804820EDAC}">
                        <c15:formulaRef>
                          <c15:sqref>CS!$B$14:$L$14</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CS!$B$14:$L$14</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6B79-4883-9098-AA0F62E72285}"/>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CS!$A$16</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CS!$B$14:$L$14</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CS!$B$16:$L$16</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6B79-4883-9098-AA0F62E72285}"/>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CS!$A$17</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CS!$B$14:$L$14</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CS!$B$17:$L$17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6B79-4883-9098-AA0F62E72285}"/>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CS!$A$19</c15:sqref>
                        </c15:formulaRef>
                      </c:ext>
                    </c:extLst>
                    <c:strCache>
                      <c:ptCount val="1"/>
                      <c:pt idx="0">
                        <c:v>Non Dept &amp; Other Entities Funds</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CS!$B$14:$L$14</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CS!$B$19:$L$19</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6B79-4883-9098-AA0F62E72285}"/>
                  </c:ext>
                </c:extLst>
              </c15:ser>
            </c15:filteredLineSeries>
          </c:ext>
        </c:extLst>
      </c:lineChart>
      <c:catAx>
        <c:axId val="750640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0608"/>
        <c:crosses val="autoZero"/>
        <c:auto val="1"/>
        <c:lblAlgn val="ctr"/>
        <c:lblOffset val="100"/>
        <c:noMultiLvlLbl val="0"/>
      </c:catAx>
      <c:valAx>
        <c:axId val="7506406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0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CS!$A$26</c:f>
              <c:strCache>
                <c:ptCount val="1"/>
                <c:pt idx="0">
                  <c:v>Expenditures per Capita</c:v>
                </c:pt>
              </c:strCache>
            </c:strRef>
          </c:tx>
          <c:spPr>
            <a:ln w="28575" cap="rnd">
              <a:solidFill>
                <a:sysClr val="windowText" lastClr="000000"/>
              </a:solidFill>
              <a:round/>
            </a:ln>
            <a:effectLst/>
          </c:spPr>
          <c:marker>
            <c:symbol val="none"/>
          </c:marker>
          <c:cat>
            <c:numRef>
              <c:f>CS!$B$25:$L$25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CS!$B$26:$L$26</c:f>
              <c:numCache>
                <c:formatCode>_("$"* #,##0.00_);_("$"* \(#,##0.00\);_("$"* "-"??_);_(@_)</c:formatCode>
                <c:ptCount val="11"/>
                <c:pt idx="0">
                  <c:v>19.759792280168455</c:v>
                </c:pt>
                <c:pt idx="1">
                  <c:v>16.739024534262349</c:v>
                </c:pt>
                <c:pt idx="2">
                  <c:v>17.802475240325183</c:v>
                </c:pt>
                <c:pt idx="3">
                  <c:v>19.615782870163397</c:v>
                </c:pt>
                <c:pt idx="4">
                  <c:v>24.430581213585334</c:v>
                </c:pt>
                <c:pt idx="5">
                  <c:v>27.063032367972742</c:v>
                </c:pt>
                <c:pt idx="6">
                  <c:v>26.975783165350041</c:v>
                </c:pt>
                <c:pt idx="7">
                  <c:v>28.288700678900316</c:v>
                </c:pt>
                <c:pt idx="8">
                  <c:v>30.765282172995782</c:v>
                </c:pt>
                <c:pt idx="9">
                  <c:v>33.531697341513294</c:v>
                </c:pt>
                <c:pt idx="10">
                  <c:v>25.352114459356798</c:v>
                </c:pt>
              </c:numCache>
            </c:numRef>
          </c:val>
          <c:smooth val="0"/>
          <c:extLst>
            <c:ext xmlns:c16="http://schemas.microsoft.com/office/drawing/2014/chart" uri="{C3380CC4-5D6E-409C-BE32-E72D297353CC}">
              <c16:uniqueId val="{00000000-744D-4254-99DB-1DEE6F1194BA}"/>
            </c:ext>
          </c:extLst>
        </c:ser>
        <c:dLbls>
          <c:showLegendKey val="0"/>
          <c:showVal val="0"/>
          <c:showCatName val="0"/>
          <c:showSerName val="0"/>
          <c:showPercent val="0"/>
          <c:showBubbleSize val="0"/>
        </c:dLbls>
        <c:smooth val="0"/>
        <c:axId val="706820672"/>
        <c:axId val="706812144"/>
      </c:lineChart>
      <c:catAx>
        <c:axId val="70682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6812144"/>
        <c:crosses val="autoZero"/>
        <c:auto val="1"/>
        <c:lblAlgn val="ctr"/>
        <c:lblOffset val="100"/>
        <c:noMultiLvlLbl val="0"/>
      </c:catAx>
      <c:valAx>
        <c:axId val="7068121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6820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CS!$A$29</c:f>
              <c:strCache>
                <c:ptCount val="1"/>
                <c:pt idx="0">
                  <c:v>Expenditures per FTE</c:v>
                </c:pt>
              </c:strCache>
            </c:strRef>
          </c:tx>
          <c:spPr>
            <a:ln w="28575" cap="rnd">
              <a:solidFill>
                <a:sysClr val="windowText" lastClr="000000"/>
              </a:solidFill>
              <a:round/>
            </a:ln>
            <a:effectLst/>
          </c:spPr>
          <c:marker>
            <c:symbol val="none"/>
          </c:marker>
          <c:cat>
            <c:numRef>
              <c:f>CS!$B$25:$L$25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CS!$B$29:$L$29</c:f>
              <c:numCache>
                <c:formatCode>_("$"* #,##0_);_("$"* \(#,##0\);_("$"* "-"??_);_(@_)</c:formatCode>
                <c:ptCount val="11"/>
                <c:pt idx="0">
                  <c:v>99845.440000000002</c:v>
                </c:pt>
                <c:pt idx="1">
                  <c:v>92189.837398373973</c:v>
                </c:pt>
                <c:pt idx="2">
                  <c:v>99927.836734693876</c:v>
                </c:pt>
                <c:pt idx="3">
                  <c:v>109691.77419354839</c:v>
                </c:pt>
                <c:pt idx="4">
                  <c:v>132244.61538461538</c:v>
                </c:pt>
                <c:pt idx="5">
                  <c:v>147862</c:v>
                </c:pt>
                <c:pt idx="6">
                  <c:v>158318.30535571542</c:v>
                </c:pt>
                <c:pt idx="7">
                  <c:v>164266.5886026542</c:v>
                </c:pt>
                <c:pt idx="8">
                  <c:v>166659.92857142858</c:v>
                </c:pt>
                <c:pt idx="9">
                  <c:v>175642.44067796611</c:v>
                </c:pt>
                <c:pt idx="10">
                  <c:v>135749.83050847458</c:v>
                </c:pt>
              </c:numCache>
            </c:numRef>
          </c:val>
          <c:smooth val="0"/>
          <c:extLst>
            <c:ext xmlns:c16="http://schemas.microsoft.com/office/drawing/2014/chart" uri="{C3380CC4-5D6E-409C-BE32-E72D297353CC}">
              <c16:uniqueId val="{00000000-57C3-4383-8E85-33D6EF13B647}"/>
            </c:ext>
          </c:extLst>
        </c:ser>
        <c:dLbls>
          <c:showLegendKey val="0"/>
          <c:showVal val="0"/>
          <c:showCatName val="0"/>
          <c:showSerName val="0"/>
          <c:showPercent val="0"/>
          <c:showBubbleSize val="0"/>
        </c:dLbls>
        <c:smooth val="0"/>
        <c:axId val="504587936"/>
        <c:axId val="504588264"/>
      </c:lineChart>
      <c:catAx>
        <c:axId val="50458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588264"/>
        <c:crosses val="autoZero"/>
        <c:auto val="1"/>
        <c:lblAlgn val="ctr"/>
        <c:lblOffset val="100"/>
        <c:noMultiLvlLbl val="0"/>
      </c:catAx>
      <c:valAx>
        <c:axId val="50458826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587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Revenues Per FTE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92687315051445"/>
          <c:y val="0.11971457288347123"/>
          <c:w val="0.85591593615895545"/>
          <c:h val="0.66398631989183166"/>
        </c:manualLayout>
      </c:layout>
      <c:lineChart>
        <c:grouping val="standard"/>
        <c:varyColors val="0"/>
        <c:ser>
          <c:idx val="0"/>
          <c:order val="0"/>
          <c:tx>
            <c:strRef>
              <c:f>'All Depts'!$A$38</c:f>
              <c:strCache>
                <c:ptCount val="1"/>
                <c:pt idx="0">
                  <c:v>General Fund</c:v>
                </c:pt>
              </c:strCache>
            </c:strRef>
          </c:tx>
          <c:spPr>
            <a:ln w="28575" cap="rnd">
              <a:solidFill>
                <a:srgbClr val="FF0000"/>
              </a:solidFill>
              <a:round/>
            </a:ln>
            <a:effectLst/>
          </c:spPr>
          <c:marker>
            <c:symbol val="none"/>
          </c:marker>
          <c:cat>
            <c:numRef>
              <c:f>'All Depts'!$B$37:$L$37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Depts'!$B$38:$L$38</c:f>
              <c:numCache>
                <c:formatCode>_("$"* #,##0_);_("$"* \(#,##0\);_("$"* "-"??_);_(@_)</c:formatCode>
                <c:ptCount val="11"/>
                <c:pt idx="0">
                  <c:v>0</c:v>
                </c:pt>
                <c:pt idx="1">
                  <c:v>96004.493203883496</c:v>
                </c:pt>
                <c:pt idx="2">
                  <c:v>90337.806576402319</c:v>
                </c:pt>
                <c:pt idx="3">
                  <c:v>89671.159615384619</c:v>
                </c:pt>
                <c:pt idx="4">
                  <c:v>111584.39696312364</c:v>
                </c:pt>
                <c:pt idx="5">
                  <c:v>129829.87672955975</c:v>
                </c:pt>
                <c:pt idx="6">
                  <c:v>123410.25306122449</c:v>
                </c:pt>
                <c:pt idx="7">
                  <c:v>181728.50398406375</c:v>
                </c:pt>
                <c:pt idx="8">
                  <c:v>286559.14319248823</c:v>
                </c:pt>
                <c:pt idx="9">
                  <c:v>338424.01814573293</c:v>
                </c:pt>
                <c:pt idx="10">
                  <c:v>227159.88435374151</c:v>
                </c:pt>
              </c:numCache>
            </c:numRef>
          </c:val>
          <c:smooth val="0"/>
          <c:extLst>
            <c:ext xmlns:c16="http://schemas.microsoft.com/office/drawing/2014/chart" uri="{C3380CC4-5D6E-409C-BE32-E72D297353CC}">
              <c16:uniqueId val="{00000000-0C62-4AAE-9F0C-DA7919DAF63A}"/>
            </c:ext>
          </c:extLst>
        </c:ser>
        <c:ser>
          <c:idx val="1"/>
          <c:order val="1"/>
          <c:tx>
            <c:strRef>
              <c:f>'All Depts'!$A$39</c:f>
              <c:strCache>
                <c:ptCount val="1"/>
                <c:pt idx="0">
                  <c:v>Internal Service Funds</c:v>
                </c:pt>
              </c:strCache>
            </c:strRef>
          </c:tx>
          <c:spPr>
            <a:ln w="28575" cap="rnd">
              <a:solidFill>
                <a:srgbClr val="92D050"/>
              </a:solidFill>
              <a:round/>
            </a:ln>
            <a:effectLst/>
          </c:spPr>
          <c:marker>
            <c:symbol val="none"/>
          </c:marker>
          <c:cat>
            <c:numRef>
              <c:f>'All Depts'!$B$37:$L$37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Depts'!$B$39:$L$39</c:f>
              <c:numCache>
                <c:formatCode>_("$"* #,##0_);_("$"* \(#,##0\);_("$"* "-"??_);_(@_)</c:formatCode>
                <c:ptCount val="11"/>
                <c:pt idx="0">
                  <c:v>1035075.3125</c:v>
                </c:pt>
                <c:pt idx="1">
                  <c:v>1060897.9375</c:v>
                </c:pt>
                <c:pt idx="2">
                  <c:v>1005331</c:v>
                </c:pt>
                <c:pt idx="3">
                  <c:v>904252.0555555555</c:v>
                </c:pt>
                <c:pt idx="4">
                  <c:v>880488.78947368416</c:v>
                </c:pt>
                <c:pt idx="5">
                  <c:v>914897.21052631584</c:v>
                </c:pt>
                <c:pt idx="6">
                  <c:v>975386.85</c:v>
                </c:pt>
                <c:pt idx="7">
                  <c:v>1340466.4210526317</c:v>
                </c:pt>
                <c:pt idx="8">
                  <c:v>1079111.2195121951</c:v>
                </c:pt>
                <c:pt idx="9">
                  <c:v>1167159.4479830149</c:v>
                </c:pt>
                <c:pt idx="10">
                  <c:v>1212410.9554140128</c:v>
                </c:pt>
              </c:numCache>
            </c:numRef>
          </c:val>
          <c:smooth val="0"/>
          <c:extLst>
            <c:ext xmlns:c16="http://schemas.microsoft.com/office/drawing/2014/chart" uri="{C3380CC4-5D6E-409C-BE32-E72D297353CC}">
              <c16:uniqueId val="{00000001-0C62-4AAE-9F0C-DA7919DAF63A}"/>
            </c:ext>
          </c:extLst>
        </c:ser>
        <c:ser>
          <c:idx val="2"/>
          <c:order val="2"/>
          <c:tx>
            <c:strRef>
              <c:f>'All Depts'!$A$40</c:f>
              <c:strCache>
                <c:ptCount val="1"/>
                <c:pt idx="0">
                  <c:v>Enterprise Funds</c:v>
                </c:pt>
              </c:strCache>
            </c:strRef>
          </c:tx>
          <c:spPr>
            <a:ln w="28575" cap="rnd">
              <a:solidFill>
                <a:srgbClr val="7030A0"/>
              </a:solidFill>
              <a:round/>
            </a:ln>
            <a:effectLst/>
          </c:spPr>
          <c:marker>
            <c:symbol val="none"/>
          </c:marker>
          <c:cat>
            <c:numRef>
              <c:f>'All Depts'!$B$37:$L$37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Depts'!$B$40:$L$40</c:f>
              <c:numCache>
                <c:formatCode>_("$"* #,##0_);_("$"* \(#,##0\);_("$"* "-"??_);_(@_)</c:formatCode>
                <c:ptCount val="11"/>
                <c:pt idx="0">
                  <c:v>509732.51075268816</c:v>
                </c:pt>
                <c:pt idx="1">
                  <c:v>444674.13559322036</c:v>
                </c:pt>
                <c:pt idx="2">
                  <c:v>529779.56140350876</c:v>
                </c:pt>
                <c:pt idx="3">
                  <c:v>523058.38372093026</c:v>
                </c:pt>
                <c:pt idx="4">
                  <c:v>595822.07692307688</c:v>
                </c:pt>
                <c:pt idx="5">
                  <c:v>640570.58857142855</c:v>
                </c:pt>
                <c:pt idx="6">
                  <c:v>713064.57065217395</c:v>
                </c:pt>
                <c:pt idx="7">
                  <c:v>704329.78723404254</c:v>
                </c:pt>
                <c:pt idx="8">
                  <c:v>740046.32172131154</c:v>
                </c:pt>
                <c:pt idx="9">
                  <c:v>784802.50492125994</c:v>
                </c:pt>
                <c:pt idx="10">
                  <c:v>858905.63342645462</c:v>
                </c:pt>
              </c:numCache>
            </c:numRef>
          </c:val>
          <c:smooth val="0"/>
          <c:extLst>
            <c:ext xmlns:c16="http://schemas.microsoft.com/office/drawing/2014/chart" uri="{C3380CC4-5D6E-409C-BE32-E72D297353CC}">
              <c16:uniqueId val="{00000002-0C62-4AAE-9F0C-DA7919DAF63A}"/>
            </c:ext>
          </c:extLst>
        </c:ser>
        <c:ser>
          <c:idx val="3"/>
          <c:order val="3"/>
          <c:tx>
            <c:strRef>
              <c:f>'All Depts'!$A$41</c:f>
              <c:strCache>
                <c:ptCount val="1"/>
                <c:pt idx="0">
                  <c:v>Special Revenue Funds</c:v>
                </c:pt>
              </c:strCache>
            </c:strRef>
          </c:tx>
          <c:spPr>
            <a:ln w="28575" cap="rnd">
              <a:solidFill>
                <a:srgbClr val="00B0F0"/>
              </a:solidFill>
              <a:round/>
            </a:ln>
            <a:effectLst/>
          </c:spPr>
          <c:marker>
            <c:symbol val="none"/>
          </c:marker>
          <c:cat>
            <c:numRef>
              <c:f>'All Depts'!$B$37:$L$37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Depts'!$B$41:$L$41</c:f>
              <c:numCache>
                <c:formatCode>_("$"* #,##0_);_("$"* \(#,##0\);_("$"* "-"??_);_(@_)</c:formatCode>
                <c:ptCount val="11"/>
                <c:pt idx="0">
                  <c:v>58471.964912280702</c:v>
                </c:pt>
                <c:pt idx="1">
                  <c:v>59049.508771929824</c:v>
                </c:pt>
                <c:pt idx="2">
                  <c:v>317646.19298245612</c:v>
                </c:pt>
                <c:pt idx="3">
                  <c:v>298405.56140350876</c:v>
                </c:pt>
                <c:pt idx="4">
                  <c:v>314847.73684210528</c:v>
                </c:pt>
                <c:pt idx="5">
                  <c:v>388328.81034482759</c:v>
                </c:pt>
                <c:pt idx="6">
                  <c:v>364334.6101694915</c:v>
                </c:pt>
                <c:pt idx="7">
                  <c:v>671770.08196721307</c:v>
                </c:pt>
                <c:pt idx="8">
                  <c:v>214460.98773006134</c:v>
                </c:pt>
                <c:pt idx="9">
                  <c:v>388251.06060606061</c:v>
                </c:pt>
                <c:pt idx="10">
                  <c:v>276343.56904400606</c:v>
                </c:pt>
              </c:numCache>
            </c:numRef>
          </c:val>
          <c:smooth val="0"/>
          <c:extLst>
            <c:ext xmlns:c16="http://schemas.microsoft.com/office/drawing/2014/chart" uri="{C3380CC4-5D6E-409C-BE32-E72D297353CC}">
              <c16:uniqueId val="{00000003-0C62-4AAE-9F0C-DA7919DAF63A}"/>
            </c:ext>
          </c:extLst>
        </c:ser>
        <c:dLbls>
          <c:showLegendKey val="0"/>
          <c:showVal val="0"/>
          <c:showCatName val="0"/>
          <c:showSerName val="0"/>
          <c:showPercent val="0"/>
          <c:showBubbleSize val="0"/>
        </c:dLbls>
        <c:smooth val="0"/>
        <c:axId val="589804024"/>
        <c:axId val="589802712"/>
      </c:lineChart>
      <c:catAx>
        <c:axId val="589804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802712"/>
        <c:crosses val="autoZero"/>
        <c:auto val="1"/>
        <c:lblAlgn val="ctr"/>
        <c:lblOffset val="100"/>
        <c:noMultiLvlLbl val="0"/>
      </c:catAx>
      <c:valAx>
        <c:axId val="589802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804024"/>
        <c:crosses val="autoZero"/>
        <c:crossBetween val="between"/>
      </c:valAx>
      <c:spPr>
        <a:noFill/>
        <a:ln>
          <a:noFill/>
        </a:ln>
        <a:effectLst/>
      </c:spPr>
    </c:plotArea>
    <c:legend>
      <c:legendPos val="b"/>
      <c:layout>
        <c:manualLayout>
          <c:xMode val="edge"/>
          <c:yMode val="edge"/>
          <c:x val="0.1266656594970984"/>
          <c:y val="0.8647910027580491"/>
          <c:w val="0.7466685489468563"/>
          <c:h val="4.083513154322134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Development Services Revenue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605923344058239E-2"/>
          <c:y val="0.16429678848283502"/>
          <c:w val="0.90423602323794383"/>
          <c:h val="0.63161290885150989"/>
        </c:manualLayout>
      </c:layout>
      <c:lineChart>
        <c:grouping val="standard"/>
        <c:varyColors val="0"/>
        <c:ser>
          <c:idx val="1"/>
          <c:order val="1"/>
          <c:tx>
            <c:strRef>
              <c:f>DS!$A$6</c:f>
              <c:strCache>
                <c:ptCount val="1"/>
                <c:pt idx="0">
                  <c:v>General Fund</c:v>
                </c:pt>
              </c:strCache>
              <c:extLst xmlns:c15="http://schemas.microsoft.com/office/drawing/2012/chart"/>
            </c:strRef>
          </c:tx>
          <c:spPr>
            <a:ln w="28575" cap="rnd">
              <a:solidFill>
                <a:srgbClr val="FF0000"/>
              </a:solidFill>
              <a:round/>
            </a:ln>
            <a:effectLst/>
          </c:spPr>
          <c:marker>
            <c:symbol val="none"/>
          </c:marker>
          <c:cat>
            <c:numRef>
              <c:f>DS!$B$5:$L$5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DS!$B$6:$L$6</c:f>
              <c:numCache>
                <c:formatCode>_("$"* #,##0_);_("$"* \(#,##0\);_("$"* "-"??_);_(@_)</c:formatCode>
                <c:ptCount val="11"/>
                <c:pt idx="0">
                  <c:v>2419353</c:v>
                </c:pt>
                <c:pt idx="1">
                  <c:v>3186332</c:v>
                </c:pt>
                <c:pt idx="2">
                  <c:v>3112191</c:v>
                </c:pt>
                <c:pt idx="3">
                  <c:v>2517478</c:v>
                </c:pt>
                <c:pt idx="4">
                  <c:v>2951926</c:v>
                </c:pt>
                <c:pt idx="5">
                  <c:v>3739674.2</c:v>
                </c:pt>
                <c:pt idx="6">
                  <c:v>3348110</c:v>
                </c:pt>
                <c:pt idx="7">
                  <c:v>3414725</c:v>
                </c:pt>
                <c:pt idx="8">
                  <c:v>2567529</c:v>
                </c:pt>
                <c:pt idx="9">
                  <c:v>3018400</c:v>
                </c:pt>
                <c:pt idx="10">
                  <c:v>3151070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88C-4267-8620-07197707FC48}"/>
            </c:ext>
          </c:extLst>
        </c:ser>
        <c:ser>
          <c:idx val="2"/>
          <c:order val="2"/>
          <c:tx>
            <c:strRef>
              <c:f>DS!$A$7</c:f>
              <c:strCache>
                <c:ptCount val="1"/>
                <c:pt idx="0">
                  <c:v>Internal Service Funds</c:v>
                </c:pt>
              </c:strCache>
              <c:extLst xmlns:c15="http://schemas.microsoft.com/office/drawing/2012/chart"/>
            </c:strRef>
          </c:tx>
          <c:spPr>
            <a:ln w="28575" cap="rnd">
              <a:solidFill>
                <a:schemeClr val="accent3"/>
              </a:solidFill>
              <a:round/>
            </a:ln>
            <a:effectLst/>
          </c:spPr>
          <c:marker>
            <c:symbol val="none"/>
          </c:marker>
          <c:cat>
            <c:numRef>
              <c:f>DS!$B$5:$L$5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DS!$B$7:$L$7</c:f>
              <c:numCache>
                <c:formatCode>_("$"* #,##0_);_("$"* \(#,##0\);_("$"* "-"??_);_(@_)</c:formatCode>
                <c:ptCount val="11"/>
                <c:pt idx="0">
                  <c:v>0</c:v>
                </c:pt>
                <c:pt idx="1">
                  <c:v>224222</c:v>
                </c:pt>
                <c:pt idx="2">
                  <c:v>0</c:v>
                </c:pt>
                <c:pt idx="3">
                  <c:v>0</c:v>
                </c:pt>
                <c:pt idx="4">
                  <c:v>0</c:v>
                </c:pt>
                <c:pt idx="5">
                  <c:v>0</c:v>
                </c:pt>
                <c:pt idx="6">
                  <c:v>0</c:v>
                </c:pt>
                <c:pt idx="7">
                  <c:v>0</c:v>
                </c:pt>
                <c:pt idx="8">
                  <c:v>0</c:v>
                </c:pt>
                <c:pt idx="9">
                  <c:v>0</c:v>
                </c:pt>
                <c:pt idx="10">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388C-4267-8620-07197707FC48}"/>
            </c:ext>
          </c:extLst>
        </c:ser>
        <c:ser>
          <c:idx val="4"/>
          <c:order val="4"/>
          <c:tx>
            <c:strRef>
              <c:f>DS!$A$9</c:f>
              <c:strCache>
                <c:ptCount val="1"/>
                <c:pt idx="0">
                  <c:v>Special Revenue Funds </c:v>
                </c:pt>
              </c:strCache>
              <c:extLst xmlns:c15="http://schemas.microsoft.com/office/drawing/2012/chart"/>
            </c:strRef>
          </c:tx>
          <c:spPr>
            <a:ln w="28575" cap="rnd">
              <a:solidFill>
                <a:schemeClr val="accent5"/>
              </a:solidFill>
              <a:round/>
            </a:ln>
            <a:effectLst/>
          </c:spPr>
          <c:marker>
            <c:symbol val="none"/>
          </c:marker>
          <c:cat>
            <c:numRef>
              <c:f>DS!$B$5:$L$5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DS!$B$9:$L$9</c:f>
              <c:numCache>
                <c:formatCode>_("$"* #,##0_);_("$"* \(#,##0\);_("$"* "-"??_);_(@_)</c:formatCode>
                <c:ptCount val="11"/>
                <c:pt idx="2">
                  <c:v>391874</c:v>
                </c:pt>
                <c:pt idx="3">
                  <c:v>240077</c:v>
                </c:pt>
                <c:pt idx="4">
                  <c:v>293278</c:v>
                </c:pt>
                <c:pt idx="6">
                  <c:v>0</c:v>
                </c:pt>
                <c:pt idx="7">
                  <c:v>0</c:v>
                </c:pt>
                <c:pt idx="8">
                  <c:v>0</c:v>
                </c:pt>
                <c:pt idx="9">
                  <c:v>0</c:v>
                </c:pt>
                <c:pt idx="10">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388C-4267-8620-07197707FC48}"/>
            </c:ext>
          </c:extLst>
        </c:ser>
        <c:ser>
          <c:idx val="6"/>
          <c:order val="6"/>
          <c:tx>
            <c:strRef>
              <c:f>DS!$A$11</c:f>
              <c:strCache>
                <c:ptCount val="1"/>
                <c:pt idx="0">
                  <c:v>Total City Budget Revenues</c:v>
                </c:pt>
              </c:strCache>
            </c:strRef>
          </c:tx>
          <c:spPr>
            <a:ln w="28575" cap="rnd">
              <a:solidFill>
                <a:schemeClr val="tx1"/>
              </a:solidFill>
              <a:round/>
            </a:ln>
            <a:effectLst/>
          </c:spPr>
          <c:marker>
            <c:symbol val="none"/>
          </c:marker>
          <c:cat>
            <c:numRef>
              <c:f>DS!$B$5:$L$5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DS!$B$11:$L$11</c:f>
              <c:numCache>
                <c:formatCode>_("$"* #,##0_);_("$"* \(#,##0\);_("$"* "-"??_);_(@_)</c:formatCode>
                <c:ptCount val="11"/>
                <c:pt idx="0">
                  <c:v>2419353</c:v>
                </c:pt>
                <c:pt idx="1">
                  <c:v>3410554</c:v>
                </c:pt>
                <c:pt idx="2">
                  <c:v>3504065</c:v>
                </c:pt>
                <c:pt idx="3">
                  <c:v>2757555</c:v>
                </c:pt>
                <c:pt idx="4">
                  <c:v>3245204</c:v>
                </c:pt>
                <c:pt idx="5">
                  <c:v>3739674.2</c:v>
                </c:pt>
                <c:pt idx="6">
                  <c:v>3348110</c:v>
                </c:pt>
                <c:pt idx="7">
                  <c:v>3414725</c:v>
                </c:pt>
                <c:pt idx="8">
                  <c:v>2567529</c:v>
                </c:pt>
                <c:pt idx="9">
                  <c:v>3018400</c:v>
                </c:pt>
                <c:pt idx="10">
                  <c:v>3151070</c:v>
                </c:pt>
              </c:numCache>
            </c:numRef>
          </c:val>
          <c:smooth val="0"/>
          <c:extLst>
            <c:ext xmlns:c16="http://schemas.microsoft.com/office/drawing/2014/chart" uri="{C3380CC4-5D6E-409C-BE32-E72D297353CC}">
              <c16:uniqueId val="{00000003-388C-4267-8620-07197707FC48}"/>
            </c:ext>
          </c:extLst>
        </c:ser>
        <c:dLbls>
          <c:showLegendKey val="0"/>
          <c:showVal val="0"/>
          <c:showCatName val="0"/>
          <c:showSerName val="0"/>
          <c:showPercent val="0"/>
          <c:showBubbleSize val="0"/>
        </c:dLbls>
        <c:smooth val="0"/>
        <c:axId val="607701696"/>
        <c:axId val="607701040"/>
        <c:extLst>
          <c:ext xmlns:c15="http://schemas.microsoft.com/office/drawing/2012/chart" uri="{02D57815-91ED-43cb-92C2-25804820EDAC}">
            <c15:filteredLineSeries>
              <c15:ser>
                <c:idx val="0"/>
                <c:order val="0"/>
                <c:tx>
                  <c:strRef>
                    <c:extLst>
                      <c:ext uri="{02D57815-91ED-43cb-92C2-25804820EDAC}">
                        <c15:formulaRef>
                          <c15:sqref>DS!$A$5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DS!$B$5:$L$5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DS!#REF!</c15:sqref>
                        </c15:formulaRef>
                      </c:ext>
                    </c:extLst>
                    <c:numCache>
                      <c:formatCode>General</c:formatCode>
                      <c:ptCount val="1"/>
                      <c:pt idx="0">
                        <c:v>1</c:v>
                      </c:pt>
                    </c:numCache>
                  </c:numRef>
                </c:val>
                <c:smooth val="0"/>
                <c:extLst>
                  <c:ext xmlns:c16="http://schemas.microsoft.com/office/drawing/2014/chart" uri="{C3380CC4-5D6E-409C-BE32-E72D297353CC}">
                    <c16:uniqueId val="{00000004-388C-4267-8620-07197707FC4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DS!$A$8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DS!$B$5:$L$5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DS!$B$8:$L$8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388C-4267-8620-07197707FC48}"/>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DS!$A$10</c15:sqref>
                        </c15:formulaRef>
                      </c:ext>
                    </c:extLst>
                    <c:strCache>
                      <c:ptCount val="1"/>
                      <c:pt idx="0">
                        <c:v>Less Spl Rev - Trf to Exec </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DS!$B$5:$L$5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DS!$B$10:$L$10</c15:sqref>
                        </c15:formulaRef>
                      </c:ext>
                    </c:extLst>
                  </c:numRef>
                </c:val>
                <c:smooth val="0"/>
                <c:extLst xmlns:c15="http://schemas.microsoft.com/office/drawing/2012/chart">
                  <c:ext xmlns:c16="http://schemas.microsoft.com/office/drawing/2014/chart" uri="{C3380CC4-5D6E-409C-BE32-E72D297353CC}">
                    <c16:uniqueId val="{00000006-388C-4267-8620-07197707FC48}"/>
                  </c:ext>
                </c:extLst>
              </c15:ser>
            </c15:filteredLineSeries>
          </c:ext>
        </c:extLst>
      </c:lineChart>
      <c:catAx>
        <c:axId val="60770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701040"/>
        <c:crosses val="autoZero"/>
        <c:auto val="1"/>
        <c:lblAlgn val="ctr"/>
        <c:lblOffset val="100"/>
        <c:noMultiLvlLbl val="0"/>
      </c:catAx>
      <c:valAx>
        <c:axId val="6077010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7016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Development</a:t>
            </a:r>
            <a:r>
              <a:rPr lang="en-US" baseline="0"/>
              <a:t> Services Expenses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6"/>
          <c:order val="6"/>
          <c:tx>
            <c:strRef>
              <c:f>DS!$A$24</c:f>
              <c:strCache>
                <c:ptCount val="1"/>
                <c:pt idx="0">
                  <c:v>Total City Budget Expenses</c:v>
                </c:pt>
              </c:strCache>
            </c:strRef>
          </c:tx>
          <c:spPr>
            <a:ln w="28575" cap="rnd">
              <a:solidFill>
                <a:schemeClr val="tx1"/>
              </a:solidFill>
              <a:round/>
            </a:ln>
            <a:effectLst/>
          </c:spPr>
          <c:marker>
            <c:symbol val="none"/>
          </c:marker>
          <c:cat>
            <c:numRef>
              <c:f>DS!$B$5:$L$5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DS!$B$24:$L$24</c:f>
              <c:numCache>
                <c:formatCode>_("$"* #,##0_);_("$"* \(#,##0\);_("$"* "-"??_);_(@_)</c:formatCode>
                <c:ptCount val="11"/>
                <c:pt idx="0">
                  <c:v>2419353</c:v>
                </c:pt>
                <c:pt idx="1">
                  <c:v>2548898</c:v>
                </c:pt>
                <c:pt idx="2">
                  <c:v>2526055</c:v>
                </c:pt>
                <c:pt idx="3">
                  <c:v>1880044</c:v>
                </c:pt>
                <c:pt idx="4">
                  <c:v>2403192</c:v>
                </c:pt>
                <c:pt idx="5">
                  <c:v>3074904</c:v>
                </c:pt>
                <c:pt idx="6">
                  <c:v>3348110</c:v>
                </c:pt>
                <c:pt idx="7">
                  <c:v>3414726</c:v>
                </c:pt>
                <c:pt idx="8">
                  <c:v>3632285</c:v>
                </c:pt>
                <c:pt idx="9">
                  <c:v>4040885</c:v>
                </c:pt>
                <c:pt idx="10">
                  <c:v>3135765</c:v>
                </c:pt>
              </c:numCache>
            </c:numRef>
          </c:val>
          <c:smooth val="0"/>
          <c:extLst>
            <c:ext xmlns:c16="http://schemas.microsoft.com/office/drawing/2014/chart" uri="{C3380CC4-5D6E-409C-BE32-E72D297353CC}">
              <c16:uniqueId val="{00000006-BB56-4A49-9DEA-9987653E437D}"/>
            </c:ext>
          </c:extLst>
        </c:ser>
        <c:dLbls>
          <c:showLegendKey val="0"/>
          <c:showVal val="0"/>
          <c:showCatName val="0"/>
          <c:showSerName val="0"/>
          <c:showPercent val="0"/>
          <c:showBubbleSize val="0"/>
        </c:dLbls>
        <c:smooth val="0"/>
        <c:axId val="725613816"/>
        <c:axId val="725618080"/>
        <c:extLst>
          <c:ext xmlns:c15="http://schemas.microsoft.com/office/drawing/2012/chart" uri="{02D57815-91ED-43cb-92C2-25804820EDAC}">
            <c15:filteredLineSeries>
              <c15:ser>
                <c:idx val="0"/>
                <c:order val="0"/>
                <c:tx>
                  <c:strRef>
                    <c:extLst>
                      <c:ext uri="{02D57815-91ED-43cb-92C2-25804820EDAC}">
                        <c15:formulaRef>
                          <c15:sqref>DS!$A$18</c15:sqref>
                        </c15:formulaRef>
                      </c:ext>
                    </c:extLst>
                    <c:strCache>
                      <c:ptCount val="1"/>
                      <c:pt idx="0">
                        <c:v>Expenditures</c:v>
                      </c:pt>
                    </c:strCache>
                  </c:strRef>
                </c:tx>
                <c:spPr>
                  <a:ln w="28575" cap="rnd">
                    <a:solidFill>
                      <a:schemeClr val="accent1"/>
                    </a:solidFill>
                    <a:round/>
                  </a:ln>
                  <a:effectLst/>
                </c:spPr>
                <c:marker>
                  <c:symbol val="none"/>
                </c:marker>
                <c:cat>
                  <c:numRef>
                    <c:extLst>
                      <c:ext uri="{02D57815-91ED-43cb-92C2-25804820EDAC}">
                        <c15:formulaRef>
                          <c15:sqref>DS!$B$5:$L$5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DS!$B$18:$L$18</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BB56-4A49-9DEA-9987653E437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DS!$A$19</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DS!$B$5:$L$5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DS!$B$19:$L$19</c15:sqref>
                        </c15:formulaRef>
                      </c:ext>
                    </c:extLst>
                    <c:numCache>
                      <c:formatCode>_("$"* #,##0_);_("$"* \(#,##0\);_("$"* "-"??_);_(@_)</c:formatCode>
                      <c:ptCount val="11"/>
                      <c:pt idx="0">
                        <c:v>2419353</c:v>
                      </c:pt>
                      <c:pt idx="1">
                        <c:v>2548898</c:v>
                      </c:pt>
                      <c:pt idx="2">
                        <c:v>2526055</c:v>
                      </c:pt>
                      <c:pt idx="3">
                        <c:v>1880044</c:v>
                      </c:pt>
                      <c:pt idx="4">
                        <c:v>2403192</c:v>
                      </c:pt>
                      <c:pt idx="5">
                        <c:v>3074904</c:v>
                      </c:pt>
                      <c:pt idx="6">
                        <c:v>3348110</c:v>
                      </c:pt>
                      <c:pt idx="7">
                        <c:v>3414726</c:v>
                      </c:pt>
                      <c:pt idx="8">
                        <c:v>3632285</c:v>
                      </c:pt>
                      <c:pt idx="9">
                        <c:v>4040885</c:v>
                      </c:pt>
                      <c:pt idx="10">
                        <c:v>3135765</c:v>
                      </c:pt>
                    </c:numCache>
                  </c:numRef>
                </c:val>
                <c:smooth val="0"/>
                <c:extLst xmlns:c15="http://schemas.microsoft.com/office/drawing/2012/chart">
                  <c:ext xmlns:c16="http://schemas.microsoft.com/office/drawing/2014/chart" uri="{C3380CC4-5D6E-409C-BE32-E72D297353CC}">
                    <c16:uniqueId val="{00000001-BB56-4A49-9DEA-9987653E43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DS!$A$20</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DS!$B$5:$L$5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DS!$B$20:$L$20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BB56-4A49-9DEA-9987653E437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DS!$A$21</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DS!$B$5:$L$5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DS!$B$21:$L$21</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BB56-4A49-9DEA-9987653E43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DS!$A$22</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DS!$B$5:$L$5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DS!$B$22:$L$22</c15:sqref>
                        </c15:formulaRef>
                      </c:ext>
                    </c:extLst>
                    <c:numCache>
                      <c:formatCode>_("$"* #,##0_);_("$"* \(#,##0\);_("$"* "-"??_);_(@_)</c:formatCode>
                      <c:ptCount val="11"/>
                      <c:pt idx="0">
                        <c:v>0</c:v>
                      </c:pt>
                      <c:pt idx="1">
                        <c:v>0</c:v>
                      </c:pt>
                      <c:pt idx="2">
                        <c:v>0</c:v>
                      </c:pt>
                      <c:pt idx="3">
                        <c:v>0</c:v>
                      </c:pt>
                      <c:pt idx="4">
                        <c:v>0</c:v>
                      </c:pt>
                      <c:pt idx="5">
                        <c:v>0</c:v>
                      </c:pt>
                      <c:pt idx="6">
                        <c:v>0</c:v>
                      </c:pt>
                      <c:pt idx="7">
                        <c:v>0</c:v>
                      </c:pt>
                      <c:pt idx="9">
                        <c:v>0</c:v>
                      </c:pt>
                      <c:pt idx="10">
                        <c:v>0</c:v>
                      </c:pt>
                    </c:numCache>
                  </c:numRef>
                </c:val>
                <c:smooth val="0"/>
                <c:extLst xmlns:c15="http://schemas.microsoft.com/office/drawing/2012/chart">
                  <c:ext xmlns:c16="http://schemas.microsoft.com/office/drawing/2014/chart" uri="{C3380CC4-5D6E-409C-BE32-E72D297353CC}">
                    <c16:uniqueId val="{00000004-BB56-4A49-9DEA-9987653E437D}"/>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DS!$A$23</c15:sqref>
                        </c15:formulaRef>
                      </c:ext>
                    </c:extLst>
                    <c:strCache>
                      <c:ptCount val="1"/>
                      <c:pt idx="0">
                        <c:v>Non Dept &amp; Other Entities Funds</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DS!$B$5:$L$5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DS!$B$23:$L$23</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BB56-4A49-9DEA-9987653E437D}"/>
                  </c:ext>
                </c:extLst>
              </c15:ser>
            </c15:filteredLineSeries>
          </c:ext>
        </c:extLst>
      </c:lineChart>
      <c:catAx>
        <c:axId val="725613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618080"/>
        <c:crosses val="autoZero"/>
        <c:auto val="1"/>
        <c:lblAlgn val="ctr"/>
        <c:lblOffset val="100"/>
        <c:noMultiLvlLbl val="0"/>
      </c:catAx>
      <c:valAx>
        <c:axId val="725618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613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DS!$A$30</c:f>
              <c:strCache>
                <c:ptCount val="1"/>
                <c:pt idx="0">
                  <c:v>Expenditures per Capita</c:v>
                </c:pt>
              </c:strCache>
            </c:strRef>
          </c:tx>
          <c:spPr>
            <a:ln w="28575" cap="rnd">
              <a:solidFill>
                <a:sysClr val="windowText" lastClr="000000"/>
              </a:solidFill>
              <a:round/>
            </a:ln>
            <a:effectLst/>
          </c:spPr>
          <c:marker>
            <c:symbol val="none"/>
          </c:marker>
          <c:cat>
            <c:numRef>
              <c:f>DS!$B$29:$L$29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DS!$B$30:$L$30</c:f>
              <c:numCache>
                <c:formatCode>_("$"* #,##0.00_);_("$"* \(#,##0.00\);_("$"* "-"??_);_(@_)</c:formatCode>
                <c:ptCount val="11"/>
                <c:pt idx="0">
                  <c:v>38.303932744371615</c:v>
                </c:pt>
                <c:pt idx="1">
                  <c:v>37.626553688996488</c:v>
                </c:pt>
                <c:pt idx="2">
                  <c:v>36.736740303369643</c:v>
                </c:pt>
                <c:pt idx="3">
                  <c:v>27.113021156314446</c:v>
                </c:pt>
                <c:pt idx="4">
                  <c:v>34.150802898962624</c:v>
                </c:pt>
                <c:pt idx="5">
                  <c:v>43.29204387064074</c:v>
                </c:pt>
                <c:pt idx="6">
                  <c:v>45.602152002179245</c:v>
                </c:pt>
                <c:pt idx="7">
                  <c:v>45.906110102843314</c:v>
                </c:pt>
                <c:pt idx="8">
                  <c:v>47.894053270042193</c:v>
                </c:pt>
                <c:pt idx="9">
                  <c:v>52.301066500996612</c:v>
                </c:pt>
                <c:pt idx="10">
                  <c:v>39.703279311218033</c:v>
                </c:pt>
              </c:numCache>
            </c:numRef>
          </c:val>
          <c:smooth val="0"/>
          <c:extLst>
            <c:ext xmlns:c16="http://schemas.microsoft.com/office/drawing/2014/chart" uri="{C3380CC4-5D6E-409C-BE32-E72D297353CC}">
              <c16:uniqueId val="{00000000-D4D0-4093-A82B-91C9F2679B07}"/>
            </c:ext>
          </c:extLst>
        </c:ser>
        <c:dLbls>
          <c:showLegendKey val="0"/>
          <c:showVal val="0"/>
          <c:showCatName val="0"/>
          <c:showSerName val="0"/>
          <c:showPercent val="0"/>
          <c:showBubbleSize val="0"/>
        </c:dLbls>
        <c:smooth val="0"/>
        <c:axId val="752694000"/>
        <c:axId val="752698592"/>
      </c:lineChart>
      <c:catAx>
        <c:axId val="75269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698592"/>
        <c:crosses val="autoZero"/>
        <c:auto val="1"/>
        <c:lblAlgn val="ctr"/>
        <c:lblOffset val="100"/>
        <c:noMultiLvlLbl val="0"/>
      </c:catAx>
      <c:valAx>
        <c:axId val="7526985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694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DS!$A$33</c:f>
              <c:strCache>
                <c:ptCount val="1"/>
                <c:pt idx="0">
                  <c:v>Expenditures per FTE</c:v>
                </c:pt>
              </c:strCache>
            </c:strRef>
          </c:tx>
          <c:spPr>
            <a:ln w="28575" cap="rnd">
              <a:solidFill>
                <a:sysClr val="windowText" lastClr="000000"/>
              </a:solidFill>
              <a:round/>
            </a:ln>
            <a:effectLst/>
          </c:spPr>
          <c:marker>
            <c:symbol val="none"/>
          </c:marker>
          <c:cat>
            <c:numRef>
              <c:f>DS!$B$38:$L$38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DS!$B$33:$L$33</c:f>
              <c:numCache>
                <c:formatCode>_("$"* #,##0_);_("$"* \(#,##0\);_("$"* "-"??_);_(@_)</c:formatCode>
                <c:ptCount val="11"/>
                <c:pt idx="0">
                  <c:v>82712.923076923078</c:v>
                </c:pt>
                <c:pt idx="1">
                  <c:v>107322.02105263158</c:v>
                </c:pt>
                <c:pt idx="2">
                  <c:v>106360.21052631579</c:v>
                </c:pt>
                <c:pt idx="3">
                  <c:v>79159.747368421056</c:v>
                </c:pt>
                <c:pt idx="4">
                  <c:v>102569.01408450704</c:v>
                </c:pt>
                <c:pt idx="5">
                  <c:v>128227.8565471226</c:v>
                </c:pt>
                <c:pt idx="6">
                  <c:v>126678.39576239123</c:v>
                </c:pt>
                <c:pt idx="7">
                  <c:v>117022.82385195339</c:v>
                </c:pt>
                <c:pt idx="8">
                  <c:v>128010.04405286344</c:v>
                </c:pt>
                <c:pt idx="9">
                  <c:v>137562.04255319148</c:v>
                </c:pt>
                <c:pt idx="10">
                  <c:v>106749.44680851063</c:v>
                </c:pt>
              </c:numCache>
            </c:numRef>
          </c:val>
          <c:smooth val="0"/>
          <c:extLst>
            <c:ext xmlns:c16="http://schemas.microsoft.com/office/drawing/2014/chart" uri="{C3380CC4-5D6E-409C-BE32-E72D297353CC}">
              <c16:uniqueId val="{00000000-C8B3-48F2-B35C-B49F0FA47813}"/>
            </c:ext>
          </c:extLst>
        </c:ser>
        <c:dLbls>
          <c:showLegendKey val="0"/>
          <c:showVal val="0"/>
          <c:showCatName val="0"/>
          <c:showSerName val="0"/>
          <c:showPercent val="0"/>
          <c:showBubbleSize val="0"/>
        </c:dLbls>
        <c:smooth val="0"/>
        <c:axId val="302787320"/>
        <c:axId val="302782072"/>
      </c:lineChart>
      <c:catAx>
        <c:axId val="302787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782072"/>
        <c:crosses val="autoZero"/>
        <c:auto val="1"/>
        <c:lblAlgn val="ctr"/>
        <c:lblOffset val="100"/>
        <c:noMultiLvlLbl val="0"/>
      </c:catAx>
      <c:valAx>
        <c:axId val="3027820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787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Economic Development Revenue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ED!$A$6</c:f>
              <c:strCache>
                <c:ptCount val="1"/>
                <c:pt idx="0">
                  <c:v>General Fund</c:v>
                </c:pt>
              </c:strCache>
              <c:extLst xmlns:c15="http://schemas.microsoft.com/office/drawing/2012/chart"/>
            </c:strRef>
          </c:tx>
          <c:spPr>
            <a:ln w="28575" cap="rnd">
              <a:solidFill>
                <a:srgbClr val="FF0000"/>
              </a:solidFill>
              <a:round/>
            </a:ln>
            <a:effectLst/>
          </c:spPr>
          <c:marker>
            <c:symbol val="none"/>
          </c:marker>
          <c:cat>
            <c:numRef>
              <c:f>ED!$B$5:$L$5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ED!$B$6:$L$6</c:f>
              <c:numCache>
                <c:formatCode>_("$"* #,##0_);_("$"* \(#,##0\);_("$"* "-"??_);_(@_)</c:formatCode>
                <c:ptCount val="11"/>
                <c:pt idx="0">
                  <c:v>138175</c:v>
                </c:pt>
                <c:pt idx="1">
                  <c:v>492384</c:v>
                </c:pt>
                <c:pt idx="2">
                  <c:v>968122</c:v>
                </c:pt>
                <c:pt idx="3">
                  <c:v>1275952</c:v>
                </c:pt>
                <c:pt idx="4">
                  <c:v>1824776</c:v>
                </c:pt>
                <c:pt idx="5">
                  <c:v>5071156</c:v>
                </c:pt>
                <c:pt idx="6">
                  <c:v>2749680</c:v>
                </c:pt>
                <c:pt idx="7">
                  <c:v>2627052</c:v>
                </c:pt>
                <c:pt idx="8">
                  <c:v>973472</c:v>
                </c:pt>
                <c:pt idx="9">
                  <c:v>985621</c:v>
                </c:pt>
                <c:pt idx="10">
                  <c:v>283931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ED2F-435C-BE7A-AE568E3DA98F}"/>
            </c:ext>
          </c:extLst>
        </c:ser>
        <c:ser>
          <c:idx val="4"/>
          <c:order val="4"/>
          <c:tx>
            <c:strRef>
              <c:f>ED!$A$9</c:f>
              <c:strCache>
                <c:ptCount val="1"/>
                <c:pt idx="0">
                  <c:v>Special Revenue Funds</c:v>
                </c:pt>
              </c:strCache>
              <c:extLst xmlns:c15="http://schemas.microsoft.com/office/drawing/2012/chart"/>
            </c:strRef>
          </c:tx>
          <c:spPr>
            <a:ln w="28575" cap="rnd">
              <a:solidFill>
                <a:schemeClr val="accent5"/>
              </a:solidFill>
              <a:round/>
            </a:ln>
            <a:effectLst/>
          </c:spPr>
          <c:marker>
            <c:symbol val="none"/>
          </c:marker>
          <c:cat>
            <c:numRef>
              <c:f>ED!$B$5:$L$5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ED!$B$9:$L$9</c:f>
              <c:numCache>
                <c:formatCode>_("$"* #,##0_);_("$"* \(#,##0\);_("$"* "-"??_);_(@_)</c:formatCode>
                <c:ptCount val="11"/>
                <c:pt idx="0">
                  <c:v>0</c:v>
                </c:pt>
                <c:pt idx="1">
                  <c:v>516389</c:v>
                </c:pt>
                <c:pt idx="2">
                  <c:v>596480</c:v>
                </c:pt>
                <c:pt idx="3">
                  <c:v>718637</c:v>
                </c:pt>
                <c:pt idx="4">
                  <c:v>799090</c:v>
                </c:pt>
                <c:pt idx="5">
                  <c:v>2697549</c:v>
                </c:pt>
                <c:pt idx="6">
                  <c:v>1402543</c:v>
                </c:pt>
                <c:pt idx="7">
                  <c:v>2166189</c:v>
                </c:pt>
                <c:pt idx="8">
                  <c:v>1100139</c:v>
                </c:pt>
                <c:pt idx="9">
                  <c:v>940123</c:v>
                </c:pt>
                <c:pt idx="10">
                  <c:v>1058069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ED2F-435C-BE7A-AE568E3DA98F}"/>
            </c:ext>
          </c:extLst>
        </c:ser>
        <c:ser>
          <c:idx val="6"/>
          <c:order val="6"/>
          <c:tx>
            <c:strRef>
              <c:f>ED!$A$11</c:f>
              <c:strCache>
                <c:ptCount val="1"/>
                <c:pt idx="0">
                  <c:v>Total City Budget Revenues</c:v>
                </c:pt>
              </c:strCache>
            </c:strRef>
          </c:tx>
          <c:spPr>
            <a:ln w="28575" cap="rnd">
              <a:solidFill>
                <a:sysClr val="windowText" lastClr="000000"/>
              </a:solidFill>
              <a:round/>
            </a:ln>
            <a:effectLst/>
          </c:spPr>
          <c:marker>
            <c:symbol val="none"/>
          </c:marker>
          <c:cat>
            <c:numRef>
              <c:f>ED!$B$5:$L$5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ED!$B$11:$L$11</c:f>
              <c:numCache>
                <c:formatCode>_("$"* #,##0_);_("$"* \(#,##0\);_("$"* "-"??_);_(@_)</c:formatCode>
                <c:ptCount val="11"/>
                <c:pt idx="0">
                  <c:v>138175</c:v>
                </c:pt>
                <c:pt idx="1">
                  <c:v>1008773</c:v>
                </c:pt>
                <c:pt idx="2">
                  <c:v>1564602</c:v>
                </c:pt>
                <c:pt idx="3">
                  <c:v>1994589</c:v>
                </c:pt>
                <c:pt idx="4">
                  <c:v>2623866</c:v>
                </c:pt>
                <c:pt idx="5">
                  <c:v>7768705</c:v>
                </c:pt>
                <c:pt idx="6">
                  <c:v>4152223</c:v>
                </c:pt>
                <c:pt idx="7">
                  <c:v>4793241</c:v>
                </c:pt>
                <c:pt idx="8">
                  <c:v>2073611</c:v>
                </c:pt>
                <c:pt idx="9">
                  <c:v>1925744</c:v>
                </c:pt>
                <c:pt idx="10">
                  <c:v>1342000</c:v>
                </c:pt>
              </c:numCache>
            </c:numRef>
          </c:val>
          <c:smooth val="0"/>
          <c:extLst>
            <c:ext xmlns:c16="http://schemas.microsoft.com/office/drawing/2014/chart" uri="{C3380CC4-5D6E-409C-BE32-E72D297353CC}">
              <c16:uniqueId val="{00000002-ED2F-435C-BE7A-AE568E3DA98F}"/>
            </c:ext>
          </c:extLst>
        </c:ser>
        <c:dLbls>
          <c:showLegendKey val="0"/>
          <c:showVal val="0"/>
          <c:showCatName val="0"/>
          <c:showSerName val="0"/>
          <c:showPercent val="0"/>
          <c:showBubbleSize val="0"/>
        </c:dLbls>
        <c:smooth val="0"/>
        <c:axId val="500982392"/>
        <c:axId val="500982720"/>
        <c:extLst>
          <c:ext xmlns:c15="http://schemas.microsoft.com/office/drawing/2012/chart" uri="{02D57815-91ED-43cb-92C2-25804820EDAC}">
            <c15:filteredLineSeries>
              <c15:ser>
                <c:idx val="0"/>
                <c:order val="0"/>
                <c:tx>
                  <c:strRef>
                    <c:extLst>
                      <c:ext uri="{02D57815-91ED-43cb-92C2-25804820EDAC}">
                        <c15:formulaRef>
                          <c15:sqref>ED!$A$5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ED!$B$5:$L$5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ED!#REF!</c15:sqref>
                        </c15:formulaRef>
                      </c:ext>
                    </c:extLst>
                    <c:numCache>
                      <c:formatCode>General</c:formatCode>
                      <c:ptCount val="1"/>
                      <c:pt idx="0">
                        <c:v>1</c:v>
                      </c:pt>
                    </c:numCache>
                  </c:numRef>
                </c:val>
                <c:smooth val="0"/>
                <c:extLst>
                  <c:ext xmlns:c16="http://schemas.microsoft.com/office/drawing/2014/chart" uri="{C3380CC4-5D6E-409C-BE32-E72D297353CC}">
                    <c16:uniqueId val="{00000003-ED2F-435C-BE7A-AE568E3DA98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ED!$A$7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ED!$B$5:$L$5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ED!$B$7:$L$7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ED2F-435C-BE7A-AE568E3DA98F}"/>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ED!$A$8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ED!$B$5:$L$5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ED!$B$8:$L$8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ED2F-435C-BE7A-AE568E3DA98F}"/>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ED!$A$10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ED!$B$5:$L$5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ED!$B$10:$L$10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6-ED2F-435C-BE7A-AE568E3DA98F}"/>
                  </c:ext>
                </c:extLst>
              </c15:ser>
            </c15:filteredLineSeries>
          </c:ext>
        </c:extLst>
      </c:lineChart>
      <c:catAx>
        <c:axId val="50098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982720"/>
        <c:crosses val="autoZero"/>
        <c:auto val="1"/>
        <c:lblAlgn val="ctr"/>
        <c:lblOffset val="100"/>
        <c:noMultiLvlLbl val="0"/>
      </c:catAx>
      <c:valAx>
        <c:axId val="50098272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982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Economic Development</a:t>
            </a:r>
            <a:r>
              <a:rPr lang="en-US" baseline="0"/>
              <a:t> Expenses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ED!$A$15</c:f>
              <c:strCache>
                <c:ptCount val="1"/>
                <c:pt idx="0">
                  <c:v>General Fund</c:v>
                </c:pt>
              </c:strCache>
            </c:strRef>
          </c:tx>
          <c:spPr>
            <a:ln w="28575" cap="rnd">
              <a:solidFill>
                <a:srgbClr val="FF0000"/>
              </a:solidFill>
              <a:round/>
            </a:ln>
            <a:effectLst/>
          </c:spPr>
          <c:marker>
            <c:symbol val="none"/>
          </c:marker>
          <c:cat>
            <c:numRef>
              <c:f>ED!$B$5:$L$5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ED!$B$15:$L$15</c:f>
              <c:numCache>
                <c:formatCode>_("$"* #,##0_);_("$"* \(#,##0\);_("$"* "-"??_);_(@_)</c:formatCode>
                <c:ptCount val="11"/>
                <c:pt idx="0">
                  <c:v>138175</c:v>
                </c:pt>
                <c:pt idx="1">
                  <c:v>492384</c:v>
                </c:pt>
                <c:pt idx="2">
                  <c:v>968122</c:v>
                </c:pt>
                <c:pt idx="3">
                  <c:v>1275952</c:v>
                </c:pt>
                <c:pt idx="4">
                  <c:v>1824776</c:v>
                </c:pt>
                <c:pt idx="5">
                  <c:v>5071156</c:v>
                </c:pt>
                <c:pt idx="6">
                  <c:v>2749680</c:v>
                </c:pt>
                <c:pt idx="7">
                  <c:v>2627052</c:v>
                </c:pt>
                <c:pt idx="8">
                  <c:v>1766951</c:v>
                </c:pt>
                <c:pt idx="9">
                  <c:v>2109215</c:v>
                </c:pt>
                <c:pt idx="10">
                  <c:v>1512339</c:v>
                </c:pt>
              </c:numCache>
            </c:numRef>
          </c:val>
          <c:smooth val="0"/>
          <c:extLst>
            <c:ext xmlns:c16="http://schemas.microsoft.com/office/drawing/2014/chart" uri="{C3380CC4-5D6E-409C-BE32-E72D297353CC}">
              <c16:uniqueId val="{00000001-8C1F-4F80-8952-B0C3305E7150}"/>
            </c:ext>
          </c:extLst>
        </c:ser>
        <c:ser>
          <c:idx val="4"/>
          <c:order val="4"/>
          <c:tx>
            <c:strRef>
              <c:f>ED!$A$18</c:f>
              <c:strCache>
                <c:ptCount val="1"/>
                <c:pt idx="0">
                  <c:v>Special Revenue Funds</c:v>
                </c:pt>
              </c:strCache>
            </c:strRef>
          </c:tx>
          <c:spPr>
            <a:ln w="28575" cap="rnd">
              <a:solidFill>
                <a:schemeClr val="accent5"/>
              </a:solidFill>
              <a:round/>
            </a:ln>
            <a:effectLst/>
          </c:spPr>
          <c:marker>
            <c:symbol val="none"/>
          </c:marker>
          <c:cat>
            <c:numRef>
              <c:f>ED!$B$5:$L$5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ED!$B$18:$L$18</c:f>
              <c:numCache>
                <c:formatCode>_("$"* #,##0_);_("$"* \(#,##0\);_("$"* "-"??_);_(@_)</c:formatCode>
                <c:ptCount val="11"/>
                <c:pt idx="0">
                  <c:v>0</c:v>
                </c:pt>
                <c:pt idx="1">
                  <c:v>117129</c:v>
                </c:pt>
                <c:pt idx="2">
                  <c:v>277274</c:v>
                </c:pt>
                <c:pt idx="3">
                  <c:v>494701</c:v>
                </c:pt>
                <c:pt idx="4">
                  <c:v>759006</c:v>
                </c:pt>
                <c:pt idx="5">
                  <c:v>1824347</c:v>
                </c:pt>
                <c:pt idx="6">
                  <c:v>4149754</c:v>
                </c:pt>
                <c:pt idx="7">
                  <c:v>2062438</c:v>
                </c:pt>
                <c:pt idx="8">
                  <c:v>1337481</c:v>
                </c:pt>
                <c:pt idx="9">
                  <c:v>1117488</c:v>
                </c:pt>
                <c:pt idx="10">
                  <c:v>997524</c:v>
                </c:pt>
              </c:numCache>
            </c:numRef>
          </c:val>
          <c:smooth val="0"/>
          <c:extLst>
            <c:ext xmlns:c16="http://schemas.microsoft.com/office/drawing/2014/chart" uri="{C3380CC4-5D6E-409C-BE32-E72D297353CC}">
              <c16:uniqueId val="{00000004-8C1F-4F80-8952-B0C3305E7150}"/>
            </c:ext>
          </c:extLst>
        </c:ser>
        <c:ser>
          <c:idx val="6"/>
          <c:order val="6"/>
          <c:tx>
            <c:strRef>
              <c:f>ED!$A$20</c:f>
              <c:strCache>
                <c:ptCount val="1"/>
                <c:pt idx="0">
                  <c:v>Total City Budget Expenses</c:v>
                </c:pt>
              </c:strCache>
            </c:strRef>
          </c:tx>
          <c:spPr>
            <a:ln w="28575" cap="rnd">
              <a:solidFill>
                <a:sysClr val="windowText" lastClr="000000"/>
              </a:solidFill>
              <a:round/>
            </a:ln>
            <a:effectLst/>
          </c:spPr>
          <c:marker>
            <c:symbol val="none"/>
          </c:marker>
          <c:cat>
            <c:numRef>
              <c:f>ED!$B$5:$L$5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ED!$B$20:$L$20</c:f>
              <c:numCache>
                <c:formatCode>_("$"* #,##0_);_("$"* \(#,##0\);_("$"* "-"??_);_(@_)</c:formatCode>
                <c:ptCount val="11"/>
                <c:pt idx="0">
                  <c:v>138175</c:v>
                </c:pt>
                <c:pt idx="1">
                  <c:v>609513</c:v>
                </c:pt>
                <c:pt idx="2">
                  <c:v>1245396</c:v>
                </c:pt>
                <c:pt idx="3">
                  <c:v>1770653</c:v>
                </c:pt>
                <c:pt idx="4">
                  <c:v>2583782</c:v>
                </c:pt>
                <c:pt idx="5">
                  <c:v>6895503</c:v>
                </c:pt>
                <c:pt idx="6">
                  <c:v>6899434</c:v>
                </c:pt>
                <c:pt idx="7">
                  <c:v>4689490</c:v>
                </c:pt>
                <c:pt idx="8">
                  <c:v>3104432</c:v>
                </c:pt>
                <c:pt idx="9">
                  <c:v>3226703</c:v>
                </c:pt>
                <c:pt idx="10">
                  <c:v>2509863</c:v>
                </c:pt>
              </c:numCache>
            </c:numRef>
          </c:val>
          <c:smooth val="0"/>
          <c:extLst>
            <c:ext xmlns:c16="http://schemas.microsoft.com/office/drawing/2014/chart" uri="{C3380CC4-5D6E-409C-BE32-E72D297353CC}">
              <c16:uniqueId val="{00000006-8C1F-4F80-8952-B0C3305E7150}"/>
            </c:ext>
          </c:extLst>
        </c:ser>
        <c:dLbls>
          <c:showLegendKey val="0"/>
          <c:showVal val="0"/>
          <c:showCatName val="0"/>
          <c:showSerName val="0"/>
          <c:showPercent val="0"/>
          <c:showBubbleSize val="0"/>
        </c:dLbls>
        <c:smooth val="0"/>
        <c:axId val="750642904"/>
        <c:axId val="750643560"/>
        <c:extLst>
          <c:ext xmlns:c15="http://schemas.microsoft.com/office/drawing/2012/chart" uri="{02D57815-91ED-43cb-92C2-25804820EDAC}">
            <c15:filteredLineSeries>
              <c15:ser>
                <c:idx val="0"/>
                <c:order val="0"/>
                <c:tx>
                  <c:strRef>
                    <c:extLst>
                      <c:ext uri="{02D57815-91ED-43cb-92C2-25804820EDAC}">
                        <c15:formulaRef>
                          <c15:sqref>ED!$A$14</c15:sqref>
                        </c15:formulaRef>
                      </c:ext>
                    </c:extLst>
                    <c:strCache>
                      <c:ptCount val="1"/>
                      <c:pt idx="0">
                        <c:v>Expenditures</c:v>
                      </c:pt>
                    </c:strCache>
                  </c:strRef>
                </c:tx>
                <c:spPr>
                  <a:ln w="28575" cap="rnd">
                    <a:solidFill>
                      <a:schemeClr val="accent1"/>
                    </a:solidFill>
                    <a:round/>
                  </a:ln>
                  <a:effectLst/>
                </c:spPr>
                <c:marker>
                  <c:symbol val="none"/>
                </c:marker>
                <c:cat>
                  <c:numRef>
                    <c:extLst>
                      <c:ext uri="{02D57815-91ED-43cb-92C2-25804820EDAC}">
                        <c15:formulaRef>
                          <c15:sqref>ED!$B$5:$L$5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ED!$B$14:$L$14</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8C1F-4F80-8952-B0C3305E715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ED!$A$16</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ED!$B$5:$L$5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ED!$B$16:$L$16</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8C1F-4F80-8952-B0C3305E715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ED!$A$17</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ED!$B$5:$L$5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ED!$B$17:$L$17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8C1F-4F80-8952-B0C3305E7150}"/>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ED!$A$19</c15:sqref>
                        </c15:formulaRef>
                      </c:ext>
                    </c:extLst>
                    <c:strCache>
                      <c:ptCount val="1"/>
                      <c:pt idx="0">
                        <c:v>Non Dept &amp; Other Entities Funds</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ED!$B$5:$L$5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ED!$B$19:$L$19</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8C1F-4F80-8952-B0C3305E7150}"/>
                  </c:ext>
                </c:extLst>
              </c15:ser>
            </c15:filteredLineSeries>
          </c:ext>
        </c:extLst>
      </c:lineChart>
      <c:catAx>
        <c:axId val="75064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3560"/>
        <c:crosses val="autoZero"/>
        <c:auto val="1"/>
        <c:lblAlgn val="ctr"/>
        <c:lblOffset val="100"/>
        <c:noMultiLvlLbl val="0"/>
      </c:catAx>
      <c:valAx>
        <c:axId val="7506435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642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ED!$A$24</c:f>
              <c:strCache>
                <c:ptCount val="1"/>
                <c:pt idx="0">
                  <c:v>Expenditures per Capita</c:v>
                </c:pt>
              </c:strCache>
            </c:strRef>
          </c:tx>
          <c:spPr>
            <a:ln w="28575" cap="rnd">
              <a:solidFill>
                <a:sysClr val="windowText" lastClr="000000"/>
              </a:solidFill>
              <a:round/>
            </a:ln>
            <a:effectLst/>
          </c:spPr>
          <c:marker>
            <c:symbol val="none"/>
          </c:marker>
          <c:cat>
            <c:numRef>
              <c:f>ED!$B$23:$L$23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ED!$B$24:$L$24</c:f>
              <c:numCache>
                <c:formatCode>_("$"* #,##0.00_);_("$"* \(#,##0.00\);_("$"* "-"??_);_(@_)</c:formatCode>
                <c:ptCount val="11"/>
                <c:pt idx="0">
                  <c:v>2.1876286374718976</c:v>
                </c:pt>
                <c:pt idx="1">
                  <c:v>7.2685187918868648</c:v>
                </c:pt>
                <c:pt idx="2">
                  <c:v>14.079521821963031</c:v>
                </c:pt>
                <c:pt idx="3">
                  <c:v>18.40111910702182</c:v>
                </c:pt>
                <c:pt idx="4">
                  <c:v>25.931163848230781</c:v>
                </c:pt>
                <c:pt idx="5">
                  <c:v>71.39758120151491</c:v>
                </c:pt>
                <c:pt idx="6">
                  <c:v>37.451375646962681</c:v>
                </c:pt>
                <c:pt idx="7">
                  <c:v>35.316959064327484</c:v>
                </c:pt>
                <c:pt idx="8">
                  <c:v>23.298404535864979</c:v>
                </c:pt>
                <c:pt idx="9">
                  <c:v>27.29951334420543</c:v>
                </c:pt>
                <c:pt idx="10">
                  <c:v>19.148379336540895</c:v>
                </c:pt>
              </c:numCache>
            </c:numRef>
          </c:val>
          <c:smooth val="0"/>
          <c:extLst>
            <c:ext xmlns:c16="http://schemas.microsoft.com/office/drawing/2014/chart" uri="{C3380CC4-5D6E-409C-BE32-E72D297353CC}">
              <c16:uniqueId val="{00000000-B66A-4312-B123-3DBC9ACC942B}"/>
            </c:ext>
          </c:extLst>
        </c:ser>
        <c:dLbls>
          <c:showLegendKey val="0"/>
          <c:showVal val="0"/>
          <c:showCatName val="0"/>
          <c:showSerName val="0"/>
          <c:showPercent val="0"/>
          <c:showBubbleSize val="0"/>
        </c:dLbls>
        <c:smooth val="0"/>
        <c:axId val="753488856"/>
        <c:axId val="753495744"/>
      </c:lineChart>
      <c:catAx>
        <c:axId val="753488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495744"/>
        <c:crosses val="autoZero"/>
        <c:auto val="1"/>
        <c:lblAlgn val="ctr"/>
        <c:lblOffset val="100"/>
        <c:noMultiLvlLbl val="0"/>
      </c:catAx>
      <c:valAx>
        <c:axId val="7534957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488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ED!$A$27</c:f>
              <c:strCache>
                <c:ptCount val="1"/>
                <c:pt idx="0">
                  <c:v>Expenditures per FTE</c:v>
                </c:pt>
              </c:strCache>
            </c:strRef>
          </c:tx>
          <c:spPr>
            <a:ln w="28575" cap="rnd">
              <a:solidFill>
                <a:sysClr val="windowText" lastClr="000000"/>
              </a:solidFill>
              <a:round/>
            </a:ln>
            <a:effectLst/>
          </c:spPr>
          <c:marker>
            <c:symbol val="none"/>
          </c:marker>
          <c:cat>
            <c:numRef>
              <c:f>ED!$B$23:$L$23</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ED!$B$27:$L$27</c:f>
              <c:numCache>
                <c:formatCode>_("$"* #,##0_);_("$"* \(#,##0\);_("$"* "-"??_);_(@_)</c:formatCode>
                <c:ptCount val="11"/>
                <c:pt idx="0">
                  <c:v>92116.666666666672</c:v>
                </c:pt>
                <c:pt idx="1">
                  <c:v>492384</c:v>
                </c:pt>
                <c:pt idx="2">
                  <c:v>209097.62419006479</c:v>
                </c:pt>
                <c:pt idx="3">
                  <c:v>275583.58531317493</c:v>
                </c:pt>
                <c:pt idx="4">
                  <c:v>275230.16591251886</c:v>
                </c:pt>
                <c:pt idx="5">
                  <c:v>676154.1333333333</c:v>
                </c:pt>
                <c:pt idx="6">
                  <c:v>366624</c:v>
                </c:pt>
                <c:pt idx="7">
                  <c:v>328381.5</c:v>
                </c:pt>
                <c:pt idx="8">
                  <c:v>220868.875</c:v>
                </c:pt>
                <c:pt idx="9">
                  <c:v>263651.875</c:v>
                </c:pt>
                <c:pt idx="10">
                  <c:v>189042.375</c:v>
                </c:pt>
              </c:numCache>
            </c:numRef>
          </c:val>
          <c:smooth val="0"/>
          <c:extLst>
            <c:ext xmlns:c16="http://schemas.microsoft.com/office/drawing/2014/chart" uri="{C3380CC4-5D6E-409C-BE32-E72D297353CC}">
              <c16:uniqueId val="{00000000-1DC9-4ABD-BACA-2ADF55C3A57F}"/>
            </c:ext>
          </c:extLst>
        </c:ser>
        <c:dLbls>
          <c:showLegendKey val="0"/>
          <c:showVal val="0"/>
          <c:showCatName val="0"/>
          <c:showSerName val="0"/>
          <c:showPercent val="0"/>
          <c:showBubbleSize val="0"/>
        </c:dLbls>
        <c:smooth val="0"/>
        <c:axId val="760080536"/>
        <c:axId val="760080864"/>
      </c:lineChart>
      <c:catAx>
        <c:axId val="760080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0080864"/>
        <c:crosses val="autoZero"/>
        <c:auto val="1"/>
        <c:lblAlgn val="ctr"/>
        <c:lblOffset val="100"/>
        <c:noMultiLvlLbl val="0"/>
      </c:catAx>
      <c:valAx>
        <c:axId val="76008086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0080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Finance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FIN!$A$6</c:f>
              <c:strCache>
                <c:ptCount val="1"/>
                <c:pt idx="0">
                  <c:v>General Fund</c:v>
                </c:pt>
              </c:strCache>
              <c:extLst xmlns:c15="http://schemas.microsoft.com/office/drawing/2012/chart"/>
            </c:strRef>
          </c:tx>
          <c:spPr>
            <a:ln w="28575" cap="rnd">
              <a:solidFill>
                <a:srgbClr val="FF0000"/>
              </a:solidFill>
              <a:round/>
            </a:ln>
            <a:effectLst/>
          </c:spPr>
          <c:marker>
            <c:symbol val="none"/>
          </c:marker>
          <c:cat>
            <c:numRef>
              <c:f>FIN!$B$5:$L$5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FIN!$B$6:$L$6</c:f>
              <c:numCache>
                <c:formatCode>_("$"* #,##0_);_("$"* \(#,##0\);_("$"* "-"??_);_(@_)</c:formatCode>
                <c:ptCount val="11"/>
                <c:pt idx="0">
                  <c:v>394398</c:v>
                </c:pt>
                <c:pt idx="1">
                  <c:v>2163129</c:v>
                </c:pt>
                <c:pt idx="2">
                  <c:v>3607144</c:v>
                </c:pt>
                <c:pt idx="3">
                  <c:v>3728933</c:v>
                </c:pt>
                <c:pt idx="4">
                  <c:v>4221458</c:v>
                </c:pt>
                <c:pt idx="5">
                  <c:v>4730495</c:v>
                </c:pt>
                <c:pt idx="6">
                  <c:v>4677191</c:v>
                </c:pt>
                <c:pt idx="7">
                  <c:v>5095808</c:v>
                </c:pt>
                <c:pt idx="8">
                  <c:v>5350158</c:v>
                </c:pt>
                <c:pt idx="9">
                  <c:v>5736967</c:v>
                </c:pt>
                <c:pt idx="10">
                  <c:v>570937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C8E-4C8E-9AE9-46DC7A8E183C}"/>
            </c:ext>
          </c:extLst>
        </c:ser>
        <c:ser>
          <c:idx val="2"/>
          <c:order val="2"/>
          <c:tx>
            <c:strRef>
              <c:f>FIN!$A$7</c:f>
              <c:strCache>
                <c:ptCount val="1"/>
                <c:pt idx="0">
                  <c:v>Internal Service Funds</c:v>
                </c:pt>
              </c:strCache>
              <c:extLst xmlns:c15="http://schemas.microsoft.com/office/drawing/2012/chart"/>
            </c:strRef>
          </c:tx>
          <c:spPr>
            <a:ln w="28575" cap="rnd">
              <a:solidFill>
                <a:schemeClr val="accent3"/>
              </a:solidFill>
              <a:round/>
            </a:ln>
            <a:effectLst/>
          </c:spPr>
          <c:marker>
            <c:symbol val="none"/>
          </c:marker>
          <c:cat>
            <c:numRef>
              <c:f>FIN!$B$5:$L$5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FIN!$B$7:$L$7</c:f>
              <c:numCache>
                <c:formatCode>_("$"* #,##0_);_("$"* \(#,##0\);_("$"* "-"??_);_(@_)</c:formatCode>
                <c:ptCount val="11"/>
                <c:pt idx="0">
                  <c:v>2327974</c:v>
                </c:pt>
                <c:pt idx="1">
                  <c:v>2626405</c:v>
                </c:pt>
                <c:pt idx="2">
                  <c:v>0</c:v>
                </c:pt>
                <c:pt idx="3">
                  <c:v>0</c:v>
                </c:pt>
                <c:pt idx="4">
                  <c:v>0</c:v>
                </c:pt>
                <c:pt idx="5">
                  <c:v>0</c:v>
                </c:pt>
                <c:pt idx="6">
                  <c:v>0</c:v>
                </c:pt>
                <c:pt idx="7">
                  <c:v>0</c:v>
                </c:pt>
                <c:pt idx="8">
                  <c:v>0</c:v>
                </c:pt>
                <c:pt idx="9">
                  <c:v>0</c:v>
                </c:pt>
                <c:pt idx="10">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3C8E-4C8E-9AE9-46DC7A8E183C}"/>
            </c:ext>
          </c:extLst>
        </c:ser>
        <c:ser>
          <c:idx val="6"/>
          <c:order val="6"/>
          <c:tx>
            <c:strRef>
              <c:f>FIN!$A$11</c:f>
              <c:strCache>
                <c:ptCount val="1"/>
                <c:pt idx="0">
                  <c:v>Total City Budget Revenues</c:v>
                </c:pt>
              </c:strCache>
            </c:strRef>
          </c:tx>
          <c:spPr>
            <a:ln w="28575" cap="rnd">
              <a:solidFill>
                <a:sysClr val="windowText" lastClr="000000"/>
              </a:solidFill>
              <a:round/>
            </a:ln>
            <a:effectLst/>
          </c:spPr>
          <c:marker>
            <c:symbol val="none"/>
          </c:marker>
          <c:cat>
            <c:numRef>
              <c:f>FIN!$B$5:$L$5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FIN!$B$11:$L$11</c:f>
              <c:numCache>
                <c:formatCode>_("$"* #,##0_);_("$"* \(#,##0\);_("$"* "-"??_);_(@_)</c:formatCode>
                <c:ptCount val="11"/>
                <c:pt idx="0">
                  <c:v>2722372</c:v>
                </c:pt>
                <c:pt idx="1">
                  <c:v>4789534</c:v>
                </c:pt>
                <c:pt idx="2">
                  <c:v>3607144</c:v>
                </c:pt>
                <c:pt idx="3">
                  <c:v>3728933</c:v>
                </c:pt>
                <c:pt idx="4">
                  <c:v>4221458</c:v>
                </c:pt>
                <c:pt idx="5">
                  <c:v>4730495</c:v>
                </c:pt>
                <c:pt idx="6">
                  <c:v>4677191</c:v>
                </c:pt>
                <c:pt idx="7">
                  <c:v>5095808</c:v>
                </c:pt>
                <c:pt idx="8">
                  <c:v>5350158</c:v>
                </c:pt>
                <c:pt idx="9">
                  <c:v>5736967</c:v>
                </c:pt>
                <c:pt idx="10">
                  <c:v>570937</c:v>
                </c:pt>
              </c:numCache>
            </c:numRef>
          </c:val>
          <c:smooth val="0"/>
          <c:extLst>
            <c:ext xmlns:c16="http://schemas.microsoft.com/office/drawing/2014/chart" uri="{C3380CC4-5D6E-409C-BE32-E72D297353CC}">
              <c16:uniqueId val="{00000002-3C8E-4C8E-9AE9-46DC7A8E183C}"/>
            </c:ext>
          </c:extLst>
        </c:ser>
        <c:dLbls>
          <c:showLegendKey val="0"/>
          <c:showVal val="0"/>
          <c:showCatName val="0"/>
          <c:showSerName val="0"/>
          <c:showPercent val="0"/>
          <c:showBubbleSize val="0"/>
        </c:dLbls>
        <c:smooth val="0"/>
        <c:axId val="603984984"/>
        <c:axId val="603987280"/>
        <c:extLst>
          <c:ext xmlns:c15="http://schemas.microsoft.com/office/drawing/2012/chart" uri="{02D57815-91ED-43cb-92C2-25804820EDAC}">
            <c15:filteredLineSeries>
              <c15:ser>
                <c:idx val="0"/>
                <c:order val="0"/>
                <c:tx>
                  <c:strRef>
                    <c:extLst>
                      <c:ext uri="{02D57815-91ED-43cb-92C2-25804820EDAC}">
                        <c15:formulaRef>
                          <c15:sqref>FIN!$A$5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FIN!$B$5:$L$5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FIN!#REF!</c15:sqref>
                        </c15:formulaRef>
                      </c:ext>
                    </c:extLst>
                    <c:numCache>
                      <c:formatCode>General</c:formatCode>
                      <c:ptCount val="1"/>
                      <c:pt idx="0">
                        <c:v>1</c:v>
                      </c:pt>
                    </c:numCache>
                  </c:numRef>
                </c:val>
                <c:smooth val="0"/>
                <c:extLst>
                  <c:ext xmlns:c16="http://schemas.microsoft.com/office/drawing/2014/chart" uri="{C3380CC4-5D6E-409C-BE32-E72D297353CC}">
                    <c16:uniqueId val="{00000003-3C8E-4C8E-9AE9-46DC7A8E183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FIN!$A$8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FIN!$B$5:$L$5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FIN!$B$8:$L$8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3C8E-4C8E-9AE9-46DC7A8E183C}"/>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FIN!$A$9</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FIN!$B$5:$L$5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FIN!$B$9:$L$9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3C8E-4C8E-9AE9-46DC7A8E183C}"/>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FIN!$A$10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FIN!$B$5:$L$5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FIN!$B$10:$L$10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6-3C8E-4C8E-9AE9-46DC7A8E183C}"/>
                  </c:ext>
                </c:extLst>
              </c15:ser>
            </c15:filteredLineSeries>
          </c:ext>
        </c:extLst>
      </c:lineChart>
      <c:catAx>
        <c:axId val="603984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87280"/>
        <c:crosses val="autoZero"/>
        <c:auto val="1"/>
        <c:lblAlgn val="ctr"/>
        <c:lblOffset val="100"/>
        <c:noMultiLvlLbl val="0"/>
      </c:catAx>
      <c:valAx>
        <c:axId val="6039872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84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Finance Expenses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FIN!$A$15</c:f>
              <c:strCache>
                <c:ptCount val="1"/>
                <c:pt idx="0">
                  <c:v>General Fund</c:v>
                </c:pt>
              </c:strCache>
            </c:strRef>
          </c:tx>
          <c:spPr>
            <a:ln w="28575" cap="rnd">
              <a:solidFill>
                <a:sysClr val="windowText" lastClr="000000"/>
              </a:solidFill>
              <a:round/>
            </a:ln>
            <a:effectLst/>
          </c:spPr>
          <c:marker>
            <c:symbol val="none"/>
          </c:marker>
          <c:cat>
            <c:numRef>
              <c:f>FIN!$B$5:$L$5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FIN!$B$15:$L$15</c:f>
              <c:numCache>
                <c:formatCode>_("$"* #,##0_);_("$"* \(#,##0\);_("$"* "-"??_);_(@_)</c:formatCode>
                <c:ptCount val="11"/>
                <c:pt idx="0">
                  <c:v>1730612</c:v>
                </c:pt>
                <c:pt idx="1">
                  <c:v>1311393</c:v>
                </c:pt>
                <c:pt idx="2">
                  <c:v>3607144</c:v>
                </c:pt>
                <c:pt idx="3">
                  <c:v>3728933</c:v>
                </c:pt>
                <c:pt idx="4">
                  <c:v>4221458</c:v>
                </c:pt>
                <c:pt idx="5">
                  <c:v>4730495</c:v>
                </c:pt>
                <c:pt idx="6">
                  <c:v>4677191</c:v>
                </c:pt>
                <c:pt idx="7">
                  <c:v>5095909</c:v>
                </c:pt>
                <c:pt idx="8">
                  <c:v>5963225</c:v>
                </c:pt>
                <c:pt idx="9">
                  <c:v>6881917</c:v>
                </c:pt>
                <c:pt idx="10">
                  <c:v>5795486</c:v>
                </c:pt>
              </c:numCache>
            </c:numRef>
          </c:val>
          <c:smooth val="0"/>
          <c:extLst>
            <c:ext xmlns:c16="http://schemas.microsoft.com/office/drawing/2014/chart" uri="{C3380CC4-5D6E-409C-BE32-E72D297353CC}">
              <c16:uniqueId val="{00000001-B0BE-4590-857C-FD932F7537F3}"/>
            </c:ext>
          </c:extLst>
        </c:ser>
        <c:dLbls>
          <c:showLegendKey val="0"/>
          <c:showVal val="0"/>
          <c:showCatName val="0"/>
          <c:showSerName val="0"/>
          <c:showPercent val="0"/>
          <c:showBubbleSize val="0"/>
        </c:dLbls>
        <c:smooth val="0"/>
        <c:axId val="734513456"/>
        <c:axId val="734511816"/>
        <c:extLst>
          <c:ext xmlns:c15="http://schemas.microsoft.com/office/drawing/2012/chart" uri="{02D57815-91ED-43cb-92C2-25804820EDAC}">
            <c15:filteredLineSeries>
              <c15:ser>
                <c:idx val="0"/>
                <c:order val="0"/>
                <c:tx>
                  <c:strRef>
                    <c:extLst>
                      <c:ext uri="{02D57815-91ED-43cb-92C2-25804820EDAC}">
                        <c15:formulaRef>
                          <c15:sqref>FIN!$A$14</c15:sqref>
                        </c15:formulaRef>
                      </c:ext>
                    </c:extLst>
                    <c:strCache>
                      <c:ptCount val="1"/>
                      <c:pt idx="0">
                        <c:v>Expenditures</c:v>
                      </c:pt>
                    </c:strCache>
                  </c:strRef>
                </c:tx>
                <c:spPr>
                  <a:ln w="28575" cap="rnd">
                    <a:solidFill>
                      <a:schemeClr val="accent1"/>
                    </a:solidFill>
                    <a:round/>
                  </a:ln>
                  <a:effectLst/>
                </c:spPr>
                <c:marker>
                  <c:symbol val="none"/>
                </c:marker>
                <c:cat>
                  <c:numRef>
                    <c:extLst>
                      <c:ext uri="{02D57815-91ED-43cb-92C2-25804820EDAC}">
                        <c15:formulaRef>
                          <c15:sqref>FIN!$B$5:$L$5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FIN!$B$14:$L$14</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B0BE-4590-857C-FD932F7537F3}"/>
                  </c:ext>
                </c:extLst>
              </c15:ser>
            </c15:filteredLineSeries>
          </c:ext>
        </c:extLst>
      </c:lineChart>
      <c:catAx>
        <c:axId val="73451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11816"/>
        <c:crosses val="autoZero"/>
        <c:auto val="1"/>
        <c:lblAlgn val="ctr"/>
        <c:lblOffset val="100"/>
        <c:noMultiLvlLbl val="0"/>
      </c:catAx>
      <c:valAx>
        <c:axId val="7345118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13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Expentitures per FTE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'All Depts'!$A$52</c:f>
              <c:strCache>
                <c:ptCount val="1"/>
                <c:pt idx="0">
                  <c:v>General Fund</c:v>
                </c:pt>
              </c:strCache>
            </c:strRef>
          </c:tx>
          <c:spPr>
            <a:ln w="28575" cap="rnd">
              <a:solidFill>
                <a:srgbClr val="FF0000"/>
              </a:solidFill>
              <a:round/>
            </a:ln>
            <a:effectLst/>
          </c:spPr>
          <c:marker>
            <c:symbol val="none"/>
          </c:marker>
          <c:cat>
            <c:numRef>
              <c:f>'All Depts'!$B$51:$L$51</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Depts'!$B$52:$L$52</c:f>
              <c:numCache>
                <c:formatCode>_("$"* #,##0_);_("$"* \(#,##0\);_("$"* "-"??_);_(@_)</c:formatCode>
                <c:ptCount val="11"/>
                <c:pt idx="0">
                  <c:v>91930.711111111115</c:v>
                </c:pt>
                <c:pt idx="1">
                  <c:v>96435.842718446598</c:v>
                </c:pt>
                <c:pt idx="2">
                  <c:v>104881.3500967118</c:v>
                </c:pt>
                <c:pt idx="3">
                  <c:v>90140.934615384613</c:v>
                </c:pt>
                <c:pt idx="4">
                  <c:v>111584.39696312364</c:v>
                </c:pt>
                <c:pt idx="5">
                  <c:v>128954.76729559748</c:v>
                </c:pt>
                <c:pt idx="6">
                  <c:v>123405.16530612245</c:v>
                </c:pt>
                <c:pt idx="7">
                  <c:v>124224.81075697212</c:v>
                </c:pt>
                <c:pt idx="8">
                  <c:v>244108.30046948357</c:v>
                </c:pt>
                <c:pt idx="9">
                  <c:v>292180.84264247236</c:v>
                </c:pt>
                <c:pt idx="10">
                  <c:v>231404.92517006802</c:v>
                </c:pt>
              </c:numCache>
            </c:numRef>
          </c:val>
          <c:smooth val="0"/>
          <c:extLst>
            <c:ext xmlns:c16="http://schemas.microsoft.com/office/drawing/2014/chart" uri="{C3380CC4-5D6E-409C-BE32-E72D297353CC}">
              <c16:uniqueId val="{00000000-F4DE-4AB2-95B9-16B56CA7A091}"/>
            </c:ext>
          </c:extLst>
        </c:ser>
        <c:ser>
          <c:idx val="1"/>
          <c:order val="1"/>
          <c:tx>
            <c:strRef>
              <c:f>'All Depts'!$A$53</c:f>
              <c:strCache>
                <c:ptCount val="1"/>
                <c:pt idx="0">
                  <c:v>Internal Service Funds</c:v>
                </c:pt>
              </c:strCache>
            </c:strRef>
          </c:tx>
          <c:spPr>
            <a:ln w="28575" cap="rnd">
              <a:solidFill>
                <a:srgbClr val="92D050"/>
              </a:solidFill>
              <a:round/>
            </a:ln>
            <a:effectLst/>
          </c:spPr>
          <c:marker>
            <c:symbol val="none"/>
          </c:marker>
          <c:cat>
            <c:numRef>
              <c:f>'All Depts'!$B$51:$L$51</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Depts'!$B$53:$L$53</c:f>
              <c:numCache>
                <c:formatCode>_("$"* #,##0_);_("$"* \(#,##0\);_("$"* "-"??_);_(@_)</c:formatCode>
                <c:ptCount val="11"/>
                <c:pt idx="0">
                  <c:v>1004890.6875</c:v>
                </c:pt>
                <c:pt idx="1">
                  <c:v>957927.3125</c:v>
                </c:pt>
                <c:pt idx="2">
                  <c:v>937626.23529411759</c:v>
                </c:pt>
                <c:pt idx="3">
                  <c:v>813705</c:v>
                </c:pt>
                <c:pt idx="4">
                  <c:v>922802.05263157899</c:v>
                </c:pt>
                <c:pt idx="5">
                  <c:v>1133561.0526315789</c:v>
                </c:pt>
                <c:pt idx="6">
                  <c:v>1137634.6000000001</c:v>
                </c:pt>
                <c:pt idx="7">
                  <c:v>1087826.4736842106</c:v>
                </c:pt>
                <c:pt idx="8">
                  <c:v>1019967.4057649667</c:v>
                </c:pt>
                <c:pt idx="9">
                  <c:v>1147303.8216560509</c:v>
                </c:pt>
                <c:pt idx="10">
                  <c:v>1186976.6454352441</c:v>
                </c:pt>
              </c:numCache>
            </c:numRef>
          </c:val>
          <c:smooth val="0"/>
          <c:extLst>
            <c:ext xmlns:c16="http://schemas.microsoft.com/office/drawing/2014/chart" uri="{C3380CC4-5D6E-409C-BE32-E72D297353CC}">
              <c16:uniqueId val="{00000001-F4DE-4AB2-95B9-16B56CA7A091}"/>
            </c:ext>
          </c:extLst>
        </c:ser>
        <c:ser>
          <c:idx val="2"/>
          <c:order val="2"/>
          <c:tx>
            <c:strRef>
              <c:f>'All Depts'!$A$54</c:f>
              <c:strCache>
                <c:ptCount val="1"/>
                <c:pt idx="0">
                  <c:v>Enterprise Funds</c:v>
                </c:pt>
              </c:strCache>
            </c:strRef>
          </c:tx>
          <c:spPr>
            <a:ln w="28575" cap="rnd">
              <a:solidFill>
                <a:srgbClr val="7030A0"/>
              </a:solidFill>
              <a:round/>
            </a:ln>
            <a:effectLst/>
          </c:spPr>
          <c:marker>
            <c:symbol val="none"/>
          </c:marker>
          <c:cat>
            <c:numRef>
              <c:f>'All Depts'!$B$51:$L$51</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Depts'!$B$54:$L$54</c:f>
              <c:numCache>
                <c:formatCode>_("$"* #,##0_);_("$"* \(#,##0\);_("$"* "-"??_);_(@_)</c:formatCode>
                <c:ptCount val="11"/>
                <c:pt idx="0">
                  <c:v>413133.62903225806</c:v>
                </c:pt>
                <c:pt idx="1">
                  <c:v>440918.69491525425</c:v>
                </c:pt>
                <c:pt idx="2">
                  <c:v>540131.80116959068</c:v>
                </c:pt>
                <c:pt idx="3">
                  <c:v>505851.01744186046</c:v>
                </c:pt>
                <c:pt idx="4">
                  <c:v>607751.83431952668</c:v>
                </c:pt>
                <c:pt idx="5">
                  <c:v>718789.7028571429</c:v>
                </c:pt>
                <c:pt idx="6">
                  <c:v>782196.08152173914</c:v>
                </c:pt>
                <c:pt idx="7">
                  <c:v>737242.52127659577</c:v>
                </c:pt>
                <c:pt idx="8">
                  <c:v>766193.84733606561</c:v>
                </c:pt>
                <c:pt idx="9">
                  <c:v>997563.07578740164</c:v>
                </c:pt>
                <c:pt idx="10">
                  <c:v>967067.62540993572</c:v>
                </c:pt>
              </c:numCache>
            </c:numRef>
          </c:val>
          <c:smooth val="0"/>
          <c:extLst>
            <c:ext xmlns:c16="http://schemas.microsoft.com/office/drawing/2014/chart" uri="{C3380CC4-5D6E-409C-BE32-E72D297353CC}">
              <c16:uniqueId val="{00000002-F4DE-4AB2-95B9-16B56CA7A091}"/>
            </c:ext>
          </c:extLst>
        </c:ser>
        <c:ser>
          <c:idx val="3"/>
          <c:order val="3"/>
          <c:tx>
            <c:strRef>
              <c:f>'All Depts'!$A$55</c:f>
              <c:strCache>
                <c:ptCount val="1"/>
                <c:pt idx="0">
                  <c:v>Special Revenue Funds</c:v>
                </c:pt>
              </c:strCache>
            </c:strRef>
          </c:tx>
          <c:spPr>
            <a:ln w="28575" cap="rnd">
              <a:solidFill>
                <a:srgbClr val="00B0F0"/>
              </a:solidFill>
              <a:round/>
            </a:ln>
            <a:effectLst/>
          </c:spPr>
          <c:marker>
            <c:symbol val="none"/>
          </c:marker>
          <c:cat>
            <c:numRef>
              <c:f>'All Depts'!$B$51:$L$51</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Depts'!$B$55:$L$55</c:f>
              <c:numCache>
                <c:formatCode>_("$"* #,##0_);_("$"* \(#,##0\);_("$"* "-"??_);_(@_)</c:formatCode>
                <c:ptCount val="11"/>
                <c:pt idx="0">
                  <c:v>151125.21052631579</c:v>
                </c:pt>
                <c:pt idx="1">
                  <c:v>159893.78947368421</c:v>
                </c:pt>
                <c:pt idx="2">
                  <c:v>268121.36842105264</c:v>
                </c:pt>
                <c:pt idx="3">
                  <c:v>268867.96491228067</c:v>
                </c:pt>
                <c:pt idx="4">
                  <c:v>326023.57894736843</c:v>
                </c:pt>
                <c:pt idx="5">
                  <c:v>394200.6724137931</c:v>
                </c:pt>
                <c:pt idx="6">
                  <c:v>531231.50847457629</c:v>
                </c:pt>
                <c:pt idx="7">
                  <c:v>475602.78688524588</c:v>
                </c:pt>
                <c:pt idx="8">
                  <c:v>202678.41104294479</c:v>
                </c:pt>
                <c:pt idx="9">
                  <c:v>496238.01818181819</c:v>
                </c:pt>
                <c:pt idx="10">
                  <c:v>303452.97116843704</c:v>
                </c:pt>
              </c:numCache>
            </c:numRef>
          </c:val>
          <c:smooth val="0"/>
          <c:extLst>
            <c:ext xmlns:c16="http://schemas.microsoft.com/office/drawing/2014/chart" uri="{C3380CC4-5D6E-409C-BE32-E72D297353CC}">
              <c16:uniqueId val="{00000003-F4DE-4AB2-95B9-16B56CA7A091}"/>
            </c:ext>
          </c:extLst>
        </c:ser>
        <c:dLbls>
          <c:showLegendKey val="0"/>
          <c:showVal val="0"/>
          <c:showCatName val="0"/>
          <c:showSerName val="0"/>
          <c:showPercent val="0"/>
          <c:showBubbleSize val="0"/>
        </c:dLbls>
        <c:smooth val="0"/>
        <c:axId val="384627456"/>
        <c:axId val="384631720"/>
      </c:lineChart>
      <c:catAx>
        <c:axId val="384627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4631720"/>
        <c:crosses val="autoZero"/>
        <c:auto val="1"/>
        <c:lblAlgn val="ctr"/>
        <c:lblOffset val="100"/>
        <c:noMultiLvlLbl val="0"/>
      </c:catAx>
      <c:valAx>
        <c:axId val="38463172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46274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FIN!$A$25</c:f>
              <c:strCache>
                <c:ptCount val="1"/>
                <c:pt idx="0">
                  <c:v>Expenditures per Capita</c:v>
                </c:pt>
              </c:strCache>
            </c:strRef>
          </c:tx>
          <c:spPr>
            <a:ln w="28575" cap="rnd">
              <a:solidFill>
                <a:sysClr val="windowText" lastClr="000000"/>
              </a:solidFill>
              <a:round/>
            </a:ln>
            <a:effectLst/>
          </c:spPr>
          <c:marker>
            <c:symbol val="none"/>
          </c:marker>
          <c:cat>
            <c:numRef>
              <c:f>FIN!$B$24:$L$24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FIN!$B$25:$L$25</c:f>
              <c:numCache>
                <c:formatCode>_("$"* #,##0.00_);_("$"* \(#,##0.00\);_("$"* "-"??_);_(@_)</c:formatCode>
                <c:ptCount val="11"/>
                <c:pt idx="0">
                  <c:v>27.39957569424654</c:v>
                </c:pt>
                <c:pt idx="1">
                  <c:v>19.358640134628445</c:v>
                </c:pt>
                <c:pt idx="2">
                  <c:v>52.459155626008929</c:v>
                </c:pt>
                <c:pt idx="3">
                  <c:v>53.776741033443415</c:v>
                </c:pt>
                <c:pt idx="4">
                  <c:v>59.98945573397755</c:v>
                </c:pt>
                <c:pt idx="5">
                  <c:v>66.60136286201022</c:v>
                </c:pt>
                <c:pt idx="6">
                  <c:v>63.704590029964585</c:v>
                </c:pt>
                <c:pt idx="7">
                  <c:v>68.507212475633523</c:v>
                </c:pt>
                <c:pt idx="8">
                  <c:v>78.629021624472571</c:v>
                </c:pt>
                <c:pt idx="9">
                  <c:v>89.072467707281717</c:v>
                </c:pt>
                <c:pt idx="10">
                  <c:v>73.379159280830592</c:v>
                </c:pt>
              </c:numCache>
            </c:numRef>
          </c:val>
          <c:smooth val="0"/>
          <c:extLst>
            <c:ext xmlns:c16="http://schemas.microsoft.com/office/drawing/2014/chart" uri="{C3380CC4-5D6E-409C-BE32-E72D297353CC}">
              <c16:uniqueId val="{00000000-632A-453A-AE57-6AA4A52AA913}"/>
            </c:ext>
          </c:extLst>
        </c:ser>
        <c:dLbls>
          <c:showLegendKey val="0"/>
          <c:showVal val="0"/>
          <c:showCatName val="0"/>
          <c:showSerName val="0"/>
          <c:showPercent val="0"/>
          <c:showBubbleSize val="0"/>
        </c:dLbls>
        <c:smooth val="0"/>
        <c:axId val="706811160"/>
        <c:axId val="706802632"/>
      </c:lineChart>
      <c:catAx>
        <c:axId val="706811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6802632"/>
        <c:crosses val="autoZero"/>
        <c:auto val="1"/>
        <c:lblAlgn val="ctr"/>
        <c:lblOffset val="100"/>
        <c:noMultiLvlLbl val="0"/>
      </c:catAx>
      <c:valAx>
        <c:axId val="70680263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6811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FIN!$A$29</c:f>
              <c:strCache>
                <c:ptCount val="1"/>
                <c:pt idx="0">
                  <c:v>Expenditures per FTE</c:v>
                </c:pt>
              </c:strCache>
            </c:strRef>
          </c:tx>
          <c:spPr>
            <a:ln w="28575" cap="rnd">
              <a:solidFill>
                <a:sysClr val="windowText" lastClr="000000"/>
              </a:solidFill>
              <a:round/>
            </a:ln>
            <a:effectLst/>
          </c:spPr>
          <c:marker>
            <c:symbol val="none"/>
          </c:marker>
          <c:cat>
            <c:numRef>
              <c:f>FIN!$B$24:$L$24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FIN!$B$29:$L$29</c:f>
              <c:numCache>
                <c:formatCode>_("$"* #,##0_);_("$"* \(#,##0\);_("$"* "-"??_);_(@_)</c:formatCode>
                <c:ptCount val="11"/>
                <c:pt idx="0">
                  <c:v>39198.459796149495</c:v>
                </c:pt>
                <c:pt idx="1">
                  <c:v>29703.12570781427</c:v>
                </c:pt>
                <c:pt idx="2">
                  <c:v>82637.892325315013</c:v>
                </c:pt>
                <c:pt idx="3">
                  <c:v>84941.526195899773</c:v>
                </c:pt>
                <c:pt idx="4">
                  <c:v>94376.436396154706</c:v>
                </c:pt>
                <c:pt idx="5">
                  <c:v>105356.23608017818</c:v>
                </c:pt>
                <c:pt idx="6">
                  <c:v>104448.21348816436</c:v>
                </c:pt>
                <c:pt idx="7">
                  <c:v>111312.99694189602</c:v>
                </c:pt>
                <c:pt idx="8">
                  <c:v>146336.80981595092</c:v>
                </c:pt>
                <c:pt idx="9">
                  <c:v>160980.51461988303</c:v>
                </c:pt>
                <c:pt idx="10">
                  <c:v>135566.92397660817</c:v>
                </c:pt>
              </c:numCache>
            </c:numRef>
          </c:val>
          <c:smooth val="0"/>
          <c:extLst>
            <c:ext xmlns:c16="http://schemas.microsoft.com/office/drawing/2014/chart" uri="{C3380CC4-5D6E-409C-BE32-E72D297353CC}">
              <c16:uniqueId val="{00000000-41CE-4695-BA5E-52ACD00D01A5}"/>
            </c:ext>
          </c:extLst>
        </c:ser>
        <c:dLbls>
          <c:showLegendKey val="0"/>
          <c:showVal val="0"/>
          <c:showCatName val="0"/>
          <c:showSerName val="0"/>
          <c:showPercent val="0"/>
          <c:showBubbleSize val="0"/>
        </c:dLbls>
        <c:smooth val="0"/>
        <c:axId val="509270032"/>
        <c:axId val="509270688"/>
      </c:lineChart>
      <c:catAx>
        <c:axId val="509270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9270688"/>
        <c:crosses val="autoZero"/>
        <c:auto val="1"/>
        <c:lblAlgn val="ctr"/>
        <c:lblOffset val="100"/>
        <c:noMultiLvlLbl val="0"/>
      </c:catAx>
      <c:valAx>
        <c:axId val="5092706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9270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Finance Expenses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FIN!$A$357</c:f>
              <c:strCache>
                <c:ptCount val="1"/>
                <c:pt idx="0">
                  <c:v>General Fund</c:v>
                </c:pt>
              </c:strCache>
            </c:strRef>
          </c:tx>
          <c:spPr>
            <a:ln w="28575" cap="rnd">
              <a:solidFill>
                <a:sysClr val="windowText" lastClr="000000"/>
              </a:solidFill>
              <a:round/>
            </a:ln>
            <a:effectLst/>
          </c:spPr>
          <c:marker>
            <c:symbol val="none"/>
          </c:marker>
          <c:cat>
            <c:numRef>
              <c:f>FIN!$B$356:$L$356</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FIN!$B$357:$L$357</c:f>
              <c:numCache>
                <c:formatCode>_("$"* #,##0_);_("$"* \(#,##0\);_("$"* "-"??_);_(@_)</c:formatCode>
                <c:ptCount val="11"/>
                <c:pt idx="0">
                  <c:v>3780564</c:v>
                </c:pt>
                <c:pt idx="1">
                  <c:v>3699656</c:v>
                </c:pt>
                <c:pt idx="2">
                  <c:v>3163177</c:v>
                </c:pt>
                <c:pt idx="3">
                  <c:v>3607144</c:v>
                </c:pt>
                <c:pt idx="4">
                  <c:v>3728933</c:v>
                </c:pt>
                <c:pt idx="5">
                  <c:v>4221458</c:v>
                </c:pt>
                <c:pt idx="6">
                  <c:v>4730495</c:v>
                </c:pt>
                <c:pt idx="7">
                  <c:v>4677191</c:v>
                </c:pt>
                <c:pt idx="8">
                  <c:v>5095909</c:v>
                </c:pt>
                <c:pt idx="9">
                  <c:v>6064257</c:v>
                </c:pt>
                <c:pt idx="10">
                  <c:v>6913073</c:v>
                </c:pt>
              </c:numCache>
            </c:numRef>
          </c:val>
          <c:smooth val="0"/>
          <c:extLst>
            <c:ext xmlns:c16="http://schemas.microsoft.com/office/drawing/2014/chart" uri="{C3380CC4-5D6E-409C-BE32-E72D297353CC}">
              <c16:uniqueId val="{00000000-D49E-40CB-BC2A-A98FD5AECA58}"/>
            </c:ext>
          </c:extLst>
        </c:ser>
        <c:dLbls>
          <c:showLegendKey val="0"/>
          <c:showVal val="0"/>
          <c:showCatName val="0"/>
          <c:showSerName val="0"/>
          <c:showPercent val="0"/>
          <c:showBubbleSize val="0"/>
        </c:dLbls>
        <c:smooth val="0"/>
        <c:axId val="654006328"/>
        <c:axId val="653999440"/>
      </c:lineChart>
      <c:catAx>
        <c:axId val="654006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3999440"/>
        <c:crosses val="autoZero"/>
        <c:auto val="1"/>
        <c:lblAlgn val="ctr"/>
        <c:lblOffset val="100"/>
        <c:noMultiLvlLbl val="0"/>
      </c:catAx>
      <c:valAx>
        <c:axId val="6539994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006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Human Resources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HR!$A$7</c:f>
              <c:strCache>
                <c:ptCount val="1"/>
                <c:pt idx="0">
                  <c:v>General Fund</c:v>
                </c:pt>
              </c:strCache>
              <c:extLst xmlns:c15="http://schemas.microsoft.com/office/drawing/2012/chart"/>
            </c:strRef>
          </c:tx>
          <c:spPr>
            <a:ln w="28575" cap="rnd">
              <a:solidFill>
                <a:srgbClr val="FF0000"/>
              </a:solidFill>
              <a:round/>
            </a:ln>
            <a:effectLst/>
          </c:spPr>
          <c:marker>
            <c:symbol val="none"/>
          </c:marker>
          <c:cat>
            <c:numRef>
              <c:f>HR!$B$6:$L$6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HR!$B$7:$L$7</c:f>
              <c:numCache>
                <c:formatCode>_("$"* #,##0_);_("$"* \(#,##0\);_("$"* "-"??_);_(@_)</c:formatCode>
                <c:ptCount val="11"/>
                <c:pt idx="0">
                  <c:v>994705</c:v>
                </c:pt>
                <c:pt idx="1">
                  <c:v>865256</c:v>
                </c:pt>
                <c:pt idx="2">
                  <c:v>743474</c:v>
                </c:pt>
                <c:pt idx="3">
                  <c:v>859665</c:v>
                </c:pt>
                <c:pt idx="4">
                  <c:v>962311</c:v>
                </c:pt>
                <c:pt idx="5">
                  <c:v>1108001</c:v>
                </c:pt>
                <c:pt idx="6">
                  <c:v>1136292</c:v>
                </c:pt>
                <c:pt idx="7">
                  <c:v>1193313</c:v>
                </c:pt>
                <c:pt idx="8">
                  <c:v>969214</c:v>
                </c:pt>
                <c:pt idx="9">
                  <c:v>1153480</c:v>
                </c:pt>
                <c:pt idx="10">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A477-4489-86D4-9EA41DFFA168}"/>
            </c:ext>
          </c:extLst>
        </c:ser>
        <c:ser>
          <c:idx val="2"/>
          <c:order val="2"/>
          <c:tx>
            <c:strRef>
              <c:f>HR!$A$8</c:f>
              <c:strCache>
                <c:ptCount val="1"/>
                <c:pt idx="0">
                  <c:v>Internal Service Funds</c:v>
                </c:pt>
              </c:strCache>
              <c:extLst xmlns:c15="http://schemas.microsoft.com/office/drawing/2012/chart"/>
            </c:strRef>
          </c:tx>
          <c:spPr>
            <a:ln w="28575" cap="rnd">
              <a:solidFill>
                <a:schemeClr val="accent3"/>
              </a:solidFill>
              <a:round/>
            </a:ln>
            <a:effectLst/>
          </c:spPr>
          <c:marker>
            <c:symbol val="none"/>
          </c:marker>
          <c:cat>
            <c:numRef>
              <c:f>HR!$B$6:$L$6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HR!$B$8:$L$8</c:f>
              <c:numCache>
                <c:formatCode>_("$"* #,##0_);_("$"* \(#,##0\);_("$"* "-"??_);_(@_)</c:formatCode>
                <c:ptCount val="11"/>
                <c:pt idx="0">
                  <c:v>9540964</c:v>
                </c:pt>
                <c:pt idx="1">
                  <c:v>9321056</c:v>
                </c:pt>
                <c:pt idx="2">
                  <c:v>12232434</c:v>
                </c:pt>
                <c:pt idx="3">
                  <c:v>11566727</c:v>
                </c:pt>
                <c:pt idx="4">
                  <c:v>12006502</c:v>
                </c:pt>
                <c:pt idx="5">
                  <c:v>12055743</c:v>
                </c:pt>
                <c:pt idx="6">
                  <c:v>14171909</c:v>
                </c:pt>
                <c:pt idx="7">
                  <c:v>19371826</c:v>
                </c:pt>
                <c:pt idx="8">
                  <c:v>17478335</c:v>
                </c:pt>
                <c:pt idx="9">
                  <c:v>19105995</c:v>
                </c:pt>
                <c:pt idx="10">
                  <c:v>19602555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A477-4489-86D4-9EA41DFFA168}"/>
            </c:ext>
          </c:extLst>
        </c:ser>
        <c:ser>
          <c:idx val="6"/>
          <c:order val="5"/>
          <c:tx>
            <c:strRef>
              <c:f>HR!$A$12</c:f>
              <c:strCache>
                <c:ptCount val="1"/>
                <c:pt idx="0">
                  <c:v>Total City Budget Revenues</c:v>
                </c:pt>
              </c:strCache>
            </c:strRef>
          </c:tx>
          <c:spPr>
            <a:ln w="28575" cap="rnd">
              <a:solidFill>
                <a:sysClr val="windowText" lastClr="000000"/>
              </a:solidFill>
              <a:round/>
            </a:ln>
            <a:effectLst/>
          </c:spPr>
          <c:marker>
            <c:symbol val="none"/>
          </c:marker>
          <c:cat>
            <c:numRef>
              <c:f>HR!$B$6:$L$6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HR!$B$12:$L$12</c:f>
              <c:numCache>
                <c:formatCode>_("$"* #,##0_);_("$"* \(#,##0\);_("$"* "-"??_);_(@_)</c:formatCode>
                <c:ptCount val="11"/>
                <c:pt idx="0">
                  <c:v>10535669</c:v>
                </c:pt>
                <c:pt idx="1">
                  <c:v>10186312</c:v>
                </c:pt>
                <c:pt idx="2">
                  <c:v>12975908</c:v>
                </c:pt>
                <c:pt idx="3">
                  <c:v>12426392</c:v>
                </c:pt>
                <c:pt idx="4">
                  <c:v>12968813</c:v>
                </c:pt>
                <c:pt idx="5">
                  <c:v>13163744</c:v>
                </c:pt>
                <c:pt idx="6">
                  <c:v>15308201</c:v>
                </c:pt>
                <c:pt idx="7">
                  <c:v>20565139</c:v>
                </c:pt>
                <c:pt idx="8">
                  <c:v>18447549</c:v>
                </c:pt>
                <c:pt idx="9">
                  <c:v>20259475</c:v>
                </c:pt>
                <c:pt idx="10">
                  <c:v>19602555</c:v>
                </c:pt>
              </c:numCache>
            </c:numRef>
          </c:val>
          <c:smooth val="0"/>
          <c:extLst>
            <c:ext xmlns:c16="http://schemas.microsoft.com/office/drawing/2014/chart" uri="{C3380CC4-5D6E-409C-BE32-E72D297353CC}">
              <c16:uniqueId val="{00000002-A477-4489-86D4-9EA41DFFA168}"/>
            </c:ext>
          </c:extLst>
        </c:ser>
        <c:dLbls>
          <c:showLegendKey val="0"/>
          <c:showVal val="0"/>
          <c:showCatName val="0"/>
          <c:showSerName val="0"/>
          <c:showPercent val="0"/>
          <c:showBubbleSize val="0"/>
        </c:dLbls>
        <c:smooth val="0"/>
        <c:axId val="603991872"/>
        <c:axId val="603996792"/>
        <c:extLst>
          <c:ext xmlns:c15="http://schemas.microsoft.com/office/drawing/2012/chart" uri="{02D57815-91ED-43cb-92C2-25804820EDAC}">
            <c15:filteredLineSeries>
              <c15:ser>
                <c:idx val="0"/>
                <c:order val="0"/>
                <c:tx>
                  <c:strRef>
                    <c:extLst>
                      <c:ext uri="{02D57815-91ED-43cb-92C2-25804820EDAC}">
                        <c15:formulaRef>
                          <c15:sqref>HR!$A$6</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HR!$B$6:$L$6</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HR!$B$5:$L$5</c15:sqref>
                        </c15:formulaRef>
                      </c:ext>
                    </c:extLst>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3-A477-4489-86D4-9EA41DFFA16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HR!$A$9</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HR!$B$6:$L$6</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HR!$B$9:$L$9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A477-4489-86D4-9EA41DFFA16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HR!$A$10</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HR!$B$6:$L$6</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HR!$B$10:$L$10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A477-4489-86D4-9EA41DFFA168}"/>
                  </c:ext>
                </c:extLst>
              </c15:ser>
            </c15:filteredLineSeries>
          </c:ext>
        </c:extLst>
      </c:lineChart>
      <c:catAx>
        <c:axId val="60399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96792"/>
        <c:crosses val="autoZero"/>
        <c:auto val="1"/>
        <c:lblAlgn val="ctr"/>
        <c:lblOffset val="100"/>
        <c:noMultiLvlLbl val="0"/>
      </c:catAx>
      <c:valAx>
        <c:axId val="6039967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991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Human</a:t>
            </a:r>
            <a:r>
              <a:rPr lang="en-US" baseline="0"/>
              <a:t> Resources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HR!$A$15</c:f>
              <c:strCache>
                <c:ptCount val="1"/>
                <c:pt idx="0">
                  <c:v>Expenditures</c:v>
                </c:pt>
              </c:strCache>
            </c:strRef>
          </c:tx>
          <c:spPr>
            <a:ln w="28575" cap="rnd">
              <a:solidFill>
                <a:schemeClr val="accent1"/>
              </a:solidFill>
              <a:round/>
            </a:ln>
            <a:effectLst/>
          </c:spPr>
          <c:marker>
            <c:symbol val="none"/>
          </c:marker>
          <c:cat>
            <c:numRef>
              <c:f>HR!$B$6:$L$6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HR!$B$15:$L$15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val>
          <c:smooth val="0"/>
          <c:extLst>
            <c:ext xmlns:c16="http://schemas.microsoft.com/office/drawing/2014/chart" uri="{C3380CC4-5D6E-409C-BE32-E72D297353CC}">
              <c16:uniqueId val="{00000000-6B01-445F-8D63-2CAB8150FE61}"/>
            </c:ext>
          </c:extLst>
        </c:ser>
        <c:ser>
          <c:idx val="1"/>
          <c:order val="1"/>
          <c:tx>
            <c:strRef>
              <c:f>HR!$A$16</c:f>
              <c:strCache>
                <c:ptCount val="1"/>
                <c:pt idx="0">
                  <c:v>General Fund</c:v>
                </c:pt>
              </c:strCache>
            </c:strRef>
          </c:tx>
          <c:spPr>
            <a:ln w="28575" cap="rnd">
              <a:solidFill>
                <a:srgbClr val="FF0000"/>
              </a:solidFill>
              <a:round/>
            </a:ln>
            <a:effectLst/>
          </c:spPr>
          <c:marker>
            <c:symbol val="none"/>
          </c:marker>
          <c:cat>
            <c:numRef>
              <c:f>HR!$B$6:$L$6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HR!$B$16:$L$16</c:f>
              <c:numCache>
                <c:formatCode>_("$"* #,##0_);_("$"* \(#,##0\);_("$"* "-"??_);_(@_)</c:formatCode>
                <c:ptCount val="11"/>
                <c:pt idx="0">
                  <c:v>994705</c:v>
                </c:pt>
                <c:pt idx="1">
                  <c:v>865256</c:v>
                </c:pt>
                <c:pt idx="2">
                  <c:v>743474</c:v>
                </c:pt>
                <c:pt idx="3">
                  <c:v>859665</c:v>
                </c:pt>
                <c:pt idx="4">
                  <c:v>962311</c:v>
                </c:pt>
                <c:pt idx="5">
                  <c:v>1108001</c:v>
                </c:pt>
                <c:pt idx="6">
                  <c:v>1136292</c:v>
                </c:pt>
                <c:pt idx="7">
                  <c:v>1193313</c:v>
                </c:pt>
                <c:pt idx="8">
                  <c:v>1414939</c:v>
                </c:pt>
                <c:pt idx="9">
                  <c:v>1813328</c:v>
                </c:pt>
                <c:pt idx="10">
                  <c:v>1839400</c:v>
                </c:pt>
              </c:numCache>
            </c:numRef>
          </c:val>
          <c:smooth val="0"/>
          <c:extLst>
            <c:ext xmlns:c16="http://schemas.microsoft.com/office/drawing/2014/chart" uri="{C3380CC4-5D6E-409C-BE32-E72D297353CC}">
              <c16:uniqueId val="{00000001-6B01-445F-8D63-2CAB8150FE61}"/>
            </c:ext>
          </c:extLst>
        </c:ser>
        <c:ser>
          <c:idx val="2"/>
          <c:order val="2"/>
          <c:tx>
            <c:strRef>
              <c:f>HR!$A$17</c:f>
              <c:strCache>
                <c:ptCount val="1"/>
                <c:pt idx="0">
                  <c:v>Internal Service Funds</c:v>
                </c:pt>
              </c:strCache>
            </c:strRef>
          </c:tx>
          <c:spPr>
            <a:ln w="28575" cap="rnd">
              <a:solidFill>
                <a:schemeClr val="accent3"/>
              </a:solidFill>
              <a:round/>
            </a:ln>
            <a:effectLst/>
          </c:spPr>
          <c:marker>
            <c:symbol val="none"/>
          </c:marker>
          <c:cat>
            <c:numRef>
              <c:f>HR!$B$6:$L$6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HR!$B$17:$L$17</c:f>
              <c:numCache>
                <c:formatCode>_("$"* #,##0_);_("$"* \(#,##0\);_("$"* "-"??_);_(@_)</c:formatCode>
                <c:ptCount val="11"/>
                <c:pt idx="0">
                  <c:v>11116066</c:v>
                </c:pt>
                <c:pt idx="1">
                  <c:v>11068481</c:v>
                </c:pt>
                <c:pt idx="2">
                  <c:v>11778660</c:v>
                </c:pt>
                <c:pt idx="3">
                  <c:v>10540253</c:v>
                </c:pt>
                <c:pt idx="4">
                  <c:v>12678268</c:v>
                </c:pt>
                <c:pt idx="5">
                  <c:v>14080963</c:v>
                </c:pt>
                <c:pt idx="6">
                  <c:v>17722974</c:v>
                </c:pt>
                <c:pt idx="7">
                  <c:v>15894286</c:v>
                </c:pt>
                <c:pt idx="8">
                  <c:v>14351941</c:v>
                </c:pt>
                <c:pt idx="9">
                  <c:v>19015038</c:v>
                </c:pt>
                <c:pt idx="10">
                  <c:v>20299627</c:v>
                </c:pt>
              </c:numCache>
            </c:numRef>
          </c:val>
          <c:smooth val="0"/>
          <c:extLst>
            <c:ext xmlns:c16="http://schemas.microsoft.com/office/drawing/2014/chart" uri="{C3380CC4-5D6E-409C-BE32-E72D297353CC}">
              <c16:uniqueId val="{00000002-6B01-445F-8D63-2CAB8150FE61}"/>
            </c:ext>
          </c:extLst>
        </c:ser>
        <c:ser>
          <c:idx val="6"/>
          <c:order val="6"/>
          <c:tx>
            <c:strRef>
              <c:f>HR!$A$21</c:f>
              <c:strCache>
                <c:ptCount val="1"/>
                <c:pt idx="0">
                  <c:v>Total City Budget Expenses</c:v>
                </c:pt>
              </c:strCache>
            </c:strRef>
          </c:tx>
          <c:spPr>
            <a:ln w="28575" cap="rnd">
              <a:solidFill>
                <a:sysClr val="windowText" lastClr="000000"/>
              </a:solidFill>
              <a:round/>
            </a:ln>
            <a:effectLst/>
          </c:spPr>
          <c:marker>
            <c:symbol val="none"/>
          </c:marker>
          <c:cat>
            <c:numRef>
              <c:f>HR!$B$6:$L$6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HR!$B$21:$L$21</c:f>
              <c:numCache>
                <c:formatCode>_("$"* #,##0_);_("$"* \(#,##0\);_("$"* "-"??_);_(@_)</c:formatCode>
                <c:ptCount val="11"/>
                <c:pt idx="0">
                  <c:v>12110771</c:v>
                </c:pt>
                <c:pt idx="1">
                  <c:v>11933737</c:v>
                </c:pt>
                <c:pt idx="2">
                  <c:v>12522134</c:v>
                </c:pt>
                <c:pt idx="3">
                  <c:v>11399918</c:v>
                </c:pt>
                <c:pt idx="4">
                  <c:v>13640579</c:v>
                </c:pt>
                <c:pt idx="5">
                  <c:v>15188964</c:v>
                </c:pt>
                <c:pt idx="6">
                  <c:v>18859266</c:v>
                </c:pt>
                <c:pt idx="7">
                  <c:v>17087599</c:v>
                </c:pt>
                <c:pt idx="8">
                  <c:v>15766880</c:v>
                </c:pt>
                <c:pt idx="9">
                  <c:v>20828366</c:v>
                </c:pt>
                <c:pt idx="10">
                  <c:v>22139027</c:v>
                </c:pt>
              </c:numCache>
            </c:numRef>
          </c:val>
          <c:smooth val="0"/>
          <c:extLst>
            <c:ext xmlns:c16="http://schemas.microsoft.com/office/drawing/2014/chart" uri="{C3380CC4-5D6E-409C-BE32-E72D297353CC}">
              <c16:uniqueId val="{00000006-6B01-445F-8D63-2CAB8150FE61}"/>
            </c:ext>
          </c:extLst>
        </c:ser>
        <c:dLbls>
          <c:showLegendKey val="0"/>
          <c:showVal val="0"/>
          <c:showCatName val="0"/>
          <c:showSerName val="0"/>
          <c:showPercent val="0"/>
          <c:showBubbleSize val="0"/>
        </c:dLbls>
        <c:smooth val="0"/>
        <c:axId val="727857048"/>
        <c:axId val="727851472"/>
        <c:extLst>
          <c:ext xmlns:c15="http://schemas.microsoft.com/office/drawing/2012/chart" uri="{02D57815-91ED-43cb-92C2-25804820EDAC}">
            <c15:filteredLineSeries>
              <c15:ser>
                <c:idx val="3"/>
                <c:order val="3"/>
                <c:tx>
                  <c:strRef>
                    <c:extLst>
                      <c:ext uri="{02D57815-91ED-43cb-92C2-25804820EDAC}">
                        <c15:formulaRef>
                          <c15:sqref>HR!$A$18</c15:sqref>
                        </c15:formulaRef>
                      </c:ext>
                    </c:extLst>
                    <c:strCache>
                      <c:ptCount val="1"/>
                      <c:pt idx="0">
                        <c:v>Enterprise Funds</c:v>
                      </c:pt>
                    </c:strCache>
                  </c:strRef>
                </c:tx>
                <c:spPr>
                  <a:ln w="28575" cap="rnd">
                    <a:solidFill>
                      <a:schemeClr val="accent4"/>
                    </a:solidFill>
                    <a:round/>
                  </a:ln>
                  <a:effectLst/>
                </c:spPr>
                <c:marker>
                  <c:symbol val="none"/>
                </c:marker>
                <c:cat>
                  <c:numRef>
                    <c:extLst>
                      <c:ext uri="{02D57815-91ED-43cb-92C2-25804820EDAC}">
                        <c15:formulaRef>
                          <c15:sqref>HR!$B$6:$L$6</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HR!$B$18:$L$18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3-6B01-445F-8D63-2CAB8150FE6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HR!$A$19</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HR!$B$6:$L$6</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HR!$B$19:$L$19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6B01-445F-8D63-2CAB8150FE61}"/>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HR!$A$20</c15:sqref>
                        </c15:formulaRef>
                      </c:ext>
                    </c:extLst>
                    <c:strCache>
                      <c:ptCount val="1"/>
                      <c:pt idx="0">
                        <c:v>Non Dept &amp; Other Entities Funds</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HR!$B$6:$L$6</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HR!$B$20:$L$20</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5-6B01-445F-8D63-2CAB8150FE61}"/>
                  </c:ext>
                </c:extLst>
              </c15:ser>
            </c15:filteredLineSeries>
          </c:ext>
        </c:extLst>
      </c:lineChart>
      <c:catAx>
        <c:axId val="727857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851472"/>
        <c:crosses val="autoZero"/>
        <c:auto val="1"/>
        <c:lblAlgn val="ctr"/>
        <c:lblOffset val="100"/>
        <c:noMultiLvlLbl val="0"/>
      </c:catAx>
      <c:valAx>
        <c:axId val="727851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857048"/>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HR!$A$26</c:f>
              <c:strCache>
                <c:ptCount val="1"/>
                <c:pt idx="0">
                  <c:v>Expenditures per Capita</c:v>
                </c:pt>
              </c:strCache>
            </c:strRef>
          </c:tx>
          <c:spPr>
            <a:ln w="28575" cap="rnd">
              <a:solidFill>
                <a:sysClr val="windowText" lastClr="000000"/>
              </a:solidFill>
              <a:round/>
            </a:ln>
            <a:effectLst/>
          </c:spPr>
          <c:marker>
            <c:symbol val="none"/>
          </c:marker>
          <c:cat>
            <c:numRef>
              <c:f>HR!$B$25:$L$25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HR!$B$26:$L$26</c:f>
              <c:numCache>
                <c:formatCode>_("$"* #,##0.00_);_("$"* \(#,##0.00\);_("$"* "-"??_);_(@_)</c:formatCode>
                <c:ptCount val="11"/>
                <c:pt idx="0">
                  <c:v>15.748472182641462</c:v>
                </c:pt>
                <c:pt idx="1">
                  <c:v>12.772814502081427</c:v>
                </c:pt>
                <c:pt idx="2">
                  <c:v>10.812437282762032</c:v>
                </c:pt>
                <c:pt idx="3">
                  <c:v>12.397643529801993</c:v>
                </c:pt>
                <c:pt idx="4">
                  <c:v>13.675017763251386</c:v>
                </c:pt>
                <c:pt idx="5">
                  <c:v>15.599715601109438</c:v>
                </c:pt>
                <c:pt idx="6">
                  <c:v>15.476600381367474</c:v>
                </c:pt>
                <c:pt idx="7">
                  <c:v>16.042387578140755</c:v>
                </c:pt>
                <c:pt idx="8">
                  <c:v>18.656896097046413</c:v>
                </c:pt>
                <c:pt idx="9">
                  <c:v>23.469855815277885</c:v>
                </c:pt>
                <c:pt idx="10">
                  <c:v>23.289440364649277</c:v>
                </c:pt>
              </c:numCache>
            </c:numRef>
          </c:val>
          <c:smooth val="0"/>
          <c:extLst>
            <c:ext xmlns:c16="http://schemas.microsoft.com/office/drawing/2014/chart" uri="{C3380CC4-5D6E-409C-BE32-E72D297353CC}">
              <c16:uniqueId val="{00000000-61FA-47D5-B0FF-EE95C0275790}"/>
            </c:ext>
          </c:extLst>
        </c:ser>
        <c:dLbls>
          <c:showLegendKey val="0"/>
          <c:showVal val="0"/>
          <c:showCatName val="0"/>
          <c:showSerName val="0"/>
          <c:showPercent val="0"/>
          <c:showBubbleSize val="0"/>
        </c:dLbls>
        <c:smooth val="0"/>
        <c:axId val="760066432"/>
        <c:axId val="760067088"/>
      </c:lineChart>
      <c:catAx>
        <c:axId val="76006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0067088"/>
        <c:crosses val="autoZero"/>
        <c:auto val="1"/>
        <c:lblAlgn val="ctr"/>
        <c:lblOffset val="100"/>
        <c:noMultiLvlLbl val="0"/>
      </c:catAx>
      <c:valAx>
        <c:axId val="7600670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0066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337489063867018"/>
          <c:y val="0.19486111111111112"/>
          <c:w val="0.82198818897637793"/>
          <c:h val="0.72088764946048411"/>
        </c:manualLayout>
      </c:layout>
      <c:lineChart>
        <c:grouping val="standard"/>
        <c:varyColors val="0"/>
        <c:ser>
          <c:idx val="0"/>
          <c:order val="0"/>
          <c:tx>
            <c:strRef>
              <c:f>HR!$A$30</c:f>
              <c:strCache>
                <c:ptCount val="1"/>
                <c:pt idx="0">
                  <c:v>Expenditures per FTE</c:v>
                </c:pt>
              </c:strCache>
            </c:strRef>
          </c:tx>
          <c:spPr>
            <a:ln w="28575" cap="rnd">
              <a:solidFill>
                <a:sysClr val="windowText" lastClr="000000"/>
              </a:solidFill>
              <a:round/>
            </a:ln>
            <a:effectLst/>
          </c:spPr>
          <c:marker>
            <c:symbol val="none"/>
          </c:marker>
          <c:cat>
            <c:numRef>
              <c:f>HR!$B$25:$L$25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HR!$B$30:$L$30</c:f>
              <c:numCache>
                <c:formatCode>_(* #,##0.00_);_(* \(#,##0.00\);_(* "-"??_);_(@_)</c:formatCode>
                <c:ptCount val="11"/>
                <c:pt idx="0">
                  <c:v>99470.5</c:v>
                </c:pt>
                <c:pt idx="1">
                  <c:v>86525.6</c:v>
                </c:pt>
                <c:pt idx="2">
                  <c:v>76253.743589743593</c:v>
                </c:pt>
                <c:pt idx="3">
                  <c:v>95518.333333333328</c:v>
                </c:pt>
                <c:pt idx="4">
                  <c:v>106923.44444444444</c:v>
                </c:pt>
                <c:pt idx="5">
                  <c:v>123111.22222222222</c:v>
                </c:pt>
                <c:pt idx="6">
                  <c:v>126254.66666666667</c:v>
                </c:pt>
                <c:pt idx="7">
                  <c:v>132590.33333333334</c:v>
                </c:pt>
                <c:pt idx="8">
                  <c:v>157215.44444444444</c:v>
                </c:pt>
                <c:pt idx="9">
                  <c:v>201480.88888888888</c:v>
                </c:pt>
                <c:pt idx="10">
                  <c:v>204377.77777777778</c:v>
                </c:pt>
              </c:numCache>
            </c:numRef>
          </c:val>
          <c:smooth val="0"/>
          <c:extLst>
            <c:ext xmlns:c16="http://schemas.microsoft.com/office/drawing/2014/chart" uri="{C3380CC4-5D6E-409C-BE32-E72D297353CC}">
              <c16:uniqueId val="{00000000-6712-41EE-B0FF-90E3410DC907}"/>
            </c:ext>
          </c:extLst>
        </c:ser>
        <c:dLbls>
          <c:showLegendKey val="0"/>
          <c:showVal val="0"/>
          <c:showCatName val="0"/>
          <c:showSerName val="0"/>
          <c:showPercent val="0"/>
          <c:showBubbleSize val="0"/>
        </c:dLbls>
        <c:smooth val="0"/>
        <c:axId val="703441264"/>
        <c:axId val="703445856"/>
      </c:lineChart>
      <c:catAx>
        <c:axId val="703441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445856"/>
        <c:crosses val="autoZero"/>
        <c:auto val="1"/>
        <c:lblAlgn val="ctr"/>
        <c:lblOffset val="100"/>
        <c:noMultiLvlLbl val="0"/>
      </c:catAx>
      <c:valAx>
        <c:axId val="703445856"/>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4412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Information Technology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IT!$A$6</c:f>
              <c:strCache>
                <c:ptCount val="1"/>
                <c:pt idx="0">
                  <c:v>General Fund</c:v>
                </c:pt>
              </c:strCache>
              <c:extLst xmlns:c15="http://schemas.microsoft.com/office/drawing/2012/chart"/>
            </c:strRef>
          </c:tx>
          <c:spPr>
            <a:ln w="28575" cap="rnd">
              <a:solidFill>
                <a:srgbClr val="FF0000"/>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IT!$B$6:$L$6</c:f>
              <c:numCache>
                <c:formatCode>_("$"* #,##0_);_("$"* \(#,##0\);_("$"* "-"??_);_(@_)</c:formatCode>
                <c:ptCount val="11"/>
                <c:pt idx="0">
                  <c:v>3150350</c:v>
                </c:pt>
                <c:pt idx="1">
                  <c:v>2931210</c:v>
                </c:pt>
                <c:pt idx="2">
                  <c:v>3188644</c:v>
                </c:pt>
                <c:pt idx="3">
                  <c:v>3125625</c:v>
                </c:pt>
                <c:pt idx="4">
                  <c:v>3516179</c:v>
                </c:pt>
                <c:pt idx="5">
                  <c:v>3464762</c:v>
                </c:pt>
                <c:pt idx="6">
                  <c:v>3854155</c:v>
                </c:pt>
                <c:pt idx="7">
                  <c:v>3971864</c:v>
                </c:pt>
                <c:pt idx="8">
                  <c:v>4461275</c:v>
                </c:pt>
                <c:pt idx="9">
                  <c:v>4462730</c:v>
                </c:pt>
                <c:pt idx="10">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F7A7-433D-AFF9-CC2DEA70F592}"/>
            </c:ext>
          </c:extLst>
        </c:ser>
        <c:ser>
          <c:idx val="4"/>
          <c:order val="4"/>
          <c:tx>
            <c:strRef>
              <c:f>IT!$A$9</c:f>
              <c:strCache>
                <c:ptCount val="1"/>
                <c:pt idx="0">
                  <c:v>Special Revenue Funds</c:v>
                </c:pt>
              </c:strCache>
              <c:extLst xmlns:c15="http://schemas.microsoft.com/office/drawing/2012/chart"/>
            </c:strRef>
          </c:tx>
          <c:spPr>
            <a:ln w="28575" cap="rnd">
              <a:solidFill>
                <a:schemeClr val="accent5"/>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IT!$B$9:$L$9</c:f>
              <c:numCache>
                <c:formatCode>_("$"* #,##0_);_("$"* \(#,##0\);_("$"* "-"??_);_(@_)</c:formatCode>
                <c:ptCount val="11"/>
                <c:pt idx="0">
                  <c:v>0</c:v>
                </c:pt>
                <c:pt idx="1">
                  <c:v>74768</c:v>
                </c:pt>
                <c:pt idx="2">
                  <c:v>72053</c:v>
                </c:pt>
                <c:pt idx="3">
                  <c:v>63994</c:v>
                </c:pt>
                <c:pt idx="4">
                  <c:v>63994</c:v>
                </c:pt>
                <c:pt idx="5">
                  <c:v>147208</c:v>
                </c:pt>
                <c:pt idx="6">
                  <c:v>246505</c:v>
                </c:pt>
                <c:pt idx="7">
                  <c:v>210754</c:v>
                </c:pt>
                <c:pt idx="8">
                  <c:v>227236</c:v>
                </c:pt>
                <c:pt idx="9">
                  <c:v>170518</c:v>
                </c:pt>
                <c:pt idx="10">
                  <c:v>167206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F7A7-433D-AFF9-CC2DEA70F592}"/>
            </c:ext>
          </c:extLst>
        </c:ser>
        <c:ser>
          <c:idx val="6"/>
          <c:order val="6"/>
          <c:tx>
            <c:strRef>
              <c:f>IT!$A$11</c:f>
              <c:strCache>
                <c:ptCount val="1"/>
                <c:pt idx="0">
                  <c:v>Total City Budget Revenues</c:v>
                </c:pt>
              </c:strCache>
            </c:strRef>
          </c:tx>
          <c:spPr>
            <a:ln w="28575" cap="rnd">
              <a:solidFill>
                <a:schemeClr val="accent1">
                  <a:lumMod val="60000"/>
                </a:schemeClr>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IT!$B$11:$L$11</c:f>
              <c:numCache>
                <c:formatCode>_("$"* #,##0_);_("$"* \(#,##0\);_("$"* "-"??_);_(@_)</c:formatCode>
                <c:ptCount val="11"/>
                <c:pt idx="0">
                  <c:v>3150350</c:v>
                </c:pt>
                <c:pt idx="1">
                  <c:v>3005978</c:v>
                </c:pt>
                <c:pt idx="2">
                  <c:v>3260697</c:v>
                </c:pt>
                <c:pt idx="3">
                  <c:v>3189619</c:v>
                </c:pt>
                <c:pt idx="4">
                  <c:v>3580173</c:v>
                </c:pt>
                <c:pt idx="5">
                  <c:v>3611970</c:v>
                </c:pt>
                <c:pt idx="6">
                  <c:v>4100660</c:v>
                </c:pt>
                <c:pt idx="7">
                  <c:v>4182618</c:v>
                </c:pt>
                <c:pt idx="8">
                  <c:v>4688511</c:v>
                </c:pt>
                <c:pt idx="9">
                  <c:v>4633248</c:v>
                </c:pt>
                <c:pt idx="10">
                  <c:v>167206</c:v>
                </c:pt>
              </c:numCache>
            </c:numRef>
          </c:val>
          <c:smooth val="0"/>
          <c:extLst>
            <c:ext xmlns:c16="http://schemas.microsoft.com/office/drawing/2014/chart" uri="{C3380CC4-5D6E-409C-BE32-E72D297353CC}">
              <c16:uniqueId val="{00000002-F7A7-433D-AFF9-CC2DEA70F592}"/>
            </c:ext>
          </c:extLst>
        </c:ser>
        <c:dLbls>
          <c:showLegendKey val="0"/>
          <c:showVal val="0"/>
          <c:showCatName val="0"/>
          <c:showSerName val="0"/>
          <c:showPercent val="0"/>
          <c:showBubbleSize val="0"/>
        </c:dLbls>
        <c:smooth val="0"/>
        <c:axId val="596008736"/>
        <c:axId val="596013984"/>
        <c:extLst>
          <c:ext xmlns:c15="http://schemas.microsoft.com/office/drawing/2012/chart" uri="{02D57815-91ED-43cb-92C2-25804820EDAC}">
            <c15:filteredLineSeries>
              <c15:ser>
                <c:idx val="0"/>
                <c:order val="0"/>
                <c:tx>
                  <c:strRef>
                    <c:extLst>
                      <c:ext uri="{02D57815-91ED-43cb-92C2-25804820EDAC}">
                        <c15:formulaRef>
                          <c15:sqref>IT!$A$5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IT!#REF!</c15:sqref>
                        </c15:formulaRef>
                      </c:ext>
                    </c:extLst>
                    <c:numCache>
                      <c:formatCode>General</c:formatCode>
                      <c:ptCount val="1"/>
                      <c:pt idx="0">
                        <c:v>1</c:v>
                      </c:pt>
                    </c:numCache>
                  </c:numRef>
                </c:val>
                <c:smooth val="0"/>
                <c:extLst>
                  <c:ext xmlns:c16="http://schemas.microsoft.com/office/drawing/2014/chart" uri="{C3380CC4-5D6E-409C-BE32-E72D297353CC}">
                    <c16:uniqueId val="{00000003-F7A7-433D-AFF9-CC2DEA70F592}"/>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IT!$A$7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IT!$B$7:$L$7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F7A7-433D-AFF9-CC2DEA70F592}"/>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IT!$A$8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IT!$B$8:$L$8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F7A7-433D-AFF9-CC2DEA70F592}"/>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IT!$A$10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IT!$B$10:$L$10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6-F7A7-433D-AFF9-CC2DEA70F592}"/>
                  </c:ext>
                </c:extLst>
              </c15:ser>
            </c15:filteredLineSeries>
          </c:ext>
        </c:extLst>
      </c:lineChart>
      <c:catAx>
        <c:axId val="59600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013984"/>
        <c:crosses val="autoZero"/>
        <c:auto val="1"/>
        <c:lblAlgn val="ctr"/>
        <c:lblOffset val="100"/>
        <c:noMultiLvlLbl val="0"/>
      </c:catAx>
      <c:valAx>
        <c:axId val="5960139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008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IT Expenses</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IT!$A$15</c:f>
              <c:strCache>
                <c:ptCount val="1"/>
                <c:pt idx="0">
                  <c:v>General Fund</c:v>
                </c:pt>
              </c:strCache>
            </c:strRef>
          </c:tx>
          <c:spPr>
            <a:ln w="28575" cap="rnd">
              <a:solidFill>
                <a:srgbClr val="FF0000"/>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IT!$B$15:$L$15</c:f>
              <c:numCache>
                <c:formatCode>_("$"* #,##0_);_("$"* \(#,##0\);_("$"* "-"??_);_(@_)</c:formatCode>
                <c:ptCount val="11"/>
                <c:pt idx="0">
                  <c:v>3150350</c:v>
                </c:pt>
                <c:pt idx="1">
                  <c:v>2931210</c:v>
                </c:pt>
                <c:pt idx="2">
                  <c:v>3188644</c:v>
                </c:pt>
                <c:pt idx="3">
                  <c:v>3125625</c:v>
                </c:pt>
                <c:pt idx="4">
                  <c:v>3516179</c:v>
                </c:pt>
                <c:pt idx="5">
                  <c:v>3464762</c:v>
                </c:pt>
                <c:pt idx="6">
                  <c:v>3851712</c:v>
                </c:pt>
                <c:pt idx="7">
                  <c:v>3971864</c:v>
                </c:pt>
                <c:pt idx="8">
                  <c:v>4665671</c:v>
                </c:pt>
                <c:pt idx="9">
                  <c:v>5718302</c:v>
                </c:pt>
                <c:pt idx="10">
                  <c:v>4821194</c:v>
                </c:pt>
              </c:numCache>
            </c:numRef>
          </c:val>
          <c:smooth val="0"/>
          <c:extLst>
            <c:ext xmlns:c16="http://schemas.microsoft.com/office/drawing/2014/chart" uri="{C3380CC4-5D6E-409C-BE32-E72D297353CC}">
              <c16:uniqueId val="{00000000-4BB0-4FF0-9707-B3A25D33B0F4}"/>
            </c:ext>
          </c:extLst>
        </c:ser>
        <c:ser>
          <c:idx val="3"/>
          <c:order val="3"/>
          <c:tx>
            <c:strRef>
              <c:f>IT!$A$18</c:f>
              <c:strCache>
                <c:ptCount val="1"/>
                <c:pt idx="0">
                  <c:v>Special Revenue Funds</c:v>
                </c:pt>
              </c:strCache>
            </c:strRef>
          </c:tx>
          <c:spPr>
            <a:ln w="28575" cap="rnd">
              <a:solidFill>
                <a:srgbClr val="00B0F0"/>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IT!$B$18:$L$18</c:f>
              <c:numCache>
                <c:formatCode>_("$"* #,##0_);_("$"* \(#,##0\);_("$"* "-"??_);_(@_)</c:formatCode>
                <c:ptCount val="11"/>
                <c:pt idx="0">
                  <c:v>0</c:v>
                </c:pt>
                <c:pt idx="1">
                  <c:v>29256</c:v>
                </c:pt>
                <c:pt idx="2">
                  <c:v>2444</c:v>
                </c:pt>
                <c:pt idx="3">
                  <c:v>55370</c:v>
                </c:pt>
                <c:pt idx="4">
                  <c:v>21418</c:v>
                </c:pt>
                <c:pt idx="5">
                  <c:v>2873</c:v>
                </c:pt>
                <c:pt idx="6">
                  <c:v>7138</c:v>
                </c:pt>
                <c:pt idx="7">
                  <c:v>123233</c:v>
                </c:pt>
                <c:pt idx="8">
                  <c:v>324471</c:v>
                </c:pt>
                <c:pt idx="9">
                  <c:v>404435</c:v>
                </c:pt>
                <c:pt idx="10">
                  <c:v>389000</c:v>
                </c:pt>
              </c:numCache>
            </c:numRef>
          </c:val>
          <c:smooth val="0"/>
          <c:extLst>
            <c:ext xmlns:c16="http://schemas.microsoft.com/office/drawing/2014/chart" uri="{C3380CC4-5D6E-409C-BE32-E72D297353CC}">
              <c16:uniqueId val="{00000003-4BB0-4FF0-9707-B3A25D33B0F4}"/>
            </c:ext>
          </c:extLst>
        </c:ser>
        <c:ser>
          <c:idx val="5"/>
          <c:order val="5"/>
          <c:tx>
            <c:strRef>
              <c:f>IT!$A$20</c:f>
              <c:strCache>
                <c:ptCount val="1"/>
                <c:pt idx="0">
                  <c:v>Total City Budget Expenses</c:v>
                </c:pt>
              </c:strCache>
            </c:strRef>
          </c:tx>
          <c:spPr>
            <a:ln w="28575" cap="rnd">
              <a:solidFill>
                <a:sysClr val="windowText" lastClr="000000"/>
              </a:solidFill>
              <a:round/>
            </a:ln>
            <a:effectLst/>
          </c:spPr>
          <c:marker>
            <c:symbol val="none"/>
          </c:marker>
          <c:cat>
            <c:numRef>
              <c:f>IT!$B$5:$L$5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IT!$B$20:$L$20</c:f>
              <c:numCache>
                <c:formatCode>_("$"* #,##0_);_("$"* \(#,##0\);_("$"* "-"??_);_(@_)</c:formatCode>
                <c:ptCount val="11"/>
                <c:pt idx="0">
                  <c:v>3150350</c:v>
                </c:pt>
                <c:pt idx="1">
                  <c:v>2960466</c:v>
                </c:pt>
                <c:pt idx="2">
                  <c:v>3191088</c:v>
                </c:pt>
                <c:pt idx="3">
                  <c:v>3180995</c:v>
                </c:pt>
                <c:pt idx="4">
                  <c:v>3537597</c:v>
                </c:pt>
                <c:pt idx="5">
                  <c:v>3467635</c:v>
                </c:pt>
                <c:pt idx="6">
                  <c:v>3858850</c:v>
                </c:pt>
                <c:pt idx="7">
                  <c:v>4095097</c:v>
                </c:pt>
                <c:pt idx="8">
                  <c:v>4990142</c:v>
                </c:pt>
                <c:pt idx="9">
                  <c:v>6122737</c:v>
                </c:pt>
                <c:pt idx="10">
                  <c:v>5210194</c:v>
                </c:pt>
              </c:numCache>
            </c:numRef>
          </c:val>
          <c:smooth val="0"/>
          <c:extLst>
            <c:ext xmlns:c16="http://schemas.microsoft.com/office/drawing/2014/chart" uri="{C3380CC4-5D6E-409C-BE32-E72D297353CC}">
              <c16:uniqueId val="{00000005-4BB0-4FF0-9707-B3A25D33B0F4}"/>
            </c:ext>
          </c:extLst>
        </c:ser>
        <c:dLbls>
          <c:showLegendKey val="0"/>
          <c:showVal val="0"/>
          <c:showCatName val="0"/>
          <c:showSerName val="0"/>
          <c:showPercent val="0"/>
          <c:showBubbleSize val="0"/>
        </c:dLbls>
        <c:smooth val="0"/>
        <c:axId val="759219384"/>
        <c:axId val="759220696"/>
        <c:extLst>
          <c:ext xmlns:c15="http://schemas.microsoft.com/office/drawing/2012/chart" uri="{02D57815-91ED-43cb-92C2-25804820EDAC}">
            <c15:filteredLineSeries>
              <c15:ser>
                <c:idx val="1"/>
                <c:order val="1"/>
                <c:tx>
                  <c:strRef>
                    <c:extLst>
                      <c:ext uri="{02D57815-91ED-43cb-92C2-25804820EDAC}">
                        <c15:formulaRef>
                          <c15:sqref>IT!$A$16</c15:sqref>
                        </c15:formulaRef>
                      </c:ext>
                    </c:extLst>
                    <c:strCache>
                      <c:ptCount val="1"/>
                      <c:pt idx="0">
                        <c:v>Internal Service Funds</c:v>
                      </c:pt>
                    </c:strCache>
                  </c:strRef>
                </c:tx>
                <c:spPr>
                  <a:ln w="28575" cap="rnd">
                    <a:solidFill>
                      <a:schemeClr val="accent2"/>
                    </a:solidFill>
                    <a:round/>
                  </a:ln>
                  <a:effectLst/>
                </c:spPr>
                <c:marker>
                  <c:symbol val="none"/>
                </c:marker>
                <c:cat>
                  <c:numRef>
                    <c:extLst>
                      <c:ex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IT!$B$16:$L$16</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4BB0-4FF0-9707-B3A25D33B0F4}"/>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IT!$A$17</c15:sqref>
                        </c15:formulaRef>
                      </c:ext>
                    </c:extLst>
                    <c:strCache>
                      <c:ptCount val="1"/>
                      <c:pt idx="0">
                        <c:v>Enterprise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IT!$B$17:$L$17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4BB0-4FF0-9707-B3A25D33B0F4}"/>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IT!$A$19</c15:sqref>
                        </c15:formulaRef>
                      </c:ext>
                    </c:extLst>
                    <c:strCache>
                      <c:ptCount val="1"/>
                      <c:pt idx="0">
                        <c:v>Non Dept &amp; Other Entities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IT!$B$5:$L$5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IT!$B$19:$L$19</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4-4BB0-4FF0-9707-B3A25D33B0F4}"/>
                  </c:ext>
                </c:extLst>
              </c15:ser>
            </c15:filteredLineSeries>
          </c:ext>
        </c:extLst>
      </c:lineChart>
      <c:catAx>
        <c:axId val="759219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220696"/>
        <c:crosses val="autoZero"/>
        <c:auto val="1"/>
        <c:lblAlgn val="ctr"/>
        <c:lblOffset val="100"/>
        <c:noMultiLvlLbl val="0"/>
      </c:catAx>
      <c:valAx>
        <c:axId val="759220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219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IT!$A$26</c:f>
              <c:strCache>
                <c:ptCount val="1"/>
                <c:pt idx="0">
                  <c:v>Expenditures per Capita</c:v>
                </c:pt>
              </c:strCache>
            </c:strRef>
          </c:tx>
          <c:spPr>
            <a:ln w="28575" cap="rnd">
              <a:solidFill>
                <a:sysClr val="windowText" lastClr="000000"/>
              </a:solidFill>
              <a:round/>
            </a:ln>
            <a:effectLst/>
          </c:spPr>
          <c:marker>
            <c:symbol val="none"/>
          </c:marker>
          <c:cat>
            <c:numRef>
              <c:f>IT!$B$25:$L$25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IT!$B$26:$L$26</c:f>
              <c:numCache>
                <c:formatCode>_("$"* #,##0.00_);_("$"* \(#,##0.00\);_("$"* "-"??_);_(@_)</c:formatCode>
                <c:ptCount val="11"/>
                <c:pt idx="0">
                  <c:v>49.877299642189925</c:v>
                </c:pt>
                <c:pt idx="1">
                  <c:v>43.270201647427001</c:v>
                </c:pt>
                <c:pt idx="2">
                  <c:v>46.372856706563311</c:v>
                </c:pt>
                <c:pt idx="3">
                  <c:v>45.076145426226908</c:v>
                </c:pt>
                <c:pt idx="4">
                  <c:v>49.967017194827342</c:v>
                </c:pt>
                <c:pt idx="5">
                  <c:v>48.780914300195697</c:v>
                </c:pt>
                <c:pt idx="6">
                  <c:v>52.461345682375374</c:v>
                </c:pt>
                <c:pt idx="7">
                  <c:v>53.396034146669358</c:v>
                </c:pt>
                <c:pt idx="8">
                  <c:v>61.519923523206749</c:v>
                </c:pt>
                <c:pt idx="9">
                  <c:v>74.011829877559478</c:v>
                </c:pt>
                <c:pt idx="10">
                  <c:v>61.043226133198282</c:v>
                </c:pt>
              </c:numCache>
            </c:numRef>
          </c:val>
          <c:smooth val="0"/>
          <c:extLst>
            <c:ext xmlns:c16="http://schemas.microsoft.com/office/drawing/2014/chart" uri="{C3380CC4-5D6E-409C-BE32-E72D297353CC}">
              <c16:uniqueId val="{00000000-B878-45AE-B7D9-28818A04D4E5}"/>
            </c:ext>
          </c:extLst>
        </c:ser>
        <c:dLbls>
          <c:showLegendKey val="0"/>
          <c:showVal val="0"/>
          <c:showCatName val="0"/>
          <c:showSerName val="0"/>
          <c:showPercent val="0"/>
          <c:showBubbleSize val="0"/>
        </c:dLbls>
        <c:smooth val="0"/>
        <c:axId val="703447824"/>
        <c:axId val="703448480"/>
      </c:lineChart>
      <c:catAx>
        <c:axId val="70344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448480"/>
        <c:crosses val="autoZero"/>
        <c:auto val="1"/>
        <c:lblAlgn val="ctr"/>
        <c:lblOffset val="100"/>
        <c:noMultiLvlLbl val="0"/>
      </c:catAx>
      <c:valAx>
        <c:axId val="7034484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447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Expenditures Per Capita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'All Depts'!$A$45</c:f>
              <c:strCache>
                <c:ptCount val="1"/>
                <c:pt idx="0">
                  <c:v>General Fund</c:v>
                </c:pt>
              </c:strCache>
            </c:strRef>
          </c:tx>
          <c:spPr>
            <a:ln w="28575" cap="rnd">
              <a:solidFill>
                <a:srgbClr val="FF0000"/>
              </a:solidFill>
              <a:round/>
            </a:ln>
            <a:effectLst/>
          </c:spPr>
          <c:marker>
            <c:symbol val="none"/>
          </c:marker>
          <c:cat>
            <c:numRef>
              <c:f>'All Depts'!$B$58:$L$58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Depts'!$B$45:$L$45</c:f>
              <c:numCache>
                <c:formatCode>_("$"* #,##0_);_("$"* \(#,##0\);_("$"* "-"??_);_(@_)</c:formatCode>
                <c:ptCount val="11"/>
                <c:pt idx="0">
                  <c:v>785.95649282796614</c:v>
                </c:pt>
                <c:pt idx="1">
                  <c:v>733.14131557969949</c:v>
                </c:pt>
                <c:pt idx="2">
                  <c:v>788.58157967452485</c:v>
                </c:pt>
                <c:pt idx="3">
                  <c:v>675.98226157684485</c:v>
                </c:pt>
                <c:pt idx="4">
                  <c:v>730.99910473213015</c:v>
                </c:pt>
                <c:pt idx="5">
                  <c:v>866.02874963042223</c:v>
                </c:pt>
                <c:pt idx="6">
                  <c:v>823.59753473168075</c:v>
                </c:pt>
                <c:pt idx="7">
                  <c:v>838.352557639309</c:v>
                </c:pt>
                <c:pt idx="8">
                  <c:v>1371.1779535864978</c:v>
                </c:pt>
                <c:pt idx="9">
                  <c:v>1667.2520644042349</c:v>
                </c:pt>
                <c:pt idx="10">
                  <c:v>1292.0938465434288</c:v>
                </c:pt>
              </c:numCache>
            </c:numRef>
          </c:val>
          <c:smooth val="0"/>
          <c:extLst>
            <c:ext xmlns:c16="http://schemas.microsoft.com/office/drawing/2014/chart" uri="{C3380CC4-5D6E-409C-BE32-E72D297353CC}">
              <c16:uniqueId val="{00000000-4A4C-459C-92F4-9DA15CBC3A55}"/>
            </c:ext>
          </c:extLst>
        </c:ser>
        <c:ser>
          <c:idx val="1"/>
          <c:order val="1"/>
          <c:tx>
            <c:strRef>
              <c:f>'All Depts'!$A$46</c:f>
              <c:strCache>
                <c:ptCount val="1"/>
                <c:pt idx="0">
                  <c:v>Internal Service Funds</c:v>
                </c:pt>
              </c:strCache>
            </c:strRef>
          </c:tx>
          <c:spPr>
            <a:ln w="28575" cap="rnd">
              <a:solidFill>
                <a:srgbClr val="92D050"/>
              </a:solidFill>
              <a:round/>
            </a:ln>
            <a:effectLst/>
          </c:spPr>
          <c:marker>
            <c:symbol val="none"/>
          </c:marker>
          <c:cat>
            <c:numRef>
              <c:f>'All Depts'!$B$58:$L$58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Depts'!$B$46:$L$46</c:f>
              <c:numCache>
                <c:formatCode>_("$"* #,##0_);_("$"* \(#,##0\);_("$"* "-"??_);_(@_)</c:formatCode>
                <c:ptCount val="11"/>
                <c:pt idx="0">
                  <c:v>254.5557613755106</c:v>
                </c:pt>
                <c:pt idx="1">
                  <c:v>226.25309261610226</c:v>
                </c:pt>
                <c:pt idx="2">
                  <c:v>231.81230639461322</c:v>
                </c:pt>
                <c:pt idx="3">
                  <c:v>211.22697970897448</c:v>
                </c:pt>
                <c:pt idx="4">
                  <c:v>249.15786556771351</c:v>
                </c:pt>
                <c:pt idx="5">
                  <c:v>303.23201036225663</c:v>
                </c:pt>
                <c:pt idx="6">
                  <c:v>309.89773903568511</c:v>
                </c:pt>
                <c:pt idx="7">
                  <c:v>277.86116824628624</c:v>
                </c:pt>
                <c:pt idx="8">
                  <c:v>303.27353639240505</c:v>
                </c:pt>
                <c:pt idx="9">
                  <c:v>349.70625922186844</c:v>
                </c:pt>
                <c:pt idx="10">
                  <c:v>353.92884274499875</c:v>
                </c:pt>
              </c:numCache>
            </c:numRef>
          </c:val>
          <c:smooth val="0"/>
          <c:extLst>
            <c:ext xmlns:c16="http://schemas.microsoft.com/office/drawing/2014/chart" uri="{C3380CC4-5D6E-409C-BE32-E72D297353CC}">
              <c16:uniqueId val="{00000001-4A4C-459C-92F4-9DA15CBC3A55}"/>
            </c:ext>
          </c:extLst>
        </c:ser>
        <c:ser>
          <c:idx val="2"/>
          <c:order val="2"/>
          <c:tx>
            <c:strRef>
              <c:f>'All Depts'!$A$47</c:f>
              <c:strCache>
                <c:ptCount val="1"/>
                <c:pt idx="0">
                  <c:v>Enterprise Funds</c:v>
                </c:pt>
              </c:strCache>
            </c:strRef>
          </c:tx>
          <c:spPr>
            <a:ln w="28575" cap="rnd">
              <a:solidFill>
                <a:srgbClr val="7030A0"/>
              </a:solidFill>
              <a:round/>
            </a:ln>
            <a:effectLst/>
          </c:spPr>
          <c:marker>
            <c:symbol val="none"/>
          </c:marker>
          <c:cat>
            <c:numRef>
              <c:f>'All Depts'!$B$58:$L$58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Depts'!$B$47:$L$47</c:f>
              <c:numCache>
                <c:formatCode>_("$"* #,##0_);_("$"* \(#,##0\);_("$"* "-"??_);_(@_)</c:formatCode>
                <c:ptCount val="11"/>
                <c:pt idx="0">
                  <c:v>1216.5994585351953</c:v>
                </c:pt>
                <c:pt idx="1">
                  <c:v>1152.0564642319389</c:v>
                </c:pt>
                <c:pt idx="2">
                  <c:v>1343.2401797530576</c:v>
                </c:pt>
                <c:pt idx="3">
                  <c:v>1254.7608918244616</c:v>
                </c:pt>
                <c:pt idx="4">
                  <c:v>1459.571692482592</c:v>
                </c:pt>
                <c:pt idx="5">
                  <c:v>1770.9912850042942</c:v>
                </c:pt>
                <c:pt idx="6">
                  <c:v>1960.2843775538001</c:v>
                </c:pt>
                <c:pt idx="7">
                  <c:v>1863.3003159239095</c:v>
                </c:pt>
                <c:pt idx="8">
                  <c:v>1972.0601133966245</c:v>
                </c:pt>
                <c:pt idx="9">
                  <c:v>2623.6030260671482</c:v>
                </c:pt>
                <c:pt idx="10">
                  <c:v>2520.2164345403899</c:v>
                </c:pt>
              </c:numCache>
            </c:numRef>
          </c:val>
          <c:smooth val="0"/>
          <c:extLst>
            <c:ext xmlns:c16="http://schemas.microsoft.com/office/drawing/2014/chart" uri="{C3380CC4-5D6E-409C-BE32-E72D297353CC}">
              <c16:uniqueId val="{00000002-4A4C-459C-92F4-9DA15CBC3A55}"/>
            </c:ext>
          </c:extLst>
        </c:ser>
        <c:ser>
          <c:idx val="3"/>
          <c:order val="3"/>
          <c:tx>
            <c:strRef>
              <c:f>'All Depts'!$A$48</c:f>
              <c:strCache>
                <c:ptCount val="1"/>
                <c:pt idx="0">
                  <c:v>Special Revenue Funds</c:v>
                </c:pt>
              </c:strCache>
            </c:strRef>
          </c:tx>
          <c:spPr>
            <a:ln w="28575" cap="rnd">
              <a:solidFill>
                <a:srgbClr val="00B0F0"/>
              </a:solidFill>
              <a:round/>
            </a:ln>
            <a:effectLst/>
          </c:spPr>
          <c:marker>
            <c:symbol val="none"/>
          </c:marker>
          <c:cat>
            <c:numRef>
              <c:f>'All Depts'!$B$58:$L$58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Depts'!$B$48:$L$48</c:f>
              <c:numCache>
                <c:formatCode>_("$"* #,##0_);_("$"* \(#,##0\);_("$"* "-"??_);_(@_)</c:formatCode>
                <c:ptCount val="11"/>
                <c:pt idx="0">
                  <c:v>136.38163769354992</c:v>
                </c:pt>
                <c:pt idx="1">
                  <c:v>134.53907472469075</c:v>
                </c:pt>
                <c:pt idx="2">
                  <c:v>222.26142726254707</c:v>
                </c:pt>
                <c:pt idx="3">
                  <c:v>221.01605110973307</c:v>
                </c:pt>
                <c:pt idx="4">
                  <c:v>264.08048884467814</c:v>
                </c:pt>
                <c:pt idx="5">
                  <c:v>321.90067157559804</c:v>
                </c:pt>
                <c:pt idx="6">
                  <c:v>426.89538272950148</c:v>
                </c:pt>
                <c:pt idx="7">
                  <c:v>390.021778584392</c:v>
                </c:pt>
                <c:pt idx="8">
                  <c:v>435.6089266877637</c:v>
                </c:pt>
                <c:pt idx="9">
                  <c:v>1059.7612409722763</c:v>
                </c:pt>
                <c:pt idx="10">
                  <c:v>632.99413775639403</c:v>
                </c:pt>
              </c:numCache>
            </c:numRef>
          </c:val>
          <c:smooth val="0"/>
          <c:extLst>
            <c:ext xmlns:c16="http://schemas.microsoft.com/office/drawing/2014/chart" uri="{C3380CC4-5D6E-409C-BE32-E72D297353CC}">
              <c16:uniqueId val="{00000003-4A4C-459C-92F4-9DA15CBC3A55}"/>
            </c:ext>
          </c:extLst>
        </c:ser>
        <c:dLbls>
          <c:showLegendKey val="0"/>
          <c:showVal val="0"/>
          <c:showCatName val="0"/>
          <c:showSerName val="0"/>
          <c:showPercent val="0"/>
          <c:showBubbleSize val="0"/>
        </c:dLbls>
        <c:smooth val="0"/>
        <c:axId val="558850096"/>
        <c:axId val="558849768"/>
      </c:lineChart>
      <c:catAx>
        <c:axId val="5588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849768"/>
        <c:crosses val="autoZero"/>
        <c:auto val="1"/>
        <c:lblAlgn val="ctr"/>
        <c:lblOffset val="100"/>
        <c:noMultiLvlLbl val="0"/>
      </c:catAx>
      <c:valAx>
        <c:axId val="5588497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850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IT!$A$30</c:f>
              <c:strCache>
                <c:ptCount val="1"/>
                <c:pt idx="0">
                  <c:v>Expenditures per FTE</c:v>
                </c:pt>
              </c:strCache>
            </c:strRef>
          </c:tx>
          <c:spPr>
            <a:ln w="28575" cap="rnd">
              <a:solidFill>
                <a:sysClr val="windowText" lastClr="000000"/>
              </a:solidFill>
              <a:round/>
            </a:ln>
            <a:effectLst/>
          </c:spPr>
          <c:marker>
            <c:symbol val="none"/>
          </c:marker>
          <c:cat>
            <c:numRef>
              <c:f>IT!$B$25:$L$25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IT!$B$30:$L$30</c:f>
              <c:numCache>
                <c:formatCode>_("$"* #,##0_);_("$"* \(#,##0\);_("$"* "-"??_);_(@_)</c:formatCode>
                <c:ptCount val="11"/>
                <c:pt idx="0">
                  <c:v>128585.71428571429</c:v>
                </c:pt>
                <c:pt idx="1">
                  <c:v>167497.71428571429</c:v>
                </c:pt>
                <c:pt idx="2">
                  <c:v>155543.60975609755</c:v>
                </c:pt>
                <c:pt idx="3">
                  <c:v>152469.51219512196</c:v>
                </c:pt>
                <c:pt idx="4">
                  <c:v>171520.92682926828</c:v>
                </c:pt>
                <c:pt idx="5">
                  <c:v>169012.78048780488</c:v>
                </c:pt>
                <c:pt idx="6">
                  <c:v>171187.20000000001</c:v>
                </c:pt>
                <c:pt idx="7">
                  <c:v>176527.2888888889</c:v>
                </c:pt>
                <c:pt idx="8">
                  <c:v>207363.15555555557</c:v>
                </c:pt>
                <c:pt idx="9">
                  <c:v>248621.82608695651</c:v>
                </c:pt>
                <c:pt idx="10">
                  <c:v>209617.13043478262</c:v>
                </c:pt>
              </c:numCache>
            </c:numRef>
          </c:val>
          <c:smooth val="0"/>
          <c:extLst>
            <c:ext xmlns:c16="http://schemas.microsoft.com/office/drawing/2014/chart" uri="{C3380CC4-5D6E-409C-BE32-E72D297353CC}">
              <c16:uniqueId val="{00000000-5547-451D-9DFF-7995D10E0503}"/>
            </c:ext>
          </c:extLst>
        </c:ser>
        <c:dLbls>
          <c:showLegendKey val="0"/>
          <c:showVal val="0"/>
          <c:showCatName val="0"/>
          <c:showSerName val="0"/>
          <c:showPercent val="0"/>
          <c:showBubbleSize val="0"/>
        </c:dLbls>
        <c:smooth val="0"/>
        <c:axId val="709268904"/>
        <c:axId val="709270544"/>
      </c:lineChart>
      <c:catAx>
        <c:axId val="709268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9270544"/>
        <c:crosses val="autoZero"/>
        <c:auto val="1"/>
        <c:lblAlgn val="ctr"/>
        <c:lblOffset val="100"/>
        <c:noMultiLvlLbl val="0"/>
      </c:catAx>
      <c:valAx>
        <c:axId val="7092705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9268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Library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6"/>
          <c:order val="6"/>
          <c:tx>
            <c:strRef>
              <c:f>LIB!$A$11</c:f>
              <c:strCache>
                <c:ptCount val="1"/>
                <c:pt idx="0">
                  <c:v>Total City Budget Revenues</c:v>
                </c:pt>
              </c:strCache>
            </c:strRef>
          </c:tx>
          <c:spPr>
            <a:ln w="28575" cap="rnd">
              <a:solidFill>
                <a:schemeClr val="tx1"/>
              </a:solidFill>
              <a:round/>
            </a:ln>
            <a:effectLst/>
          </c:spPr>
          <c:marker>
            <c:symbol val="none"/>
          </c:marker>
          <c:cat>
            <c:numRef>
              <c:f>LIB!$B$5:$L$5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LIB!$B$11:$L$11</c:f>
              <c:numCache>
                <c:formatCode>_("$"* #,##0_);_("$"* \(#,##0\);_("$"* "-"??_);_(@_)</c:formatCode>
                <c:ptCount val="11"/>
                <c:pt idx="0">
                  <c:v>2075661</c:v>
                </c:pt>
                <c:pt idx="1">
                  <c:v>2394183</c:v>
                </c:pt>
                <c:pt idx="2">
                  <c:v>2318491</c:v>
                </c:pt>
                <c:pt idx="3">
                  <c:v>2408997</c:v>
                </c:pt>
                <c:pt idx="4">
                  <c:v>2799235</c:v>
                </c:pt>
                <c:pt idx="5">
                  <c:v>3065549</c:v>
                </c:pt>
                <c:pt idx="6">
                  <c:v>3158827</c:v>
                </c:pt>
                <c:pt idx="7">
                  <c:v>3283976</c:v>
                </c:pt>
                <c:pt idx="8">
                  <c:v>340210</c:v>
                </c:pt>
                <c:pt idx="9">
                  <c:v>609100</c:v>
                </c:pt>
                <c:pt idx="10">
                  <c:v>499463</c:v>
                </c:pt>
              </c:numCache>
            </c:numRef>
          </c:val>
          <c:smooth val="0"/>
          <c:extLst>
            <c:ext xmlns:c16="http://schemas.microsoft.com/office/drawing/2014/chart" uri="{C3380CC4-5D6E-409C-BE32-E72D297353CC}">
              <c16:uniqueId val="{00000000-139C-4ABA-ABE8-F8B160492168}"/>
            </c:ext>
          </c:extLst>
        </c:ser>
        <c:dLbls>
          <c:showLegendKey val="0"/>
          <c:showVal val="0"/>
          <c:showCatName val="0"/>
          <c:showSerName val="0"/>
          <c:showPercent val="0"/>
          <c:showBubbleSize val="0"/>
        </c:dLbls>
        <c:smooth val="0"/>
        <c:axId val="596661840"/>
        <c:axId val="596662168"/>
        <c:extLst>
          <c:ext xmlns:c15="http://schemas.microsoft.com/office/drawing/2012/chart" uri="{02D57815-91ED-43cb-92C2-25804820EDAC}">
            <c15:filteredLineSeries>
              <c15:ser>
                <c:idx val="0"/>
                <c:order val="0"/>
                <c:tx>
                  <c:strRef>
                    <c:extLst>
                      <c:ext uri="{02D57815-91ED-43cb-92C2-25804820EDAC}">
                        <c15:formulaRef>
                          <c15:sqref>LIB!$A$5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LIB!$B$5:$L$5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LIB!#REF!</c15:sqref>
                        </c15:formulaRef>
                      </c:ext>
                    </c:extLst>
                    <c:numCache>
                      <c:formatCode>General</c:formatCode>
                      <c:ptCount val="1"/>
                      <c:pt idx="0">
                        <c:v>1</c:v>
                      </c:pt>
                    </c:numCache>
                  </c:numRef>
                </c:val>
                <c:smooth val="0"/>
                <c:extLst>
                  <c:ext xmlns:c16="http://schemas.microsoft.com/office/drawing/2014/chart" uri="{C3380CC4-5D6E-409C-BE32-E72D297353CC}">
                    <c16:uniqueId val="{00000001-139C-4ABA-ABE8-F8B16049216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LIB!$A$6</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LIB!$B$5:$L$5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LIB!$B$6:$L$6</c15:sqref>
                        </c15:formulaRef>
                      </c:ext>
                    </c:extLst>
                    <c:numCache>
                      <c:formatCode>_("$"* #,##0_);_("$"* \(#,##0\);_("$"* "-"??_);_(@_)</c:formatCode>
                      <c:ptCount val="11"/>
                      <c:pt idx="0">
                        <c:v>2075661</c:v>
                      </c:pt>
                      <c:pt idx="1">
                        <c:v>2394183</c:v>
                      </c:pt>
                      <c:pt idx="2">
                        <c:v>2318491</c:v>
                      </c:pt>
                      <c:pt idx="3">
                        <c:v>2408997</c:v>
                      </c:pt>
                      <c:pt idx="4">
                        <c:v>2799235</c:v>
                      </c:pt>
                      <c:pt idx="5">
                        <c:v>3065549</c:v>
                      </c:pt>
                      <c:pt idx="6">
                        <c:v>3158827</c:v>
                      </c:pt>
                      <c:pt idx="7">
                        <c:v>3283976</c:v>
                      </c:pt>
                      <c:pt idx="8">
                        <c:v>104603</c:v>
                      </c:pt>
                      <c:pt idx="9">
                        <c:v>149644</c:v>
                      </c:pt>
                      <c:pt idx="10">
                        <c:v>94256</c:v>
                      </c:pt>
                    </c:numCache>
                  </c:numRef>
                </c:val>
                <c:smooth val="0"/>
                <c:extLst xmlns:c15="http://schemas.microsoft.com/office/drawing/2012/chart">
                  <c:ext xmlns:c16="http://schemas.microsoft.com/office/drawing/2014/chart" uri="{C3380CC4-5D6E-409C-BE32-E72D297353CC}">
                    <c16:uniqueId val="{00000002-139C-4ABA-ABE8-F8B16049216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LIB!$A$7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LIB!$B$5:$L$5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LIB!$B$7:$L$7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139C-4ABA-ABE8-F8B16049216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LIB!$A$8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LIB!$B$5:$L$5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LIB!$B$8:$L$8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139C-4ABA-ABE8-F8B16049216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LIB!$A$9</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LIB!$B$5:$L$5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LIB!$B$9:$L$9</c15:sqref>
                        </c15:formulaRef>
                      </c:ext>
                    </c:extLst>
                    <c:numCache>
                      <c:formatCode>_("$"* #,##0_);_("$"* \(#,##0\);_("$"* "-"??_);_(@_)</c:formatCode>
                      <c:ptCount val="11"/>
                      <c:pt idx="0">
                        <c:v>0</c:v>
                      </c:pt>
                      <c:pt idx="1">
                        <c:v>0</c:v>
                      </c:pt>
                      <c:pt idx="2">
                        <c:v>0</c:v>
                      </c:pt>
                      <c:pt idx="3">
                        <c:v>0</c:v>
                      </c:pt>
                      <c:pt idx="4">
                        <c:v>0</c:v>
                      </c:pt>
                      <c:pt idx="5">
                        <c:v>0</c:v>
                      </c:pt>
                      <c:pt idx="6">
                        <c:v>0</c:v>
                      </c:pt>
                      <c:pt idx="7">
                        <c:v>0</c:v>
                      </c:pt>
                      <c:pt idx="8">
                        <c:v>235607</c:v>
                      </c:pt>
                      <c:pt idx="9">
                        <c:v>459456</c:v>
                      </c:pt>
                      <c:pt idx="10">
                        <c:v>405207</c:v>
                      </c:pt>
                    </c:numCache>
                  </c:numRef>
                </c:val>
                <c:smooth val="0"/>
                <c:extLst xmlns:c15="http://schemas.microsoft.com/office/drawing/2012/chart">
                  <c:ext xmlns:c16="http://schemas.microsoft.com/office/drawing/2014/chart" uri="{C3380CC4-5D6E-409C-BE32-E72D297353CC}">
                    <c16:uniqueId val="{00000005-139C-4ABA-ABE8-F8B160492168}"/>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LIB!$A$10</c15:sqref>
                        </c15:formulaRef>
                      </c:ext>
                    </c:extLst>
                    <c:strCache>
                      <c:ptCount val="1"/>
                      <c:pt idx="0">
                        <c:v>Spl Rev moved to IT 2015</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LIB!$B$5:$L$5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LIB!$B$10:$L$10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6-139C-4ABA-ABE8-F8B160492168}"/>
                  </c:ext>
                </c:extLst>
              </c15:ser>
            </c15:filteredLineSeries>
          </c:ext>
        </c:extLst>
      </c:lineChart>
      <c:catAx>
        <c:axId val="59666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62168"/>
        <c:crosses val="autoZero"/>
        <c:auto val="1"/>
        <c:lblAlgn val="ctr"/>
        <c:lblOffset val="100"/>
        <c:noMultiLvlLbl val="0"/>
      </c:catAx>
      <c:valAx>
        <c:axId val="5966621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6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Library Expenses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LIB!$A$15</c:f>
              <c:strCache>
                <c:ptCount val="1"/>
                <c:pt idx="0">
                  <c:v>General Fund</c:v>
                </c:pt>
              </c:strCache>
            </c:strRef>
          </c:tx>
          <c:spPr>
            <a:ln w="28575" cap="rnd">
              <a:solidFill>
                <a:schemeClr val="accent1"/>
              </a:solidFill>
              <a:round/>
            </a:ln>
            <a:effectLst/>
          </c:spPr>
          <c:marker>
            <c:symbol val="none"/>
          </c:marker>
          <c:cat>
            <c:numRef>
              <c:f>LIB!$B$5:$L$5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LIB!$B$15:$L$15</c:f>
              <c:numCache>
                <c:formatCode>_("$"* #,##0_);_("$"* \(#,##0\);_("$"* "-"??_);_(@_)</c:formatCode>
                <c:ptCount val="11"/>
                <c:pt idx="0">
                  <c:v>2705755</c:v>
                </c:pt>
                <c:pt idx="1">
                  <c:v>2423439</c:v>
                </c:pt>
                <c:pt idx="2">
                  <c:v>2318491</c:v>
                </c:pt>
                <c:pt idx="3">
                  <c:v>2799235</c:v>
                </c:pt>
                <c:pt idx="4">
                  <c:v>2799235</c:v>
                </c:pt>
                <c:pt idx="5">
                  <c:v>3065549</c:v>
                </c:pt>
                <c:pt idx="6">
                  <c:v>3158827</c:v>
                </c:pt>
                <c:pt idx="7">
                  <c:v>3283976</c:v>
                </c:pt>
                <c:pt idx="8">
                  <c:v>3762506</c:v>
                </c:pt>
                <c:pt idx="9">
                  <c:v>4389757</c:v>
                </c:pt>
                <c:pt idx="10">
                  <c:v>3230342</c:v>
                </c:pt>
              </c:numCache>
            </c:numRef>
          </c:val>
          <c:smooth val="0"/>
          <c:extLst>
            <c:ext xmlns:c16="http://schemas.microsoft.com/office/drawing/2014/chart" uri="{C3380CC4-5D6E-409C-BE32-E72D297353CC}">
              <c16:uniqueId val="{00000000-B813-4128-8D0A-8E4FA153AACB}"/>
            </c:ext>
          </c:extLst>
        </c:ser>
        <c:ser>
          <c:idx val="5"/>
          <c:order val="5"/>
          <c:tx>
            <c:strRef>
              <c:f>LIB!$A$20</c:f>
              <c:strCache>
                <c:ptCount val="1"/>
                <c:pt idx="0">
                  <c:v>Total City Budget Expenses</c:v>
                </c:pt>
              </c:strCache>
            </c:strRef>
          </c:tx>
          <c:spPr>
            <a:ln w="28575" cap="rnd">
              <a:solidFill>
                <a:sysClr val="windowText" lastClr="000000"/>
              </a:solidFill>
              <a:round/>
            </a:ln>
            <a:effectLst/>
          </c:spPr>
          <c:marker>
            <c:symbol val="none"/>
          </c:marker>
          <c:cat>
            <c:numRef>
              <c:f>LIB!$B$5:$L$5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LIB!$B$20:$L$20</c:f>
              <c:numCache>
                <c:formatCode>_("$"* #,##0_);_("$"* \(#,##0\);_("$"* "-"??_);_(@_)</c:formatCode>
                <c:ptCount val="11"/>
                <c:pt idx="0">
                  <c:v>2705755</c:v>
                </c:pt>
                <c:pt idx="1">
                  <c:v>2423439</c:v>
                </c:pt>
                <c:pt idx="2">
                  <c:v>2318491</c:v>
                </c:pt>
                <c:pt idx="3">
                  <c:v>2799235</c:v>
                </c:pt>
                <c:pt idx="4">
                  <c:v>2799235</c:v>
                </c:pt>
                <c:pt idx="5">
                  <c:v>3065549</c:v>
                </c:pt>
                <c:pt idx="6">
                  <c:v>3158827</c:v>
                </c:pt>
                <c:pt idx="7">
                  <c:v>3283976</c:v>
                </c:pt>
                <c:pt idx="8">
                  <c:v>3762506</c:v>
                </c:pt>
                <c:pt idx="9">
                  <c:v>4389757</c:v>
                </c:pt>
                <c:pt idx="10">
                  <c:v>3230342</c:v>
                </c:pt>
              </c:numCache>
            </c:numRef>
          </c:val>
          <c:smooth val="0"/>
          <c:extLst>
            <c:ext xmlns:c16="http://schemas.microsoft.com/office/drawing/2014/chart" uri="{C3380CC4-5D6E-409C-BE32-E72D297353CC}">
              <c16:uniqueId val="{00000005-B813-4128-8D0A-8E4FA153AACB}"/>
            </c:ext>
          </c:extLst>
        </c:ser>
        <c:dLbls>
          <c:showLegendKey val="0"/>
          <c:showVal val="0"/>
          <c:showCatName val="0"/>
          <c:showSerName val="0"/>
          <c:showPercent val="0"/>
          <c:showBubbleSize val="0"/>
        </c:dLbls>
        <c:smooth val="0"/>
        <c:axId val="729861264"/>
        <c:axId val="729861592"/>
        <c:extLst>
          <c:ext xmlns:c15="http://schemas.microsoft.com/office/drawing/2012/chart" uri="{02D57815-91ED-43cb-92C2-25804820EDAC}">
            <c15:filteredLineSeries>
              <c15:ser>
                <c:idx val="1"/>
                <c:order val="1"/>
                <c:tx>
                  <c:strRef>
                    <c:extLst>
                      <c:ext uri="{02D57815-91ED-43cb-92C2-25804820EDAC}">
                        <c15:formulaRef>
                          <c15:sqref>LIB!$A$16</c15:sqref>
                        </c15:formulaRef>
                      </c:ext>
                    </c:extLst>
                    <c:strCache>
                      <c:ptCount val="1"/>
                      <c:pt idx="0">
                        <c:v>Internal Service Funds</c:v>
                      </c:pt>
                    </c:strCache>
                  </c:strRef>
                </c:tx>
                <c:spPr>
                  <a:ln w="28575" cap="rnd">
                    <a:solidFill>
                      <a:schemeClr val="accent2"/>
                    </a:solidFill>
                    <a:round/>
                  </a:ln>
                  <a:effectLst/>
                </c:spPr>
                <c:marker>
                  <c:symbol val="none"/>
                </c:marker>
                <c:cat>
                  <c:numRef>
                    <c:extLst>
                      <c:ext uri="{02D57815-91ED-43cb-92C2-25804820EDAC}">
                        <c15:formulaRef>
                          <c15:sqref>LIB!$B$5:$L$5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LIB!$B$16:$L$16</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B813-4128-8D0A-8E4FA153AACB}"/>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LIB!$A$17</c15:sqref>
                        </c15:formulaRef>
                      </c:ext>
                    </c:extLst>
                    <c:strCache>
                      <c:ptCount val="1"/>
                      <c:pt idx="0">
                        <c:v>Enterprise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LIB!$B$5:$L$5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LIB!$B$17:$L$17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B813-4128-8D0A-8E4FA153AA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LIB!$A$18</c15:sqref>
                        </c15:formulaRef>
                      </c:ext>
                    </c:extLst>
                    <c:strCache>
                      <c:ptCount val="1"/>
                      <c:pt idx="0">
                        <c:v>Special Revenue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LIB!$B$5:$L$5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LIB!$B$18:$L$18</c15:sqref>
                        </c15:formulaRef>
                      </c:ext>
                    </c:extLst>
                    <c:numCache>
                      <c:formatCode>_("$"* #,##0_);_("$"* \(#,##0\);_("$"* "-"??_);_(@_)</c:formatCode>
                      <c:ptCount val="11"/>
                      <c:pt idx="0">
                        <c:v>0</c:v>
                      </c:pt>
                      <c:pt idx="1">
                        <c:v>0</c:v>
                      </c:pt>
                      <c:pt idx="2">
                        <c:v>0</c:v>
                      </c:pt>
                      <c:pt idx="3">
                        <c:v>0</c:v>
                      </c:pt>
                      <c:pt idx="4">
                        <c:v>0</c:v>
                      </c:pt>
                      <c:pt idx="5">
                        <c:v>0</c:v>
                      </c:pt>
                      <c:pt idx="6">
                        <c:v>0</c:v>
                      </c:pt>
                      <c:pt idx="7">
                        <c:v>0</c:v>
                      </c:pt>
                      <c:pt idx="8">
                        <c:v>0</c:v>
                      </c:pt>
                      <c:pt idx="10">
                        <c:v>0</c:v>
                      </c:pt>
                    </c:numCache>
                  </c:numRef>
                </c:val>
                <c:smooth val="0"/>
                <c:extLst xmlns:c15="http://schemas.microsoft.com/office/drawing/2012/chart">
                  <c:ext xmlns:c16="http://schemas.microsoft.com/office/drawing/2014/chart" uri="{C3380CC4-5D6E-409C-BE32-E72D297353CC}">
                    <c16:uniqueId val="{00000003-B813-4128-8D0A-8E4FA153AACB}"/>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LIB!$A$19</c15:sqref>
                        </c15:formulaRef>
                      </c:ext>
                    </c:extLst>
                    <c:strCache>
                      <c:ptCount val="1"/>
                      <c:pt idx="0">
                        <c:v>Non Dept &amp; Other Entities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LIB!$B$5:$L$5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LIB!$B$19:$L$19</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4-B813-4128-8D0A-8E4FA153AACB}"/>
                  </c:ext>
                </c:extLst>
              </c15:ser>
            </c15:filteredLineSeries>
          </c:ext>
        </c:extLst>
      </c:lineChart>
      <c:catAx>
        <c:axId val="729861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861592"/>
        <c:crosses val="autoZero"/>
        <c:auto val="1"/>
        <c:lblAlgn val="ctr"/>
        <c:lblOffset val="100"/>
        <c:noMultiLvlLbl val="0"/>
      </c:catAx>
      <c:valAx>
        <c:axId val="7298615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86126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LIB!$A$25</c:f>
              <c:strCache>
                <c:ptCount val="1"/>
                <c:pt idx="0">
                  <c:v>Expenditures per Capita</c:v>
                </c:pt>
              </c:strCache>
            </c:strRef>
          </c:tx>
          <c:spPr>
            <a:ln w="28575" cap="rnd">
              <a:solidFill>
                <a:sysClr val="windowText" lastClr="000000"/>
              </a:solidFill>
              <a:round/>
            </a:ln>
            <a:effectLst/>
          </c:spPr>
          <c:marker>
            <c:symbol val="none"/>
          </c:marker>
          <c:cat>
            <c:numRef>
              <c:f>LIB!$B$24:$L$24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LIB!$B$25:$L$25</c:f>
              <c:numCache>
                <c:formatCode>_("$"* #,##0.00_);_("$"* \(#,##0.00\);_("$"* "-"??_);_(@_)</c:formatCode>
                <c:ptCount val="11"/>
                <c:pt idx="0">
                  <c:v>42.838336341471141</c:v>
                </c:pt>
                <c:pt idx="1">
                  <c:v>35.774541643293674</c:v>
                </c:pt>
                <c:pt idx="2">
                  <c:v>33.718110556856359</c:v>
                </c:pt>
                <c:pt idx="3">
                  <c:v>40.369117837931384</c:v>
                </c:pt>
                <c:pt idx="4">
                  <c:v>39.778811993747333</c:v>
                </c:pt>
                <c:pt idx="5">
                  <c:v>43.160333394342999</c:v>
                </c:pt>
                <c:pt idx="6">
                  <c:v>43.024067011713427</c:v>
                </c:pt>
                <c:pt idx="7">
                  <c:v>44.148363245277949</c:v>
                </c:pt>
                <c:pt idx="8">
                  <c:v>49.611102320675109</c:v>
                </c:pt>
                <c:pt idx="9">
                  <c:v>56.816507468095573</c:v>
                </c:pt>
                <c:pt idx="10">
                  <c:v>40.900759685996455</c:v>
                </c:pt>
              </c:numCache>
            </c:numRef>
          </c:val>
          <c:smooth val="0"/>
          <c:extLst>
            <c:ext xmlns:c16="http://schemas.microsoft.com/office/drawing/2014/chart" uri="{C3380CC4-5D6E-409C-BE32-E72D297353CC}">
              <c16:uniqueId val="{00000000-9A19-4ACC-ADE1-C1FE01D313B2}"/>
            </c:ext>
          </c:extLst>
        </c:ser>
        <c:dLbls>
          <c:showLegendKey val="0"/>
          <c:showVal val="0"/>
          <c:showCatName val="0"/>
          <c:showSerName val="0"/>
          <c:showPercent val="0"/>
          <c:showBubbleSize val="0"/>
        </c:dLbls>
        <c:smooth val="0"/>
        <c:axId val="761946584"/>
        <c:axId val="768622024"/>
      </c:lineChart>
      <c:catAx>
        <c:axId val="76194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8622024"/>
        <c:crosses val="autoZero"/>
        <c:auto val="1"/>
        <c:lblAlgn val="ctr"/>
        <c:lblOffset val="100"/>
        <c:noMultiLvlLbl val="0"/>
      </c:catAx>
      <c:valAx>
        <c:axId val="7686220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946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LIB!$A$28</c:f>
              <c:strCache>
                <c:ptCount val="1"/>
                <c:pt idx="0">
                  <c:v>Expenditures per FTE</c:v>
                </c:pt>
              </c:strCache>
            </c:strRef>
          </c:tx>
          <c:spPr>
            <a:ln w="28575" cap="rnd">
              <a:solidFill>
                <a:sysClr val="windowText" lastClr="000000"/>
              </a:solidFill>
              <a:round/>
            </a:ln>
            <a:effectLst/>
          </c:spPr>
          <c:marker>
            <c:symbol val="none"/>
          </c:marker>
          <c:cat>
            <c:numRef>
              <c:f>LIB!$B$24:$L$24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LIB!$B$28:$L$28</c:f>
              <c:numCache>
                <c:formatCode>_("$"* #,##0_);_("$"* \(#,##0\);_("$"* "-"??_);_(@_)</c:formatCode>
                <c:ptCount val="11"/>
                <c:pt idx="0">
                  <c:v>98248.184458968783</c:v>
                </c:pt>
                <c:pt idx="1">
                  <c:v>87997.058823529413</c:v>
                </c:pt>
                <c:pt idx="2">
                  <c:v>77463.782158369533</c:v>
                </c:pt>
                <c:pt idx="3">
                  <c:v>52557.923394667661</c:v>
                </c:pt>
                <c:pt idx="4">
                  <c:v>90884.253246753244</c:v>
                </c:pt>
                <c:pt idx="5">
                  <c:v>99112.479793081147</c:v>
                </c:pt>
                <c:pt idx="6">
                  <c:v>99084.912170639902</c:v>
                </c:pt>
                <c:pt idx="7">
                  <c:v>102209.02583255526</c:v>
                </c:pt>
                <c:pt idx="8">
                  <c:v>114885.67938931298</c:v>
                </c:pt>
                <c:pt idx="9">
                  <c:v>134038.38167938931</c:v>
                </c:pt>
                <c:pt idx="10">
                  <c:v>97519.758490566033</c:v>
                </c:pt>
              </c:numCache>
            </c:numRef>
          </c:val>
          <c:smooth val="0"/>
          <c:extLst>
            <c:ext xmlns:c16="http://schemas.microsoft.com/office/drawing/2014/chart" uri="{C3380CC4-5D6E-409C-BE32-E72D297353CC}">
              <c16:uniqueId val="{00000000-3FB4-45A6-9CB5-608AE459E59F}"/>
            </c:ext>
          </c:extLst>
        </c:ser>
        <c:dLbls>
          <c:showLegendKey val="0"/>
          <c:showVal val="0"/>
          <c:showCatName val="0"/>
          <c:showSerName val="0"/>
          <c:showPercent val="0"/>
          <c:showBubbleSize val="0"/>
        </c:dLbls>
        <c:smooth val="0"/>
        <c:axId val="764666136"/>
        <c:axId val="764670400"/>
      </c:lineChart>
      <c:catAx>
        <c:axId val="764666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670400"/>
        <c:crosses val="autoZero"/>
        <c:auto val="1"/>
        <c:lblAlgn val="ctr"/>
        <c:lblOffset val="100"/>
        <c:noMultiLvlLbl val="0"/>
      </c:catAx>
      <c:valAx>
        <c:axId val="7646704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666136"/>
        <c:crosses val="autoZero"/>
        <c:crossBetween val="between"/>
      </c:valAx>
      <c:spPr>
        <a:noFill/>
        <a:ln>
          <a:solidFill>
            <a:sysClr val="windowText" lastClr="000000"/>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Parks &amp; Recreation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53265959865253"/>
          <c:y val="8.237089201877934E-2"/>
          <c:w val="0.84157629115258226"/>
          <c:h val="0.80478078444419798"/>
        </c:manualLayout>
      </c:layout>
      <c:lineChart>
        <c:grouping val="standard"/>
        <c:varyColors val="0"/>
        <c:ser>
          <c:idx val="1"/>
          <c:order val="1"/>
          <c:tx>
            <c:strRef>
              <c:f>'P&amp;R'!$A$6</c:f>
              <c:strCache>
                <c:ptCount val="1"/>
                <c:pt idx="0">
                  <c:v>General Fund</c:v>
                </c:pt>
              </c:strCache>
              <c:extLst xmlns:c15="http://schemas.microsoft.com/office/drawing/2012/chart"/>
            </c:strRef>
          </c:tx>
          <c:spPr>
            <a:ln w="28575" cap="rnd">
              <a:solidFill>
                <a:srgbClr val="FF0000"/>
              </a:solidFill>
              <a:round/>
            </a:ln>
            <a:effectLst/>
          </c:spPr>
          <c:marker>
            <c:symbol val="none"/>
          </c:marker>
          <c:cat>
            <c:numRef>
              <c:f>'P&amp;R'!$B$5:$L$5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'P&amp;R'!$B$6:$L$6</c:f>
              <c:numCache>
                <c:formatCode>_("$"* #,##0_);_("$"* \(#,##0\);_("$"* "-"??_);_(@_)</c:formatCode>
                <c:ptCount val="11"/>
                <c:pt idx="0">
                  <c:v>6924090</c:v>
                </c:pt>
                <c:pt idx="1">
                  <c:v>7551787</c:v>
                </c:pt>
                <c:pt idx="2">
                  <c:v>7789038</c:v>
                </c:pt>
                <c:pt idx="3">
                  <c:v>8209400</c:v>
                </c:pt>
                <c:pt idx="4">
                  <c:v>8639517</c:v>
                </c:pt>
                <c:pt idx="5">
                  <c:v>11449771</c:v>
                </c:pt>
                <c:pt idx="6">
                  <c:v>10457393</c:v>
                </c:pt>
                <c:pt idx="7">
                  <c:v>10372472</c:v>
                </c:pt>
                <c:pt idx="8">
                  <c:v>3745517</c:v>
                </c:pt>
                <c:pt idx="9">
                  <c:v>3859102</c:v>
                </c:pt>
                <c:pt idx="10">
                  <c:v>3782353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99DA-4B93-ABFC-24D83B2FCFAD}"/>
            </c:ext>
          </c:extLst>
        </c:ser>
        <c:ser>
          <c:idx val="3"/>
          <c:order val="3"/>
          <c:tx>
            <c:strRef>
              <c:f>'P&amp;R'!$A$8</c:f>
              <c:strCache>
                <c:ptCount val="1"/>
                <c:pt idx="0">
                  <c:v>Enterprise Funds</c:v>
                </c:pt>
              </c:strCache>
              <c:extLst xmlns:c15="http://schemas.microsoft.com/office/drawing/2012/chart"/>
            </c:strRef>
          </c:tx>
          <c:spPr>
            <a:ln w="28575" cap="rnd">
              <a:solidFill>
                <a:schemeClr val="accent4"/>
              </a:solidFill>
              <a:round/>
            </a:ln>
            <a:effectLst/>
          </c:spPr>
          <c:marker>
            <c:symbol val="none"/>
          </c:marker>
          <c:cat>
            <c:numRef>
              <c:f>'P&amp;R'!$B$5:$L$5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'P&amp;R'!$B$8:$L$8</c:f>
              <c:numCache>
                <c:formatCode>_("$"* #,##0_);_("$"* \(#,##0\);_("$"* "-"??_);_(@_)</c:formatCode>
                <c:ptCount val="11"/>
                <c:pt idx="0">
                  <c:v>3530693</c:v>
                </c:pt>
                <c:pt idx="1">
                  <c:v>3546107</c:v>
                </c:pt>
                <c:pt idx="2">
                  <c:v>3509743</c:v>
                </c:pt>
                <c:pt idx="3">
                  <c:v>3766712</c:v>
                </c:pt>
                <c:pt idx="4">
                  <c:v>3349296</c:v>
                </c:pt>
                <c:pt idx="5">
                  <c:v>3635697</c:v>
                </c:pt>
                <c:pt idx="6">
                  <c:v>4048723</c:v>
                </c:pt>
                <c:pt idx="7">
                  <c:v>3994433</c:v>
                </c:pt>
                <c:pt idx="8">
                  <c:v>3873351</c:v>
                </c:pt>
                <c:pt idx="9">
                  <c:v>3992869</c:v>
                </c:pt>
                <c:pt idx="10">
                  <c:v>4074782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99DA-4B93-ABFC-24D83B2FCFAD}"/>
            </c:ext>
          </c:extLst>
        </c:ser>
        <c:ser>
          <c:idx val="4"/>
          <c:order val="4"/>
          <c:tx>
            <c:strRef>
              <c:f>'P&amp;R'!$A$9</c:f>
              <c:strCache>
                <c:ptCount val="1"/>
                <c:pt idx="0">
                  <c:v>Special Revenue Funds</c:v>
                </c:pt>
              </c:strCache>
              <c:extLst xmlns:c15="http://schemas.microsoft.com/office/drawing/2012/chart"/>
            </c:strRef>
          </c:tx>
          <c:spPr>
            <a:ln w="28575" cap="rnd">
              <a:solidFill>
                <a:schemeClr val="accent5"/>
              </a:solidFill>
              <a:round/>
            </a:ln>
            <a:effectLst/>
          </c:spPr>
          <c:marker>
            <c:symbol val="none"/>
          </c:marker>
          <c:cat>
            <c:numRef>
              <c:f>'P&amp;R'!$B$5:$L$5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'P&amp;R'!$B$9:$L$9</c:f>
              <c:numCache>
                <c:formatCode>_("$"* #,##0_);_("$"* \(#,##0\);_("$"* "-"??_);_(@_)</c:formatCode>
                <c:ptCount val="11"/>
                <c:pt idx="0">
                  <c:v>2533160</c:v>
                </c:pt>
                <c:pt idx="1">
                  <c:v>2342980</c:v>
                </c:pt>
                <c:pt idx="2">
                  <c:v>2799311</c:v>
                </c:pt>
                <c:pt idx="3">
                  <c:v>2712230</c:v>
                </c:pt>
                <c:pt idx="4">
                  <c:v>2792361</c:v>
                </c:pt>
                <c:pt idx="5">
                  <c:v>3721643</c:v>
                </c:pt>
                <c:pt idx="6">
                  <c:v>3470366</c:v>
                </c:pt>
                <c:pt idx="7">
                  <c:v>4572124</c:v>
                </c:pt>
                <c:pt idx="8">
                  <c:v>6053814</c:v>
                </c:pt>
                <c:pt idx="9">
                  <c:v>8975548</c:v>
                </c:pt>
                <c:pt idx="10">
                  <c:v>8221589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99DA-4B93-ABFC-24D83B2FCFAD}"/>
            </c:ext>
          </c:extLst>
        </c:ser>
        <c:ser>
          <c:idx val="6"/>
          <c:order val="6"/>
          <c:tx>
            <c:strRef>
              <c:f>'P&amp;R'!$A$11</c:f>
              <c:strCache>
                <c:ptCount val="1"/>
                <c:pt idx="0">
                  <c:v>Total City Budget Revenues</c:v>
                </c:pt>
              </c:strCache>
            </c:strRef>
          </c:tx>
          <c:spPr>
            <a:ln w="28575" cap="rnd">
              <a:solidFill>
                <a:schemeClr val="tx1"/>
              </a:solidFill>
              <a:round/>
            </a:ln>
            <a:effectLst/>
          </c:spPr>
          <c:marker>
            <c:symbol val="none"/>
          </c:marker>
          <c:cat>
            <c:numRef>
              <c:f>'P&amp;R'!$B$5:$L$5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'P&amp;R'!$B$11:$L$11</c:f>
              <c:numCache>
                <c:formatCode>_("$"* #,##0_);_("$"* \(#,##0\);_("$"* "-"??_);_(@_)</c:formatCode>
                <c:ptCount val="11"/>
                <c:pt idx="0">
                  <c:v>12987943</c:v>
                </c:pt>
                <c:pt idx="1">
                  <c:v>13440874</c:v>
                </c:pt>
                <c:pt idx="2">
                  <c:v>14098092</c:v>
                </c:pt>
                <c:pt idx="3">
                  <c:v>14688342</c:v>
                </c:pt>
                <c:pt idx="4">
                  <c:v>14781174</c:v>
                </c:pt>
                <c:pt idx="5">
                  <c:v>18807111</c:v>
                </c:pt>
                <c:pt idx="6">
                  <c:v>17976482</c:v>
                </c:pt>
                <c:pt idx="7">
                  <c:v>18939029</c:v>
                </c:pt>
                <c:pt idx="8">
                  <c:v>13672682</c:v>
                </c:pt>
                <c:pt idx="9">
                  <c:v>16827519</c:v>
                </c:pt>
                <c:pt idx="10">
                  <c:v>16078724</c:v>
                </c:pt>
              </c:numCache>
            </c:numRef>
          </c:val>
          <c:smooth val="0"/>
          <c:extLst>
            <c:ext xmlns:c16="http://schemas.microsoft.com/office/drawing/2014/chart" uri="{C3380CC4-5D6E-409C-BE32-E72D297353CC}">
              <c16:uniqueId val="{00000003-99DA-4B93-ABFC-24D83B2FCFAD}"/>
            </c:ext>
          </c:extLst>
        </c:ser>
        <c:dLbls>
          <c:showLegendKey val="0"/>
          <c:showVal val="0"/>
          <c:showCatName val="0"/>
          <c:showSerName val="0"/>
          <c:showPercent val="0"/>
          <c:showBubbleSize val="0"/>
        </c:dLbls>
        <c:smooth val="0"/>
        <c:axId val="596671024"/>
        <c:axId val="596672336"/>
        <c:extLst>
          <c:ext xmlns:c15="http://schemas.microsoft.com/office/drawing/2012/chart" uri="{02D57815-91ED-43cb-92C2-25804820EDAC}">
            <c15:filteredLineSeries>
              <c15:ser>
                <c:idx val="0"/>
                <c:order val="0"/>
                <c:tx>
                  <c:strRef>
                    <c:extLst>
                      <c:ext uri="{02D57815-91ED-43cb-92C2-25804820EDAC}">
                        <c15:formulaRef>
                          <c15:sqref>'P&amp;R'!$A$5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'P&amp;R'!$B$5:$L$5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'P&amp;R'!#REF!</c15:sqref>
                        </c15:formulaRef>
                      </c:ext>
                    </c:extLst>
                    <c:numCache>
                      <c:formatCode>General</c:formatCode>
                      <c:ptCount val="1"/>
                      <c:pt idx="0">
                        <c:v>1</c:v>
                      </c:pt>
                    </c:numCache>
                  </c:numRef>
                </c:val>
                <c:smooth val="0"/>
                <c:extLst>
                  <c:ext xmlns:c16="http://schemas.microsoft.com/office/drawing/2014/chart" uri="{C3380CC4-5D6E-409C-BE32-E72D297353CC}">
                    <c16:uniqueId val="{00000004-99DA-4B93-ABFC-24D83B2FCFA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'P&amp;R'!$A$7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'P&amp;R'!$B$5:$L$5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'P&amp;R'!$B$7:$L$7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99DA-4B93-ABFC-24D83B2FCFAD}"/>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'P&amp;R'!$A$10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'P&amp;R'!$B$5:$L$5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'P&amp;R'!$B$10:$L$10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6-99DA-4B93-ABFC-24D83B2FCFAD}"/>
                  </c:ext>
                </c:extLst>
              </c15:ser>
            </c15:filteredLineSeries>
          </c:ext>
        </c:extLst>
      </c:lineChart>
      <c:catAx>
        <c:axId val="596671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72336"/>
        <c:crosses val="autoZero"/>
        <c:auto val="1"/>
        <c:lblAlgn val="ctr"/>
        <c:lblOffset val="100"/>
        <c:noMultiLvlLbl val="0"/>
      </c:catAx>
      <c:valAx>
        <c:axId val="5966723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71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Parks &amp; Recreation Capital vs. O &amp; 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'P&amp;R'!$A$274</c:f>
              <c:strCache>
                <c:ptCount val="1"/>
                <c:pt idx="0">
                  <c:v>Capital</c:v>
                </c:pt>
              </c:strCache>
            </c:strRef>
          </c:tx>
          <c:spPr>
            <a:solidFill>
              <a:schemeClr val="accent1"/>
            </a:solidFill>
            <a:ln>
              <a:noFill/>
            </a:ln>
            <a:effectLst/>
          </c:spPr>
          <c:invertIfNegative val="0"/>
          <c:cat>
            <c:numRef>
              <c:f>'P&amp;R'!$B$299:$L$299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'P&amp;R'!$B$274:$L$274</c:f>
              <c:numCache>
                <c:formatCode>_("$"* #,##0_);_("$"* \(#,##0\);_("$"* "-"??_);_(@_)</c:formatCode>
                <c:ptCount val="11"/>
                <c:pt idx="0">
                  <c:v>3375911</c:v>
                </c:pt>
                <c:pt idx="1">
                  <c:v>2332303</c:v>
                </c:pt>
                <c:pt idx="2">
                  <c:v>790795</c:v>
                </c:pt>
                <c:pt idx="3">
                  <c:v>1266138</c:v>
                </c:pt>
                <c:pt idx="4">
                  <c:v>1439875</c:v>
                </c:pt>
                <c:pt idx="5">
                  <c:v>5215278</c:v>
                </c:pt>
                <c:pt idx="6">
                  <c:v>4740307</c:v>
                </c:pt>
                <c:pt idx="7">
                  <c:v>7115764</c:v>
                </c:pt>
                <c:pt idx="8">
                  <c:v>6749998</c:v>
                </c:pt>
                <c:pt idx="9">
                  <c:v>7682984</c:v>
                </c:pt>
                <c:pt idx="10">
                  <c:v>9715623</c:v>
                </c:pt>
              </c:numCache>
            </c:numRef>
          </c:val>
          <c:extLst>
            <c:ext xmlns:c16="http://schemas.microsoft.com/office/drawing/2014/chart" uri="{C3380CC4-5D6E-409C-BE32-E72D297353CC}">
              <c16:uniqueId val="{00000000-AAFD-4CD7-9F0F-9108B8ADADE5}"/>
            </c:ext>
          </c:extLst>
        </c:ser>
        <c:ser>
          <c:idx val="1"/>
          <c:order val="1"/>
          <c:tx>
            <c:strRef>
              <c:f>'P&amp;R'!$A$275</c:f>
              <c:strCache>
                <c:ptCount val="1"/>
                <c:pt idx="0">
                  <c:v>O &amp; M</c:v>
                </c:pt>
              </c:strCache>
            </c:strRef>
          </c:tx>
          <c:spPr>
            <a:solidFill>
              <a:schemeClr val="accent2"/>
            </a:solidFill>
            <a:ln>
              <a:noFill/>
            </a:ln>
            <a:effectLst/>
          </c:spPr>
          <c:invertIfNegative val="0"/>
          <c:cat>
            <c:numRef>
              <c:f>'P&amp;R'!$B$299:$L$299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'P&amp;R'!$B$275:$L$275</c:f>
              <c:numCache>
                <c:formatCode>_("$"* #,##0_);_("$"* \(#,##0\);_("$"* "-"??_);_(@_)</c:formatCode>
                <c:ptCount val="11"/>
                <c:pt idx="0">
                  <c:v>10641414</c:v>
                </c:pt>
                <c:pt idx="1">
                  <c:v>10075910</c:v>
                </c:pt>
                <c:pt idx="2">
                  <c:v>10472812</c:v>
                </c:pt>
                <c:pt idx="3">
                  <c:v>11437797</c:v>
                </c:pt>
                <c:pt idx="4">
                  <c:v>13710435</c:v>
                </c:pt>
                <c:pt idx="5">
                  <c:v>15093853</c:v>
                </c:pt>
                <c:pt idx="6">
                  <c:v>18855783</c:v>
                </c:pt>
                <c:pt idx="7">
                  <c:v>15301611</c:v>
                </c:pt>
                <c:pt idx="8">
                  <c:v>15385147</c:v>
                </c:pt>
                <c:pt idx="9">
                  <c:v>16578635</c:v>
                </c:pt>
                <c:pt idx="10">
                  <c:v>14841186</c:v>
                </c:pt>
              </c:numCache>
            </c:numRef>
          </c:val>
          <c:extLst>
            <c:ext xmlns:c16="http://schemas.microsoft.com/office/drawing/2014/chart" uri="{C3380CC4-5D6E-409C-BE32-E72D297353CC}">
              <c16:uniqueId val="{00000001-AAFD-4CD7-9F0F-9108B8ADADE5}"/>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544982488"/>
        <c:axId val="544978880"/>
      </c:barChart>
      <c:catAx>
        <c:axId val="544982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978880"/>
        <c:crosses val="autoZero"/>
        <c:auto val="1"/>
        <c:lblAlgn val="ctr"/>
        <c:lblOffset val="100"/>
        <c:noMultiLvlLbl val="0"/>
      </c:catAx>
      <c:valAx>
        <c:axId val="5449788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982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Parks &amp; Recreation Expenses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'P&amp;R'!$A$15</c:f>
              <c:strCache>
                <c:ptCount val="1"/>
                <c:pt idx="0">
                  <c:v>General Fund</c:v>
                </c:pt>
              </c:strCache>
            </c:strRef>
          </c:tx>
          <c:spPr>
            <a:ln w="28575" cap="rnd">
              <a:solidFill>
                <a:srgbClr val="FF0000"/>
              </a:solidFill>
              <a:round/>
            </a:ln>
            <a:effectLst/>
          </c:spPr>
          <c:marker>
            <c:symbol val="none"/>
          </c:marker>
          <c:cat>
            <c:numRef>
              <c:f>'P&amp;R'!$B$5:$L$5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'P&amp;R'!$B$15:$L$15</c:f>
              <c:numCache>
                <c:formatCode>_("$"* #,##0_);_("$"* \(#,##0\);_("$"* "-"??_);_(@_)</c:formatCode>
                <c:ptCount val="11"/>
                <c:pt idx="0">
                  <c:v>6924090</c:v>
                </c:pt>
                <c:pt idx="1">
                  <c:v>7551787</c:v>
                </c:pt>
                <c:pt idx="2">
                  <c:v>7789038</c:v>
                </c:pt>
                <c:pt idx="3">
                  <c:v>8209400</c:v>
                </c:pt>
                <c:pt idx="4">
                  <c:v>8639517</c:v>
                </c:pt>
                <c:pt idx="5">
                  <c:v>11449771</c:v>
                </c:pt>
                <c:pt idx="6">
                  <c:v>10457343</c:v>
                </c:pt>
                <c:pt idx="7">
                  <c:v>10372472</c:v>
                </c:pt>
                <c:pt idx="8">
                  <c:v>11803103</c:v>
                </c:pt>
                <c:pt idx="9">
                  <c:v>13207903</c:v>
                </c:pt>
                <c:pt idx="10">
                  <c:v>11891350</c:v>
                </c:pt>
              </c:numCache>
            </c:numRef>
          </c:val>
          <c:smooth val="0"/>
          <c:extLst>
            <c:ext xmlns:c16="http://schemas.microsoft.com/office/drawing/2014/chart" uri="{C3380CC4-5D6E-409C-BE32-E72D297353CC}">
              <c16:uniqueId val="{00000000-30A2-40EB-80D3-DE28A1584445}"/>
            </c:ext>
          </c:extLst>
        </c:ser>
        <c:ser>
          <c:idx val="2"/>
          <c:order val="2"/>
          <c:tx>
            <c:strRef>
              <c:f>'P&amp;R'!$A$17</c:f>
              <c:strCache>
                <c:ptCount val="1"/>
                <c:pt idx="0">
                  <c:v>Enterprise Funds</c:v>
                </c:pt>
              </c:strCache>
            </c:strRef>
          </c:tx>
          <c:spPr>
            <a:ln w="28575" cap="rnd">
              <a:solidFill>
                <a:srgbClr val="7030A0"/>
              </a:solidFill>
              <a:round/>
            </a:ln>
            <a:effectLst/>
          </c:spPr>
          <c:marker>
            <c:symbol val="none"/>
          </c:marker>
          <c:cat>
            <c:numRef>
              <c:f>'P&amp;R'!$B$5:$L$5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'P&amp;R'!$B$17:$L$17</c:f>
              <c:numCache>
                <c:formatCode>_("$"* #,##0_);_("$"* \(#,##0\);_("$"* "-"??_);_(@_)</c:formatCode>
                <c:ptCount val="11"/>
                <c:pt idx="0">
                  <c:v>5241595</c:v>
                </c:pt>
                <c:pt idx="1">
                  <c:v>3140781</c:v>
                </c:pt>
                <c:pt idx="2">
                  <c:v>2833380</c:v>
                </c:pt>
                <c:pt idx="3">
                  <c:v>3287046</c:v>
                </c:pt>
                <c:pt idx="4">
                  <c:v>2806142</c:v>
                </c:pt>
                <c:pt idx="5">
                  <c:v>3849000</c:v>
                </c:pt>
                <c:pt idx="6">
                  <c:v>3764678</c:v>
                </c:pt>
                <c:pt idx="7">
                  <c:v>4584652</c:v>
                </c:pt>
                <c:pt idx="8">
                  <c:v>4185637</c:v>
                </c:pt>
                <c:pt idx="9">
                  <c:v>4540987</c:v>
                </c:pt>
                <c:pt idx="10">
                  <c:v>4002992</c:v>
                </c:pt>
              </c:numCache>
            </c:numRef>
          </c:val>
          <c:smooth val="0"/>
          <c:extLst>
            <c:ext xmlns:c16="http://schemas.microsoft.com/office/drawing/2014/chart" uri="{C3380CC4-5D6E-409C-BE32-E72D297353CC}">
              <c16:uniqueId val="{00000002-30A2-40EB-80D3-DE28A1584445}"/>
            </c:ext>
          </c:extLst>
        </c:ser>
        <c:ser>
          <c:idx val="3"/>
          <c:order val="3"/>
          <c:tx>
            <c:strRef>
              <c:f>'P&amp;R'!$A$18</c:f>
              <c:strCache>
                <c:ptCount val="1"/>
                <c:pt idx="0">
                  <c:v>Special Revenue Funds</c:v>
                </c:pt>
              </c:strCache>
            </c:strRef>
          </c:tx>
          <c:spPr>
            <a:ln w="28575" cap="rnd">
              <a:solidFill>
                <a:srgbClr val="00B0F0"/>
              </a:solidFill>
              <a:round/>
            </a:ln>
            <a:effectLst/>
          </c:spPr>
          <c:marker>
            <c:symbol val="none"/>
          </c:marker>
          <c:cat>
            <c:numRef>
              <c:f>'P&amp;R'!$B$5:$L$5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'P&amp;R'!$B$18:$L$18</c:f>
              <c:numCache>
                <c:formatCode>_("$"* #,##0_);_("$"* \(#,##0\);_("$"* "-"??_);_(@_)</c:formatCode>
                <c:ptCount val="11"/>
                <c:pt idx="0">
                  <c:v>1851640</c:v>
                </c:pt>
                <c:pt idx="1">
                  <c:v>1715645</c:v>
                </c:pt>
                <c:pt idx="2">
                  <c:v>641189</c:v>
                </c:pt>
                <c:pt idx="3">
                  <c:v>1207489</c:v>
                </c:pt>
                <c:pt idx="4">
                  <c:v>3704651</c:v>
                </c:pt>
                <c:pt idx="5">
                  <c:v>5010360</c:v>
                </c:pt>
                <c:pt idx="6">
                  <c:v>9374069</c:v>
                </c:pt>
                <c:pt idx="7">
                  <c:v>7460251</c:v>
                </c:pt>
                <c:pt idx="8">
                  <c:v>6146405</c:v>
                </c:pt>
                <c:pt idx="9">
                  <c:v>6512729</c:v>
                </c:pt>
                <c:pt idx="10">
                  <c:v>8662467</c:v>
                </c:pt>
              </c:numCache>
            </c:numRef>
          </c:val>
          <c:smooth val="0"/>
          <c:extLst>
            <c:ext xmlns:c16="http://schemas.microsoft.com/office/drawing/2014/chart" uri="{C3380CC4-5D6E-409C-BE32-E72D297353CC}">
              <c16:uniqueId val="{00000003-30A2-40EB-80D3-DE28A1584445}"/>
            </c:ext>
          </c:extLst>
        </c:ser>
        <c:ser>
          <c:idx val="5"/>
          <c:order val="5"/>
          <c:tx>
            <c:strRef>
              <c:f>'P&amp;R'!$A$20</c:f>
              <c:strCache>
                <c:ptCount val="1"/>
                <c:pt idx="0">
                  <c:v>Total City Budget Expenses</c:v>
                </c:pt>
              </c:strCache>
            </c:strRef>
          </c:tx>
          <c:spPr>
            <a:ln w="28575" cap="rnd">
              <a:solidFill>
                <a:sysClr val="windowText" lastClr="000000"/>
              </a:solidFill>
              <a:round/>
            </a:ln>
            <a:effectLst/>
          </c:spPr>
          <c:marker>
            <c:symbol val="none"/>
          </c:marker>
          <c:cat>
            <c:numRef>
              <c:f>'P&amp;R'!$B$5:$L$5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'P&amp;R'!$B$20:$L$20</c:f>
              <c:numCache>
                <c:formatCode>_("$"* #,##0_);_("$"* \(#,##0\);_("$"* "-"??_);_(@_)</c:formatCode>
                <c:ptCount val="11"/>
                <c:pt idx="0">
                  <c:v>14017325</c:v>
                </c:pt>
                <c:pt idx="1">
                  <c:v>12408213</c:v>
                </c:pt>
                <c:pt idx="2">
                  <c:v>11263607</c:v>
                </c:pt>
                <c:pt idx="3">
                  <c:v>12703935</c:v>
                </c:pt>
                <c:pt idx="4">
                  <c:v>15150310</c:v>
                </c:pt>
                <c:pt idx="5">
                  <c:v>20309131</c:v>
                </c:pt>
                <c:pt idx="6">
                  <c:v>23596090</c:v>
                </c:pt>
                <c:pt idx="7">
                  <c:v>22417375</c:v>
                </c:pt>
                <c:pt idx="8">
                  <c:v>22135145</c:v>
                </c:pt>
                <c:pt idx="9">
                  <c:v>24261619</c:v>
                </c:pt>
                <c:pt idx="10">
                  <c:v>24556809</c:v>
                </c:pt>
              </c:numCache>
            </c:numRef>
          </c:val>
          <c:smooth val="0"/>
          <c:extLst>
            <c:ext xmlns:c16="http://schemas.microsoft.com/office/drawing/2014/chart" uri="{C3380CC4-5D6E-409C-BE32-E72D297353CC}">
              <c16:uniqueId val="{00000005-30A2-40EB-80D3-DE28A1584445}"/>
            </c:ext>
          </c:extLst>
        </c:ser>
        <c:dLbls>
          <c:showLegendKey val="0"/>
          <c:showVal val="0"/>
          <c:showCatName val="0"/>
          <c:showSerName val="0"/>
          <c:showPercent val="0"/>
          <c:showBubbleSize val="0"/>
        </c:dLbls>
        <c:smooth val="0"/>
        <c:axId val="754049744"/>
        <c:axId val="754054008"/>
        <c:extLst>
          <c:ext xmlns:c15="http://schemas.microsoft.com/office/drawing/2012/chart" uri="{02D57815-91ED-43cb-92C2-25804820EDAC}">
            <c15:filteredLineSeries>
              <c15:ser>
                <c:idx val="1"/>
                <c:order val="1"/>
                <c:tx>
                  <c:strRef>
                    <c:extLst>
                      <c:ext uri="{02D57815-91ED-43cb-92C2-25804820EDAC}">
                        <c15:formulaRef>
                          <c15:sqref>'P&amp;R'!$A$16</c15:sqref>
                        </c15:formulaRef>
                      </c:ext>
                    </c:extLst>
                    <c:strCache>
                      <c:ptCount val="1"/>
                      <c:pt idx="0">
                        <c:v>Internal Service Funds</c:v>
                      </c:pt>
                    </c:strCache>
                  </c:strRef>
                </c:tx>
                <c:spPr>
                  <a:ln w="28575" cap="rnd">
                    <a:solidFill>
                      <a:schemeClr val="accent2"/>
                    </a:solidFill>
                    <a:round/>
                  </a:ln>
                  <a:effectLst/>
                </c:spPr>
                <c:marker>
                  <c:symbol val="none"/>
                </c:marker>
                <c:cat>
                  <c:numRef>
                    <c:extLst>
                      <c:ext uri="{02D57815-91ED-43cb-92C2-25804820EDAC}">
                        <c15:formulaRef>
                          <c15:sqref>'P&amp;R'!$B$5:$L$5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'P&amp;R'!$B$16:$L$16</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30A2-40EB-80D3-DE28A1584445}"/>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'P&amp;R'!$A$19</c15:sqref>
                        </c15:formulaRef>
                      </c:ext>
                    </c:extLst>
                    <c:strCache>
                      <c:ptCount val="1"/>
                      <c:pt idx="0">
                        <c:v>Non Dept &amp; Other Entities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'P&amp;R'!$B$5:$L$5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'P&amp;R'!$B$19:$L$19</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4-30A2-40EB-80D3-DE28A1584445}"/>
                  </c:ext>
                </c:extLst>
              </c15:ser>
            </c15:filteredLineSeries>
          </c:ext>
        </c:extLst>
      </c:lineChart>
      <c:catAx>
        <c:axId val="75404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054008"/>
        <c:crosses val="autoZero"/>
        <c:auto val="1"/>
        <c:lblAlgn val="ctr"/>
        <c:lblOffset val="100"/>
        <c:noMultiLvlLbl val="0"/>
      </c:catAx>
      <c:valAx>
        <c:axId val="754054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04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'P&amp;R'!$A$25</c:f>
              <c:strCache>
                <c:ptCount val="1"/>
                <c:pt idx="0">
                  <c:v>Expenditures per Capita</c:v>
                </c:pt>
              </c:strCache>
            </c:strRef>
          </c:tx>
          <c:spPr>
            <a:ln w="28575" cap="rnd">
              <a:solidFill>
                <a:sysClr val="windowText" lastClr="000000"/>
              </a:solidFill>
              <a:round/>
            </a:ln>
            <a:effectLst/>
          </c:spPr>
          <c:marker>
            <c:symbol val="none"/>
          </c:marker>
          <c:cat>
            <c:numRef>
              <c:f>'P&amp;R'!$B$24:$L$24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'P&amp;R'!$B$25:$L$25</c:f>
              <c:numCache>
                <c:formatCode>_("$"* #,##0.00_);_("$"* \(#,##0.00\);_("$"* "-"??_);_(@_)</c:formatCode>
                <c:ptCount val="11"/>
                <c:pt idx="0">
                  <c:v>109.62429942053767</c:v>
                </c:pt>
                <c:pt idx="1">
                  <c:v>111.47865430604352</c:v>
                </c:pt>
                <c:pt idx="2">
                  <c:v>113.27697386599962</c:v>
                </c:pt>
                <c:pt idx="3">
                  <c:v>118.39171630060137</c:v>
                </c:pt>
                <c:pt idx="4">
                  <c:v>122.77272985647294</c:v>
                </c:pt>
                <c:pt idx="5">
                  <c:v>161.20307770284541</c:v>
                </c:pt>
                <c:pt idx="6">
                  <c:v>142.43180332334515</c:v>
                </c:pt>
                <c:pt idx="7">
                  <c:v>139.44305975667137</c:v>
                </c:pt>
                <c:pt idx="8">
                  <c:v>155.63163238396623</c:v>
                </c:pt>
                <c:pt idx="9">
                  <c:v>170.94953534725997</c:v>
                </c:pt>
                <c:pt idx="10">
                  <c:v>150.56153456571283</c:v>
                </c:pt>
              </c:numCache>
            </c:numRef>
          </c:val>
          <c:smooth val="0"/>
          <c:extLst>
            <c:ext xmlns:c16="http://schemas.microsoft.com/office/drawing/2014/chart" uri="{C3380CC4-5D6E-409C-BE32-E72D297353CC}">
              <c16:uniqueId val="{00000000-2621-4AA4-B3CB-100ABB8CE786}"/>
            </c:ext>
          </c:extLst>
        </c:ser>
        <c:dLbls>
          <c:showLegendKey val="0"/>
          <c:showVal val="0"/>
          <c:showCatName val="0"/>
          <c:showSerName val="0"/>
          <c:showPercent val="0"/>
          <c:showBubbleSize val="0"/>
        </c:dLbls>
        <c:smooth val="0"/>
        <c:axId val="764783480"/>
        <c:axId val="764786104"/>
      </c:lineChart>
      <c:catAx>
        <c:axId val="764783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86104"/>
        <c:crosses val="autoZero"/>
        <c:auto val="1"/>
        <c:lblAlgn val="ctr"/>
        <c:lblOffset val="100"/>
        <c:noMultiLvlLbl val="0"/>
      </c:catAx>
      <c:valAx>
        <c:axId val="7647861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83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'P&amp;R'!$A$28</c:f>
              <c:strCache>
                <c:ptCount val="1"/>
                <c:pt idx="0">
                  <c:v>Expenditures per FTE</c:v>
                </c:pt>
              </c:strCache>
            </c:strRef>
          </c:tx>
          <c:spPr>
            <a:ln w="28575" cap="rnd">
              <a:solidFill>
                <a:sysClr val="windowText" lastClr="000000"/>
              </a:solidFill>
              <a:round/>
            </a:ln>
            <a:effectLst/>
          </c:spPr>
          <c:marker>
            <c:symbol val="none"/>
          </c:marker>
          <c:cat>
            <c:numRef>
              <c:f>'P&amp;R'!$B$24:$L$24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'P&amp;R'!$B$28:$L$28</c:f>
              <c:numCache>
                <c:formatCode>_("$"* #,##0_);_("$"* \(#,##0\);_("$"* "-"??_);_(@_)</c:formatCode>
                <c:ptCount val="11"/>
                <c:pt idx="0">
                  <c:v>111642.85714285714</c:v>
                </c:pt>
                <c:pt idx="1">
                  <c:v>122753.36475942783</c:v>
                </c:pt>
                <c:pt idx="2">
                  <c:v>126465.95226497807</c:v>
                </c:pt>
                <c:pt idx="3">
                  <c:v>134956.43596909419</c:v>
                </c:pt>
                <c:pt idx="4">
                  <c:v>142027.23984875885</c:v>
                </c:pt>
                <c:pt idx="5">
                  <c:v>187424.63578327058</c:v>
                </c:pt>
                <c:pt idx="6">
                  <c:v>169349.68421052632</c:v>
                </c:pt>
                <c:pt idx="7">
                  <c:v>167568.20678513733</c:v>
                </c:pt>
                <c:pt idx="8">
                  <c:v>189608.08032128515</c:v>
                </c:pt>
                <c:pt idx="9">
                  <c:v>208820.60079051382</c:v>
                </c:pt>
                <c:pt idx="10">
                  <c:v>188751.58730158731</c:v>
                </c:pt>
              </c:numCache>
            </c:numRef>
          </c:val>
          <c:smooth val="0"/>
          <c:extLst>
            <c:ext xmlns:c16="http://schemas.microsoft.com/office/drawing/2014/chart" uri="{C3380CC4-5D6E-409C-BE32-E72D297353CC}">
              <c16:uniqueId val="{00000000-76F3-47E4-BD49-1B3C9EA984E3}"/>
            </c:ext>
          </c:extLst>
        </c:ser>
        <c:dLbls>
          <c:showLegendKey val="0"/>
          <c:showVal val="0"/>
          <c:showCatName val="0"/>
          <c:showSerName val="0"/>
          <c:showPercent val="0"/>
          <c:showBubbleSize val="0"/>
        </c:dLbls>
        <c:smooth val="0"/>
        <c:axId val="921604168"/>
        <c:axId val="921606792"/>
      </c:lineChart>
      <c:catAx>
        <c:axId val="92160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1606792"/>
        <c:crosses val="autoZero"/>
        <c:auto val="1"/>
        <c:lblAlgn val="ctr"/>
        <c:lblOffset val="100"/>
        <c:noMultiLvlLbl val="0"/>
      </c:catAx>
      <c:valAx>
        <c:axId val="9216067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1604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Expenditures by Fund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'All Depts'!$A$59</c:f>
              <c:strCache>
                <c:ptCount val="1"/>
                <c:pt idx="0">
                  <c:v>General Fund</c:v>
                </c:pt>
              </c:strCache>
            </c:strRef>
          </c:tx>
          <c:spPr>
            <a:ln w="28575" cap="rnd">
              <a:solidFill>
                <a:srgbClr val="FF0000"/>
              </a:solidFill>
              <a:round/>
            </a:ln>
            <a:effectLst/>
          </c:spPr>
          <c:marker>
            <c:symbol val="none"/>
          </c:marker>
          <c:cat>
            <c:numRef>
              <c:f>'All Depts'!$B$58:$L$58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Depts'!$B$59:$L$59</c:f>
              <c:numCache>
                <c:formatCode>_("$"* #,##0_);_("$"* \(#,##0\);_("$"* "-"??_);_(@_)</c:formatCode>
                <c:ptCount val="11"/>
                <c:pt idx="0">
                  <c:v>49642584</c:v>
                </c:pt>
                <c:pt idx="1">
                  <c:v>49664459</c:v>
                </c:pt>
                <c:pt idx="2">
                  <c:v>54223658</c:v>
                </c:pt>
                <c:pt idx="3">
                  <c:v>46873286</c:v>
                </c:pt>
                <c:pt idx="4">
                  <c:v>51440407</c:v>
                </c:pt>
                <c:pt idx="5">
                  <c:v>61511424</c:v>
                </c:pt>
                <c:pt idx="6">
                  <c:v>60468531</c:v>
                </c:pt>
                <c:pt idx="7">
                  <c:v>62360855</c:v>
                </c:pt>
                <c:pt idx="8">
                  <c:v>103990136</c:v>
                </c:pt>
                <c:pt idx="9">
                  <c:v>128815229</c:v>
                </c:pt>
                <c:pt idx="10">
                  <c:v>102049572</c:v>
                </c:pt>
              </c:numCache>
            </c:numRef>
          </c:val>
          <c:smooth val="0"/>
          <c:extLst>
            <c:ext xmlns:c16="http://schemas.microsoft.com/office/drawing/2014/chart" uri="{C3380CC4-5D6E-409C-BE32-E72D297353CC}">
              <c16:uniqueId val="{00000000-CAEE-410C-97C9-1D56F3983839}"/>
            </c:ext>
          </c:extLst>
        </c:ser>
        <c:ser>
          <c:idx val="1"/>
          <c:order val="1"/>
          <c:tx>
            <c:strRef>
              <c:f>'All Depts'!$A$60</c:f>
              <c:strCache>
                <c:ptCount val="1"/>
                <c:pt idx="0">
                  <c:v>Internal Service Funds</c:v>
                </c:pt>
              </c:strCache>
            </c:strRef>
          </c:tx>
          <c:spPr>
            <a:ln w="28575" cap="rnd">
              <a:solidFill>
                <a:srgbClr val="92D050"/>
              </a:solidFill>
              <a:round/>
            </a:ln>
            <a:effectLst/>
          </c:spPr>
          <c:marker>
            <c:symbol val="none"/>
          </c:marker>
          <c:cat>
            <c:numRef>
              <c:f>'All Depts'!$B$58:$L$58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Depts'!$B$60:$L$60</c:f>
              <c:numCache>
                <c:formatCode>_("$"* #,##0_);_("$"* \(#,##0\);_("$"* "-"??_);_(@_)</c:formatCode>
                <c:ptCount val="11"/>
                <c:pt idx="0">
                  <c:v>16078251</c:v>
                </c:pt>
                <c:pt idx="1">
                  <c:v>15326837</c:v>
                </c:pt>
                <c:pt idx="2">
                  <c:v>15939646</c:v>
                </c:pt>
                <c:pt idx="3">
                  <c:v>14646690</c:v>
                </c:pt>
                <c:pt idx="4">
                  <c:v>17533239</c:v>
                </c:pt>
                <c:pt idx="5">
                  <c:v>21537660</c:v>
                </c:pt>
                <c:pt idx="6">
                  <c:v>22752692</c:v>
                </c:pt>
                <c:pt idx="7">
                  <c:v>20668703</c:v>
                </c:pt>
                <c:pt idx="8">
                  <c:v>23000265</c:v>
                </c:pt>
                <c:pt idx="9">
                  <c:v>27019005</c:v>
                </c:pt>
                <c:pt idx="10">
                  <c:v>27953300</c:v>
                </c:pt>
              </c:numCache>
            </c:numRef>
          </c:val>
          <c:smooth val="0"/>
          <c:extLst>
            <c:ext xmlns:c16="http://schemas.microsoft.com/office/drawing/2014/chart" uri="{C3380CC4-5D6E-409C-BE32-E72D297353CC}">
              <c16:uniqueId val="{00000001-CAEE-410C-97C9-1D56F3983839}"/>
            </c:ext>
          </c:extLst>
        </c:ser>
        <c:ser>
          <c:idx val="2"/>
          <c:order val="2"/>
          <c:tx>
            <c:strRef>
              <c:f>'All Depts'!$A$61</c:f>
              <c:strCache>
                <c:ptCount val="1"/>
                <c:pt idx="0">
                  <c:v>Enterprise Funds (Excluding Water &amp; Power</c:v>
                </c:pt>
              </c:strCache>
            </c:strRef>
          </c:tx>
          <c:spPr>
            <a:ln w="28575" cap="rnd">
              <a:solidFill>
                <a:srgbClr val="7030A0"/>
              </a:solidFill>
              <a:round/>
            </a:ln>
            <a:effectLst/>
          </c:spPr>
          <c:marker>
            <c:symbol val="none"/>
          </c:marker>
          <c:cat>
            <c:numRef>
              <c:f>'All Depts'!$B$58:$L$58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Depts'!$B$61:$L$61</c:f>
              <c:numCache>
                <c:formatCode>_("$"* #,##0_);_("$"* \(#,##0\);_("$"* "-"??_);_(@_)</c:formatCode>
                <c:ptCount val="11"/>
                <c:pt idx="0">
                  <c:v>76842855</c:v>
                </c:pt>
                <c:pt idx="1">
                  <c:v>78042609</c:v>
                </c:pt>
                <c:pt idx="2">
                  <c:v>92362538</c:v>
                </c:pt>
                <c:pt idx="3">
                  <c:v>87006375</c:v>
                </c:pt>
                <c:pt idx="4">
                  <c:v>102710060</c:v>
                </c:pt>
                <c:pt idx="5">
                  <c:v>125788198</c:v>
                </c:pt>
                <c:pt idx="6">
                  <c:v>143924079</c:v>
                </c:pt>
                <c:pt idx="7">
                  <c:v>138601594</c:v>
                </c:pt>
                <c:pt idx="8">
                  <c:v>149561039</c:v>
                </c:pt>
                <c:pt idx="9">
                  <c:v>202704817</c:v>
                </c:pt>
                <c:pt idx="10">
                  <c:v>199046694</c:v>
                </c:pt>
              </c:numCache>
            </c:numRef>
          </c:val>
          <c:smooth val="0"/>
          <c:extLst>
            <c:ext xmlns:c16="http://schemas.microsoft.com/office/drawing/2014/chart" uri="{C3380CC4-5D6E-409C-BE32-E72D297353CC}">
              <c16:uniqueId val="{00000002-CAEE-410C-97C9-1D56F3983839}"/>
            </c:ext>
          </c:extLst>
        </c:ser>
        <c:ser>
          <c:idx val="3"/>
          <c:order val="3"/>
          <c:tx>
            <c:strRef>
              <c:f>'All Depts'!$A$62</c:f>
              <c:strCache>
                <c:ptCount val="1"/>
                <c:pt idx="0">
                  <c:v>Special Revenue Funds - Includes CEF Funds</c:v>
                </c:pt>
              </c:strCache>
            </c:strRef>
          </c:tx>
          <c:spPr>
            <a:ln w="28575" cap="rnd">
              <a:solidFill>
                <a:srgbClr val="00B0F0"/>
              </a:solidFill>
              <a:round/>
            </a:ln>
            <a:effectLst/>
          </c:spPr>
          <c:marker>
            <c:symbol val="none"/>
          </c:marker>
          <c:cat>
            <c:numRef>
              <c:f>'All Depts'!$B$58:$L$58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Depts'!$B$62:$L$62</c:f>
              <c:numCache>
                <c:formatCode>_("$"* #,##0_);_("$"* \(#,##0\);_("$"* "-"??_);_(@_)</c:formatCode>
                <c:ptCount val="11"/>
                <c:pt idx="0">
                  <c:v>8614137</c:v>
                </c:pt>
                <c:pt idx="1">
                  <c:v>9113946</c:v>
                </c:pt>
                <c:pt idx="2">
                  <c:v>15282918</c:v>
                </c:pt>
                <c:pt idx="3">
                  <c:v>15325474</c:v>
                </c:pt>
                <c:pt idx="4">
                  <c:v>18583344</c:v>
                </c:pt>
                <c:pt idx="5">
                  <c:v>22863639</c:v>
                </c:pt>
                <c:pt idx="6">
                  <c:v>31342659</c:v>
                </c:pt>
                <c:pt idx="7">
                  <c:v>29011770</c:v>
                </c:pt>
                <c:pt idx="8">
                  <c:v>33036581</c:v>
                </c:pt>
                <c:pt idx="9">
                  <c:v>81879273</c:v>
                </c:pt>
                <c:pt idx="10">
                  <c:v>49993877</c:v>
                </c:pt>
              </c:numCache>
            </c:numRef>
          </c:val>
          <c:smooth val="0"/>
          <c:extLst>
            <c:ext xmlns:c16="http://schemas.microsoft.com/office/drawing/2014/chart" uri="{C3380CC4-5D6E-409C-BE32-E72D297353CC}">
              <c16:uniqueId val="{00000003-CAEE-410C-97C9-1D56F3983839}"/>
            </c:ext>
          </c:extLst>
        </c:ser>
        <c:ser>
          <c:idx val="4"/>
          <c:order val="4"/>
          <c:tx>
            <c:strRef>
              <c:f>'All Depts'!$A$63</c:f>
              <c:strCache>
                <c:ptCount val="1"/>
                <c:pt idx="0">
                  <c:v>Non Dept &amp; Other Entities Funds</c:v>
                </c:pt>
              </c:strCache>
            </c:strRef>
          </c:tx>
          <c:spPr>
            <a:ln w="28575" cap="rnd">
              <a:solidFill>
                <a:srgbClr val="FFC000"/>
              </a:solidFill>
              <a:round/>
            </a:ln>
            <a:effectLst/>
          </c:spPr>
          <c:marker>
            <c:symbol val="none"/>
          </c:marker>
          <c:cat>
            <c:numRef>
              <c:f>'All Depts'!$B$58:$L$58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Depts'!$B$63:$L$63</c:f>
              <c:numCache>
                <c:formatCode>_("$"* #,##0_);_("$"* \(#,##0\);_("$"* "-"??_);_(@_)</c:formatCode>
                <c:ptCount val="11"/>
                <c:pt idx="0">
                  <c:v>0</c:v>
                </c:pt>
                <c:pt idx="1">
                  <c:v>0</c:v>
                </c:pt>
                <c:pt idx="2">
                  <c:v>0</c:v>
                </c:pt>
                <c:pt idx="3">
                  <c:v>0</c:v>
                </c:pt>
                <c:pt idx="4">
                  <c:v>0</c:v>
                </c:pt>
                <c:pt idx="5">
                  <c:v>0</c:v>
                </c:pt>
                <c:pt idx="6">
                  <c:v>0</c:v>
                </c:pt>
                <c:pt idx="7">
                  <c:v>3538650</c:v>
                </c:pt>
                <c:pt idx="8">
                  <c:v>32748950</c:v>
                </c:pt>
                <c:pt idx="9">
                  <c:v>47808333</c:v>
                </c:pt>
                <c:pt idx="10">
                  <c:v>6180557</c:v>
                </c:pt>
              </c:numCache>
            </c:numRef>
          </c:val>
          <c:smooth val="0"/>
          <c:extLst>
            <c:ext xmlns:c16="http://schemas.microsoft.com/office/drawing/2014/chart" uri="{C3380CC4-5D6E-409C-BE32-E72D297353CC}">
              <c16:uniqueId val="{00000004-CAEE-410C-97C9-1D56F3983839}"/>
            </c:ext>
          </c:extLst>
        </c:ser>
        <c:ser>
          <c:idx val="5"/>
          <c:order val="5"/>
          <c:tx>
            <c:strRef>
              <c:f>'All Depts'!$A$64</c:f>
              <c:strCache>
                <c:ptCount val="1"/>
                <c:pt idx="0">
                  <c:v>Total City Budget Expenses</c:v>
                </c:pt>
              </c:strCache>
            </c:strRef>
          </c:tx>
          <c:spPr>
            <a:ln w="28575" cap="rnd">
              <a:solidFill>
                <a:sysClr val="windowText" lastClr="000000"/>
              </a:solidFill>
              <a:round/>
            </a:ln>
            <a:effectLst/>
          </c:spPr>
          <c:marker>
            <c:symbol val="none"/>
          </c:marker>
          <c:cat>
            <c:numRef>
              <c:f>'All Depts'!$B$58:$L$58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'All Depts'!$B$64:$L$64</c:f>
              <c:numCache>
                <c:formatCode>_("$"* #,##0_);_("$"* \(#,##0\);_("$"* "-"??_);_(@_)</c:formatCode>
                <c:ptCount val="11"/>
                <c:pt idx="0">
                  <c:v>151177827</c:v>
                </c:pt>
                <c:pt idx="1">
                  <c:v>152147851</c:v>
                </c:pt>
                <c:pt idx="2">
                  <c:v>177808760</c:v>
                </c:pt>
                <c:pt idx="3">
                  <c:v>163851825</c:v>
                </c:pt>
                <c:pt idx="4">
                  <c:v>190267050</c:v>
                </c:pt>
                <c:pt idx="5">
                  <c:v>231700921</c:v>
                </c:pt>
                <c:pt idx="6">
                  <c:v>258487961</c:v>
                </c:pt>
                <c:pt idx="7">
                  <c:v>254181572</c:v>
                </c:pt>
                <c:pt idx="8">
                  <c:v>342336971</c:v>
                </c:pt>
                <c:pt idx="9">
                  <c:v>488226657</c:v>
                </c:pt>
                <c:pt idx="10">
                  <c:v>385224000</c:v>
                </c:pt>
              </c:numCache>
            </c:numRef>
          </c:val>
          <c:smooth val="0"/>
          <c:extLst>
            <c:ext xmlns:c16="http://schemas.microsoft.com/office/drawing/2014/chart" uri="{C3380CC4-5D6E-409C-BE32-E72D297353CC}">
              <c16:uniqueId val="{00000005-CAEE-410C-97C9-1D56F3983839}"/>
            </c:ext>
          </c:extLst>
        </c:ser>
        <c:dLbls>
          <c:showLegendKey val="0"/>
          <c:showVal val="0"/>
          <c:showCatName val="0"/>
          <c:showSerName val="0"/>
          <c:showPercent val="0"/>
          <c:showBubbleSize val="0"/>
        </c:dLbls>
        <c:smooth val="0"/>
        <c:axId val="347499240"/>
        <c:axId val="347500224"/>
      </c:lineChart>
      <c:catAx>
        <c:axId val="347499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500224"/>
        <c:crosses val="autoZero"/>
        <c:auto val="1"/>
        <c:lblAlgn val="ctr"/>
        <c:lblOffset val="100"/>
        <c:noMultiLvlLbl val="0"/>
      </c:catAx>
      <c:valAx>
        <c:axId val="3475002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499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6"/>
          <c:order val="6"/>
          <c:tx>
            <c:strRef>
              <c:f>POL!$A$11</c:f>
              <c:strCache>
                <c:ptCount val="1"/>
                <c:pt idx="0">
                  <c:v>Total City Budget Revenues</c:v>
                </c:pt>
              </c:strCache>
            </c:strRef>
          </c:tx>
          <c:spPr>
            <a:ln w="28575" cap="rnd">
              <a:solidFill>
                <a:schemeClr val="tx1"/>
              </a:solidFill>
              <a:round/>
            </a:ln>
            <a:effectLst/>
          </c:spPr>
          <c:marker>
            <c:symbol val="none"/>
          </c:marker>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POL!$B$11:$L$11</c:f>
              <c:numCache>
                <c:formatCode>_("$"* #,##0_);_("$"* \(#,##0\);_("$"* "-"??_);_(@_)</c:formatCode>
                <c:ptCount val="11"/>
                <c:pt idx="0">
                  <c:v>15281636</c:v>
                </c:pt>
                <c:pt idx="1">
                  <c:v>15707233</c:v>
                </c:pt>
                <c:pt idx="2">
                  <c:v>16496905</c:v>
                </c:pt>
                <c:pt idx="3">
                  <c:v>16174985</c:v>
                </c:pt>
                <c:pt idx="4">
                  <c:v>17097730</c:v>
                </c:pt>
                <c:pt idx="5">
                  <c:v>18444764</c:v>
                </c:pt>
                <c:pt idx="6">
                  <c:v>19758838</c:v>
                </c:pt>
                <c:pt idx="7">
                  <c:v>20829121</c:v>
                </c:pt>
                <c:pt idx="8">
                  <c:v>1508714</c:v>
                </c:pt>
                <c:pt idx="9">
                  <c:v>1633942</c:v>
                </c:pt>
                <c:pt idx="10">
                  <c:v>1328520</c:v>
                </c:pt>
              </c:numCache>
            </c:numRef>
          </c:val>
          <c:smooth val="0"/>
          <c:extLst>
            <c:ext xmlns:c16="http://schemas.microsoft.com/office/drawing/2014/chart" uri="{C3380CC4-5D6E-409C-BE32-E72D297353CC}">
              <c16:uniqueId val="{00000000-C01F-4D9E-B1D8-923AB1F7DB3A}"/>
            </c:ext>
          </c:extLst>
        </c:ser>
        <c:dLbls>
          <c:showLegendKey val="0"/>
          <c:showVal val="0"/>
          <c:showCatName val="0"/>
          <c:showSerName val="0"/>
          <c:showPercent val="0"/>
          <c:showBubbleSize val="0"/>
        </c:dLbls>
        <c:smooth val="0"/>
        <c:axId val="596590008"/>
        <c:axId val="596594600"/>
        <c:extLst>
          <c:ext xmlns:c15="http://schemas.microsoft.com/office/drawing/2012/chart" uri="{02D57815-91ED-43cb-92C2-25804820EDAC}">
            <c15:filteredLineSeries>
              <c15:ser>
                <c:idx val="0"/>
                <c:order val="0"/>
                <c:tx>
                  <c:strRef>
                    <c:extLst>
                      <c:ext uri="{02D57815-91ED-43cb-92C2-25804820EDAC}">
                        <c15:formulaRef>
                          <c15:sqref>POL!$A$5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POL!$B$5:$L$5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POL!#REF!</c15:sqref>
                        </c15:formulaRef>
                      </c:ext>
                    </c:extLst>
                    <c:numCache>
                      <c:formatCode>General</c:formatCode>
                      <c:ptCount val="1"/>
                      <c:pt idx="0">
                        <c:v>1</c:v>
                      </c:pt>
                    </c:numCache>
                  </c:numRef>
                </c:val>
                <c:smooth val="0"/>
                <c:extLst>
                  <c:ext xmlns:c16="http://schemas.microsoft.com/office/drawing/2014/chart" uri="{C3380CC4-5D6E-409C-BE32-E72D297353CC}">
                    <c16:uniqueId val="{00000001-C01F-4D9E-B1D8-923AB1F7DB3A}"/>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POL!$A$6</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POL!$B$5:$L$5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POL!$B$6:$L$6</c15:sqref>
                        </c15:formulaRef>
                      </c:ext>
                    </c:extLst>
                    <c:numCache>
                      <c:formatCode>_("$"* #,##0_);_("$"* \(#,##0\);_("$"* "-"??_);_(@_)</c:formatCode>
                      <c:ptCount val="11"/>
                      <c:pt idx="0">
                        <c:v>15281636</c:v>
                      </c:pt>
                      <c:pt idx="1">
                        <c:v>15707233</c:v>
                      </c:pt>
                      <c:pt idx="2">
                        <c:v>16496905</c:v>
                      </c:pt>
                      <c:pt idx="3">
                        <c:v>16174985</c:v>
                      </c:pt>
                      <c:pt idx="4">
                        <c:v>17097730</c:v>
                      </c:pt>
                      <c:pt idx="5">
                        <c:v>18444764</c:v>
                      </c:pt>
                      <c:pt idx="6">
                        <c:v>19758838</c:v>
                      </c:pt>
                      <c:pt idx="7">
                        <c:v>20829121</c:v>
                      </c:pt>
                      <c:pt idx="8">
                        <c:v>1065288</c:v>
                      </c:pt>
                      <c:pt idx="9">
                        <c:v>946063</c:v>
                      </c:pt>
                      <c:pt idx="10">
                        <c:v>777468</c:v>
                      </c:pt>
                    </c:numCache>
                  </c:numRef>
                </c:val>
                <c:smooth val="0"/>
                <c:extLst xmlns:c15="http://schemas.microsoft.com/office/drawing/2012/chart">
                  <c:ext xmlns:c16="http://schemas.microsoft.com/office/drawing/2014/chart" uri="{C3380CC4-5D6E-409C-BE32-E72D297353CC}">
                    <c16:uniqueId val="{00000002-C01F-4D9E-B1D8-923AB1F7DB3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POL!$A$7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POL!$B$5:$L$5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C01F-4D9E-B1D8-923AB1F7DB3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POL!$A$8</c15:sqref>
                        </c15:formulaRef>
                      </c:ext>
                    </c:extLst>
                    <c:strCache>
                      <c:ptCount val="1"/>
                      <c:pt idx="0">
                        <c:v>Enterprise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POL!$B$5:$L$5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POL!$B$8:$L$8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C01F-4D9E-B1D8-923AB1F7DB3A}"/>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POL!$A$9</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POL!$B$5:$L$5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POL!$B$9:$L$9</c15:sqref>
                        </c15:formulaRef>
                      </c:ext>
                    </c:extLst>
                    <c:numCache>
                      <c:formatCode>_("$"* #,##0_);_("$"* \(#,##0\);_("$"* "-"??_);_(@_)</c:formatCode>
                      <c:ptCount val="11"/>
                      <c:pt idx="0">
                        <c:v>0</c:v>
                      </c:pt>
                      <c:pt idx="1">
                        <c:v>0</c:v>
                      </c:pt>
                      <c:pt idx="2">
                        <c:v>0</c:v>
                      </c:pt>
                      <c:pt idx="3">
                        <c:v>0</c:v>
                      </c:pt>
                      <c:pt idx="4">
                        <c:v>0</c:v>
                      </c:pt>
                      <c:pt idx="5">
                        <c:v>0</c:v>
                      </c:pt>
                      <c:pt idx="6">
                        <c:v>0</c:v>
                      </c:pt>
                      <c:pt idx="7">
                        <c:v>0</c:v>
                      </c:pt>
                      <c:pt idx="8">
                        <c:v>443426</c:v>
                      </c:pt>
                      <c:pt idx="9">
                        <c:v>687879</c:v>
                      </c:pt>
                      <c:pt idx="10">
                        <c:v>551052</c:v>
                      </c:pt>
                    </c:numCache>
                  </c:numRef>
                </c:val>
                <c:smooth val="0"/>
                <c:extLst xmlns:c15="http://schemas.microsoft.com/office/drawing/2012/chart">
                  <c:ext xmlns:c16="http://schemas.microsoft.com/office/drawing/2014/chart" uri="{C3380CC4-5D6E-409C-BE32-E72D297353CC}">
                    <c16:uniqueId val="{00000005-C01F-4D9E-B1D8-923AB1F7DB3A}"/>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POL!$A$10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POL!$B$5:$L$5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6-C01F-4D9E-B1D8-923AB1F7DB3A}"/>
                  </c:ext>
                </c:extLst>
              </c15:ser>
            </c15:filteredLineSeries>
          </c:ext>
        </c:extLst>
      </c:lineChart>
      <c:catAx>
        <c:axId val="596590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594600"/>
        <c:crosses val="autoZero"/>
        <c:auto val="1"/>
        <c:lblAlgn val="ctr"/>
        <c:lblOffset val="100"/>
        <c:noMultiLvlLbl val="0"/>
      </c:catAx>
      <c:valAx>
        <c:axId val="5965946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59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a:t>
            </a:r>
            <a:r>
              <a:rPr lang="en-US" baseline="0"/>
              <a:t>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POL!$A$20</c:f>
              <c:strCache>
                <c:ptCount val="1"/>
                <c:pt idx="0">
                  <c:v>Total City Budget Expenses</c:v>
                </c:pt>
              </c:strCache>
            </c:strRef>
          </c:tx>
          <c:spPr>
            <a:ln w="28575" cap="rnd">
              <a:solidFill>
                <a:sysClr val="windowText" lastClr="000000"/>
              </a:solidFill>
              <a:round/>
            </a:ln>
            <a:effectLst/>
          </c:spPr>
          <c:marker>
            <c:symbol val="none"/>
          </c:marker>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POL!$B$20:$L$20</c:f>
              <c:numCache>
                <c:formatCode>_("$"* #,##0_);_("$"* \(#,##0\);_("$"* "-"??_);_(@_)</c:formatCode>
                <c:ptCount val="11"/>
                <c:pt idx="0">
                  <c:v>15281636</c:v>
                </c:pt>
                <c:pt idx="1">
                  <c:v>15707233</c:v>
                </c:pt>
                <c:pt idx="2">
                  <c:v>16496905</c:v>
                </c:pt>
                <c:pt idx="3">
                  <c:v>16174985</c:v>
                </c:pt>
                <c:pt idx="4">
                  <c:v>17097730</c:v>
                </c:pt>
                <c:pt idx="5">
                  <c:v>18444764</c:v>
                </c:pt>
                <c:pt idx="6">
                  <c:v>19758838</c:v>
                </c:pt>
                <c:pt idx="7">
                  <c:v>20829121</c:v>
                </c:pt>
                <c:pt idx="8">
                  <c:v>24480952</c:v>
                </c:pt>
                <c:pt idx="9">
                  <c:v>26765644</c:v>
                </c:pt>
                <c:pt idx="10">
                  <c:v>24457482</c:v>
                </c:pt>
              </c:numCache>
            </c:numRef>
          </c:val>
          <c:smooth val="0"/>
          <c:extLst>
            <c:ext xmlns:c16="http://schemas.microsoft.com/office/drawing/2014/chart" uri="{C3380CC4-5D6E-409C-BE32-E72D297353CC}">
              <c16:uniqueId val="{00000005-E102-4A3C-BD73-1B3A53050849}"/>
            </c:ext>
          </c:extLst>
        </c:ser>
        <c:dLbls>
          <c:showLegendKey val="0"/>
          <c:showVal val="0"/>
          <c:showCatName val="0"/>
          <c:showSerName val="0"/>
          <c:showPercent val="0"/>
          <c:showBubbleSize val="0"/>
        </c:dLbls>
        <c:smooth val="0"/>
        <c:axId val="729869464"/>
        <c:axId val="729876024"/>
        <c:extLst>
          <c:ext xmlns:c15="http://schemas.microsoft.com/office/drawing/2012/chart" uri="{02D57815-91ED-43cb-92C2-25804820EDAC}">
            <c15:filteredLineSeries>
              <c15:ser>
                <c:idx val="0"/>
                <c:order val="0"/>
                <c:tx>
                  <c:strRef>
                    <c:extLst>
                      <c:ext uri="{02D57815-91ED-43cb-92C2-25804820EDAC}">
                        <c15:formulaRef>
                          <c15:sqref>POL!$A$15</c15:sqref>
                        </c15:formulaRef>
                      </c:ext>
                    </c:extLst>
                    <c:strCache>
                      <c:ptCount val="1"/>
                      <c:pt idx="0">
                        <c:v>General Fund</c:v>
                      </c:pt>
                    </c:strCache>
                  </c:strRef>
                </c:tx>
                <c:spPr>
                  <a:ln w="28575" cap="rnd">
                    <a:solidFill>
                      <a:schemeClr val="accent1"/>
                    </a:solidFill>
                    <a:round/>
                  </a:ln>
                  <a:effectLst/>
                </c:spPr>
                <c:marker>
                  <c:symbol val="none"/>
                </c:marker>
                <c:cat>
                  <c:numRef>
                    <c:extLst>
                      <c:ext uri="{02D57815-91ED-43cb-92C2-25804820EDAC}">
                        <c15:formulaRef>
                          <c15:sqref>POL!$B$5:$L$5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POL!$B$15:$L$15</c15:sqref>
                        </c15:formulaRef>
                      </c:ext>
                    </c:extLst>
                    <c:numCache>
                      <c:formatCode>_("$"* #,##0_);_("$"* \(#,##0\);_("$"* "-"??_);_(@_)</c:formatCode>
                      <c:ptCount val="11"/>
                      <c:pt idx="0">
                        <c:v>15281636</c:v>
                      </c:pt>
                      <c:pt idx="1">
                        <c:v>15707233</c:v>
                      </c:pt>
                      <c:pt idx="2">
                        <c:v>16496905</c:v>
                      </c:pt>
                      <c:pt idx="3">
                        <c:v>16174985</c:v>
                      </c:pt>
                      <c:pt idx="4">
                        <c:v>17097730</c:v>
                      </c:pt>
                      <c:pt idx="5">
                        <c:v>18444764</c:v>
                      </c:pt>
                      <c:pt idx="6">
                        <c:v>19758838</c:v>
                      </c:pt>
                      <c:pt idx="7">
                        <c:v>20829121</c:v>
                      </c:pt>
                      <c:pt idx="8">
                        <c:v>24480952</c:v>
                      </c:pt>
                      <c:pt idx="9">
                        <c:v>26765644</c:v>
                      </c:pt>
                      <c:pt idx="10">
                        <c:v>24457482</c:v>
                      </c:pt>
                    </c:numCache>
                  </c:numRef>
                </c:val>
                <c:smooth val="0"/>
                <c:extLst>
                  <c:ext xmlns:c16="http://schemas.microsoft.com/office/drawing/2014/chart" uri="{C3380CC4-5D6E-409C-BE32-E72D297353CC}">
                    <c16:uniqueId val="{00000000-E102-4A3C-BD73-1B3A5305084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POL!$A$16</c15:sqref>
                        </c15:formulaRef>
                      </c:ext>
                    </c:extLst>
                    <c:strCache>
                      <c:ptCount val="1"/>
                      <c:pt idx="0">
                        <c:v>Internal Service Funds</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POL!$B$5:$L$5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POL!$B$16:$L$16</c15:sqref>
                        </c15:formulaRef>
                      </c:ext>
                    </c:extLst>
                    <c:numCache>
                      <c:formatCode>_("$"* #,##0_);_("$"* \(#,##0\);_("$"* "-"??_);_(@_)</c:formatCode>
                      <c:ptCount val="11"/>
                      <c:pt idx="0">
                        <c:v>0</c:v>
                      </c:pt>
                      <c:pt idx="1">
                        <c:v>0</c:v>
                      </c:pt>
                      <c:pt idx="2">
                        <c:v>0</c:v>
                      </c:pt>
                      <c:pt idx="3">
                        <c:v>0</c:v>
                      </c:pt>
                      <c:pt idx="4">
                        <c:v>0</c:v>
                      </c:pt>
                      <c:pt idx="5">
                        <c:v>0</c:v>
                      </c:pt>
                      <c:pt idx="6">
                        <c:v>0</c:v>
                      </c:pt>
                      <c:pt idx="7">
                        <c:v>0</c:v>
                      </c:pt>
                      <c:pt idx="9">
                        <c:v>0</c:v>
                      </c:pt>
                      <c:pt idx="10">
                        <c:v>0</c:v>
                      </c:pt>
                    </c:numCache>
                  </c:numRef>
                </c:val>
                <c:smooth val="0"/>
                <c:extLst xmlns:c15="http://schemas.microsoft.com/office/drawing/2012/chart">
                  <c:ext xmlns:c16="http://schemas.microsoft.com/office/drawing/2014/chart" uri="{C3380CC4-5D6E-409C-BE32-E72D297353CC}">
                    <c16:uniqueId val="{00000001-E102-4A3C-BD73-1B3A5305084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POL!$A$17</c15:sqref>
                        </c15:formulaRef>
                      </c:ext>
                    </c:extLst>
                    <c:strCache>
                      <c:ptCount val="1"/>
                      <c:pt idx="0">
                        <c:v>Enterprise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POL!$B$5:$L$5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POL!$B$17:$L$17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E102-4A3C-BD73-1B3A5305084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POL!$A$18</c15:sqref>
                        </c15:formulaRef>
                      </c:ext>
                    </c:extLst>
                    <c:strCache>
                      <c:ptCount val="1"/>
                      <c:pt idx="0">
                        <c:v>Special Revenue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POL!$B$5:$L$5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POL!$B$18:$L$18</c15:sqref>
                        </c15:formulaRef>
                      </c:ext>
                    </c:extLst>
                    <c:numCache>
                      <c:formatCode>_("$"* #,##0_);_("$"* \(#,##0\);_("$"* "-"??_);_(@_)</c:formatCode>
                      <c:ptCount val="11"/>
                      <c:pt idx="0">
                        <c:v>0</c:v>
                      </c:pt>
                      <c:pt idx="1">
                        <c:v>0</c:v>
                      </c:pt>
                      <c:pt idx="2">
                        <c:v>0</c:v>
                      </c:pt>
                      <c:pt idx="3">
                        <c:v>0</c:v>
                      </c:pt>
                      <c:pt idx="4">
                        <c:v>0</c:v>
                      </c:pt>
                      <c:pt idx="5">
                        <c:v>0</c:v>
                      </c:pt>
                      <c:pt idx="6">
                        <c:v>0</c:v>
                      </c:pt>
                      <c:pt idx="7">
                        <c:v>0</c:v>
                      </c:pt>
                      <c:pt idx="10">
                        <c:v>0</c:v>
                      </c:pt>
                    </c:numCache>
                  </c:numRef>
                </c:val>
                <c:smooth val="0"/>
                <c:extLst xmlns:c15="http://schemas.microsoft.com/office/drawing/2012/chart">
                  <c:ext xmlns:c16="http://schemas.microsoft.com/office/drawing/2014/chart" uri="{C3380CC4-5D6E-409C-BE32-E72D297353CC}">
                    <c16:uniqueId val="{00000003-E102-4A3C-BD73-1B3A5305084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POL!$A$19</c15:sqref>
                        </c15:formulaRef>
                      </c:ext>
                    </c:extLst>
                    <c:strCache>
                      <c:ptCount val="1"/>
                      <c:pt idx="0">
                        <c:v>Non Dept &amp; Other Entities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POL!$B$5:$L$5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POL!$B$19:$L$19</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4-E102-4A3C-BD73-1B3A53050849}"/>
                  </c:ext>
                </c:extLst>
              </c15:ser>
            </c15:filteredLineSeries>
          </c:ext>
        </c:extLst>
      </c:lineChart>
      <c:catAx>
        <c:axId val="72986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876024"/>
        <c:crosses val="autoZero"/>
        <c:auto val="1"/>
        <c:lblAlgn val="ctr"/>
        <c:lblOffset val="100"/>
        <c:noMultiLvlLbl val="0"/>
      </c:catAx>
      <c:valAx>
        <c:axId val="7298760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869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POL!$A$26</c:f>
              <c:strCache>
                <c:ptCount val="1"/>
                <c:pt idx="0">
                  <c:v>Expenditures per Capita</c:v>
                </c:pt>
              </c:strCache>
            </c:strRef>
          </c:tx>
          <c:spPr>
            <a:ln w="28575" cap="rnd">
              <a:solidFill>
                <a:sysClr val="windowText" lastClr="000000"/>
              </a:solidFill>
              <a:round/>
            </a:ln>
            <a:effectLst/>
          </c:spPr>
          <c:marker>
            <c:symbol val="none"/>
          </c:marker>
          <c:cat>
            <c:numRef>
              <c:f>POL!$B$25:$L$25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POL!$B$26:$L$26</c:f>
              <c:numCache>
                <c:formatCode>_("$"* #,##0.00_);_("$"* \(#,##0.00\);_("$"* "-"??_);_(@_)</c:formatCode>
                <c:ptCount val="11"/>
                <c:pt idx="0">
                  <c:v>241.94351033849466</c:v>
                </c:pt>
                <c:pt idx="1">
                  <c:v>231.8684567919459</c:v>
                </c:pt>
                <c:pt idx="2">
                  <c:v>239.91659516295576</c:v>
                </c:pt>
                <c:pt idx="3">
                  <c:v>233.26725890887064</c:v>
                </c:pt>
                <c:pt idx="4">
                  <c:v>242.96902088958362</c:v>
                </c:pt>
                <c:pt idx="5">
                  <c:v>259.68665437087304</c:v>
                </c:pt>
                <c:pt idx="6">
                  <c:v>269.12064832470719</c:v>
                </c:pt>
                <c:pt idx="7">
                  <c:v>280.01775895677895</c:v>
                </c:pt>
                <c:pt idx="8">
                  <c:v>14.046518987341772</c:v>
                </c:pt>
                <c:pt idx="9">
                  <c:v>12.244868111102482</c:v>
                </c:pt>
                <c:pt idx="10">
                  <c:v>9.8438592048619906</c:v>
                </c:pt>
              </c:numCache>
            </c:numRef>
          </c:val>
          <c:smooth val="0"/>
          <c:extLst>
            <c:ext xmlns:c16="http://schemas.microsoft.com/office/drawing/2014/chart" uri="{C3380CC4-5D6E-409C-BE32-E72D297353CC}">
              <c16:uniqueId val="{00000000-0BA7-4BB9-9AF3-766F337BD04D}"/>
            </c:ext>
          </c:extLst>
        </c:ser>
        <c:dLbls>
          <c:showLegendKey val="0"/>
          <c:showVal val="0"/>
          <c:showCatName val="0"/>
          <c:showSerName val="0"/>
          <c:showPercent val="0"/>
          <c:showBubbleSize val="0"/>
        </c:dLbls>
        <c:smooth val="0"/>
        <c:axId val="918948520"/>
        <c:axId val="918949176"/>
      </c:lineChart>
      <c:catAx>
        <c:axId val="918948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8949176"/>
        <c:crosses val="autoZero"/>
        <c:auto val="1"/>
        <c:lblAlgn val="ctr"/>
        <c:lblOffset val="100"/>
        <c:noMultiLvlLbl val="0"/>
      </c:catAx>
      <c:valAx>
        <c:axId val="918949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8948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POL!$A$29</c:f>
              <c:strCache>
                <c:ptCount val="1"/>
                <c:pt idx="0">
                  <c:v>Expenditures per FTE</c:v>
                </c:pt>
              </c:strCache>
            </c:strRef>
          </c:tx>
          <c:spPr>
            <a:ln w="28575" cap="rnd">
              <a:solidFill>
                <a:sysClr val="windowText" lastClr="000000"/>
              </a:solidFill>
              <a:round/>
            </a:ln>
            <a:effectLst/>
          </c:spPr>
          <c:marker>
            <c:symbol val="none"/>
          </c:marker>
          <c:cat>
            <c:numRef>
              <c:f>POL!$B$14:$L$14</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POL!$B$29:$L$29</c:f>
              <c:numCache>
                <c:formatCode>_("$"* #,##0_);_("$"* \(#,##0\);_("$"* "-"??_);_(@_)</c:formatCode>
                <c:ptCount val="11"/>
                <c:pt idx="0">
                  <c:v>112364.9705882353</c:v>
                </c:pt>
                <c:pt idx="1">
                  <c:v>117218.15671641791</c:v>
                </c:pt>
                <c:pt idx="2">
                  <c:v>123111.23134328358</c:v>
                </c:pt>
                <c:pt idx="3">
                  <c:v>120934.46728971963</c:v>
                </c:pt>
                <c:pt idx="4">
                  <c:v>127120.66914498141</c:v>
                </c:pt>
                <c:pt idx="5">
                  <c:v>131748.3142857143</c:v>
                </c:pt>
                <c:pt idx="6">
                  <c:v>135334.50684931508</c:v>
                </c:pt>
                <c:pt idx="7">
                  <c:v>135254.03246753247</c:v>
                </c:pt>
                <c:pt idx="8">
                  <c:v>154453.95583596214</c:v>
                </c:pt>
                <c:pt idx="9">
                  <c:v>162709.0820668693</c:v>
                </c:pt>
                <c:pt idx="10">
                  <c:v>148677.70212765958</c:v>
                </c:pt>
              </c:numCache>
            </c:numRef>
          </c:val>
          <c:smooth val="0"/>
          <c:extLst>
            <c:ext xmlns:c16="http://schemas.microsoft.com/office/drawing/2014/chart" uri="{C3380CC4-5D6E-409C-BE32-E72D297353CC}">
              <c16:uniqueId val="{00000000-A1B2-49E1-A0DA-FDF462AADB34}"/>
            </c:ext>
          </c:extLst>
        </c:ser>
        <c:dLbls>
          <c:showLegendKey val="0"/>
          <c:showVal val="0"/>
          <c:showCatName val="0"/>
          <c:showSerName val="0"/>
          <c:showPercent val="0"/>
          <c:showBubbleSize val="0"/>
        </c:dLbls>
        <c:smooth val="0"/>
        <c:axId val="623086424"/>
        <c:axId val="623086752"/>
      </c:lineChart>
      <c:catAx>
        <c:axId val="623086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086752"/>
        <c:crosses val="autoZero"/>
        <c:auto val="1"/>
        <c:lblAlgn val="ctr"/>
        <c:lblOffset val="100"/>
        <c:noMultiLvlLbl val="0"/>
      </c:catAx>
      <c:valAx>
        <c:axId val="6230867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086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Public Works</a:t>
            </a:r>
            <a:r>
              <a:rPr lang="en-US" baseline="0"/>
              <a:t> Revenue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PW!$A$6</c:f>
              <c:strCache>
                <c:ptCount val="1"/>
                <c:pt idx="0">
                  <c:v>General Fund</c:v>
                </c:pt>
              </c:strCache>
              <c:extLst xmlns:c15="http://schemas.microsoft.com/office/drawing/2012/chart"/>
            </c:strRef>
          </c:tx>
          <c:spPr>
            <a:ln w="28575" cap="rnd">
              <a:solidFill>
                <a:srgbClr val="FF0000"/>
              </a:solidFill>
              <a:round/>
            </a:ln>
            <a:effectLst/>
          </c:spPr>
          <c:marker>
            <c:symbol val="none"/>
          </c:marker>
          <c:cat>
            <c:numRef>
              <c:f>PW!$B$5:$L$5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PW!$B$6:$L$6</c:f>
              <c:numCache>
                <c:formatCode>_("$"* #,##0_);_("$"* \(#,##0\);_("$"* "-"??_);_(@_)</c:formatCode>
                <c:ptCount val="11"/>
                <c:pt idx="0">
                  <c:v>3549788</c:v>
                </c:pt>
                <c:pt idx="1">
                  <c:v>10613584</c:v>
                </c:pt>
                <c:pt idx="2">
                  <c:v>4455067</c:v>
                </c:pt>
                <c:pt idx="3">
                  <c:v>4619343</c:v>
                </c:pt>
                <c:pt idx="4">
                  <c:v>5178065</c:v>
                </c:pt>
                <c:pt idx="5">
                  <c:v>5924459</c:v>
                </c:pt>
                <c:pt idx="6">
                  <c:v>5314453</c:v>
                </c:pt>
                <c:pt idx="7">
                  <c:v>5437058</c:v>
                </c:pt>
                <c:pt idx="8">
                  <c:v>5798149</c:v>
                </c:pt>
                <c:pt idx="9">
                  <c:v>8970397</c:v>
                </c:pt>
                <c:pt idx="10">
                  <c:v>2621733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20CB-4D34-B122-9F5D2F4DB4EB}"/>
            </c:ext>
          </c:extLst>
        </c:ser>
        <c:ser>
          <c:idx val="2"/>
          <c:order val="2"/>
          <c:tx>
            <c:strRef>
              <c:f>PW!$A$7</c:f>
              <c:strCache>
                <c:ptCount val="1"/>
                <c:pt idx="0">
                  <c:v>Internal Service Funds</c:v>
                </c:pt>
              </c:strCache>
              <c:extLst xmlns:c15="http://schemas.microsoft.com/office/drawing/2012/chart"/>
            </c:strRef>
          </c:tx>
          <c:spPr>
            <a:ln w="28575" cap="rnd">
              <a:solidFill>
                <a:srgbClr val="92D050"/>
              </a:solidFill>
              <a:round/>
            </a:ln>
            <a:effectLst/>
          </c:spPr>
          <c:marker>
            <c:symbol val="none"/>
          </c:marker>
          <c:cat>
            <c:numRef>
              <c:f>PW!$B$5:$L$5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PW!$B$7:$L$7</c:f>
              <c:numCache>
                <c:formatCode>_("$"* #,##0_);_("$"* \(#,##0\);_("$"* "-"??_);_(@_)</c:formatCode>
                <c:ptCount val="11"/>
                <c:pt idx="0">
                  <c:v>4692267</c:v>
                </c:pt>
                <c:pt idx="1">
                  <c:v>4802684</c:v>
                </c:pt>
                <c:pt idx="2">
                  <c:v>4858193</c:v>
                </c:pt>
                <c:pt idx="3">
                  <c:v>4709810</c:v>
                </c:pt>
                <c:pt idx="4">
                  <c:v>4722785</c:v>
                </c:pt>
                <c:pt idx="5">
                  <c:v>5327304</c:v>
                </c:pt>
                <c:pt idx="6">
                  <c:v>5335828</c:v>
                </c:pt>
                <c:pt idx="7">
                  <c:v>6097036</c:v>
                </c:pt>
                <c:pt idx="8">
                  <c:v>6855623</c:v>
                </c:pt>
                <c:pt idx="9">
                  <c:v>8380610</c:v>
                </c:pt>
                <c:pt idx="10">
                  <c:v>8949723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20CB-4D34-B122-9F5D2F4DB4EB}"/>
            </c:ext>
          </c:extLst>
        </c:ser>
        <c:ser>
          <c:idx val="3"/>
          <c:order val="3"/>
          <c:tx>
            <c:strRef>
              <c:f>PW!$A$8</c:f>
              <c:strCache>
                <c:ptCount val="1"/>
                <c:pt idx="0">
                  <c:v>Enterprise Funds</c:v>
                </c:pt>
              </c:strCache>
              <c:extLst xmlns:c15="http://schemas.microsoft.com/office/drawing/2012/chart"/>
            </c:strRef>
          </c:tx>
          <c:spPr>
            <a:ln w="28575" cap="rnd">
              <a:solidFill>
                <a:schemeClr val="accent4"/>
              </a:solidFill>
              <a:round/>
            </a:ln>
            <a:effectLst/>
          </c:spPr>
          <c:marker>
            <c:symbol val="none"/>
          </c:marker>
          <c:cat>
            <c:numRef>
              <c:f>PW!$B$5:$L$5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PW!$B$8:$L$8</c:f>
              <c:numCache>
                <c:formatCode>_("$"* #,##0_);_("$"* \(#,##0\);_("$"* "-"??_);_(@_)</c:formatCode>
                <c:ptCount val="11"/>
                <c:pt idx="0">
                  <c:v>10060312</c:v>
                </c:pt>
                <c:pt idx="1">
                  <c:v>10904128</c:v>
                </c:pt>
                <c:pt idx="2">
                  <c:v>10625240</c:v>
                </c:pt>
                <c:pt idx="3">
                  <c:v>10514459</c:v>
                </c:pt>
                <c:pt idx="4">
                  <c:v>10405904</c:v>
                </c:pt>
                <c:pt idx="5">
                  <c:v>12854624</c:v>
                </c:pt>
                <c:pt idx="6">
                  <c:v>13649921</c:v>
                </c:pt>
                <c:pt idx="7">
                  <c:v>15896990</c:v>
                </c:pt>
                <c:pt idx="8">
                  <c:v>15549801</c:v>
                </c:pt>
                <c:pt idx="9">
                  <c:v>15057723</c:v>
                </c:pt>
                <c:pt idx="10">
                  <c:v>16084682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20CB-4D34-B122-9F5D2F4DB4EB}"/>
            </c:ext>
          </c:extLst>
        </c:ser>
        <c:ser>
          <c:idx val="4"/>
          <c:order val="4"/>
          <c:tx>
            <c:strRef>
              <c:f>PW!$A$9</c:f>
              <c:strCache>
                <c:ptCount val="1"/>
                <c:pt idx="0">
                  <c:v>Special Revenue Funds</c:v>
                </c:pt>
              </c:strCache>
              <c:extLst xmlns:c15="http://schemas.microsoft.com/office/drawing/2012/chart"/>
            </c:strRef>
          </c:tx>
          <c:spPr>
            <a:ln w="28575" cap="rnd">
              <a:solidFill>
                <a:schemeClr val="accent5"/>
              </a:solidFill>
              <a:round/>
            </a:ln>
            <a:effectLst/>
          </c:spPr>
          <c:marker>
            <c:symbol val="none"/>
          </c:marker>
          <c:cat>
            <c:numRef>
              <c:f>PW!$B$5:$L$5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PW!$B$9:$L$9</c:f>
              <c:numCache>
                <c:formatCode>_("$"* #,##0_);_("$"* \(#,##0\);_("$"* "-"??_);_(@_)</c:formatCode>
                <c:ptCount val="11"/>
                <c:pt idx="2">
                  <c:v>13640212</c:v>
                </c:pt>
                <c:pt idx="3">
                  <c:v>12896888</c:v>
                </c:pt>
                <c:pt idx="4">
                  <c:v>13531490</c:v>
                </c:pt>
                <c:pt idx="5">
                  <c:v>15009773</c:v>
                </c:pt>
                <c:pt idx="6">
                  <c:v>15771485</c:v>
                </c:pt>
                <c:pt idx="7">
                  <c:v>18791293</c:v>
                </c:pt>
                <c:pt idx="8">
                  <c:v>24693304</c:v>
                </c:pt>
                <c:pt idx="9">
                  <c:v>48353214</c:v>
                </c:pt>
                <c:pt idx="10">
                  <c:v>32595769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20CB-4D34-B122-9F5D2F4DB4EB}"/>
            </c:ext>
          </c:extLst>
        </c:ser>
        <c:ser>
          <c:idx val="6"/>
          <c:order val="6"/>
          <c:tx>
            <c:strRef>
              <c:f>PW!$A$11</c:f>
              <c:strCache>
                <c:ptCount val="1"/>
                <c:pt idx="0">
                  <c:v>Total City Budget Revenues</c:v>
                </c:pt>
              </c:strCache>
            </c:strRef>
          </c:tx>
          <c:spPr>
            <a:ln w="28575" cap="rnd">
              <a:solidFill>
                <a:sysClr val="windowText" lastClr="000000"/>
              </a:solidFill>
              <a:round/>
            </a:ln>
            <a:effectLst/>
          </c:spPr>
          <c:marker>
            <c:symbol val="none"/>
          </c:marker>
          <c:cat>
            <c:numRef>
              <c:f>PW!$B$5:$L$5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PW!$B$11:$L$11</c:f>
              <c:numCache>
                <c:formatCode>_("$"* #,##0_);_("$"* \(#,##0\);_("$"* "-"??_);_(@_)</c:formatCode>
                <c:ptCount val="11"/>
                <c:pt idx="0">
                  <c:v>18302367</c:v>
                </c:pt>
                <c:pt idx="1">
                  <c:v>26320396</c:v>
                </c:pt>
                <c:pt idx="2">
                  <c:v>33578712</c:v>
                </c:pt>
                <c:pt idx="3">
                  <c:v>32740500</c:v>
                </c:pt>
                <c:pt idx="4">
                  <c:v>33838244</c:v>
                </c:pt>
                <c:pt idx="5">
                  <c:v>39116160</c:v>
                </c:pt>
                <c:pt idx="6">
                  <c:v>40071687</c:v>
                </c:pt>
                <c:pt idx="7">
                  <c:v>46222377</c:v>
                </c:pt>
                <c:pt idx="8">
                  <c:v>52896877</c:v>
                </c:pt>
                <c:pt idx="9">
                  <c:v>80761944</c:v>
                </c:pt>
                <c:pt idx="10">
                  <c:v>60251907</c:v>
                </c:pt>
              </c:numCache>
            </c:numRef>
          </c:val>
          <c:smooth val="0"/>
          <c:extLst>
            <c:ext xmlns:c16="http://schemas.microsoft.com/office/drawing/2014/chart" uri="{C3380CC4-5D6E-409C-BE32-E72D297353CC}">
              <c16:uniqueId val="{00000004-20CB-4D34-B122-9F5D2F4DB4EB}"/>
            </c:ext>
          </c:extLst>
        </c:ser>
        <c:dLbls>
          <c:showLegendKey val="0"/>
          <c:showVal val="0"/>
          <c:showCatName val="0"/>
          <c:showSerName val="0"/>
          <c:showPercent val="0"/>
          <c:showBubbleSize val="0"/>
        </c:dLbls>
        <c:smooth val="0"/>
        <c:axId val="595993320"/>
        <c:axId val="595992008"/>
        <c:extLst>
          <c:ext xmlns:c15="http://schemas.microsoft.com/office/drawing/2012/chart" uri="{02D57815-91ED-43cb-92C2-25804820EDAC}">
            <c15:filteredLineSeries>
              <c15:ser>
                <c:idx val="0"/>
                <c:order val="0"/>
                <c:tx>
                  <c:strRef>
                    <c:extLst>
                      <c:ext uri="{02D57815-91ED-43cb-92C2-25804820EDAC}">
                        <c15:formulaRef>
                          <c15:sqref>PW!$A$5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PW!$B$5:$L$5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PW!#REF!</c15:sqref>
                        </c15:formulaRef>
                      </c:ext>
                    </c:extLst>
                    <c:numCache>
                      <c:formatCode>General</c:formatCode>
                      <c:ptCount val="1"/>
                      <c:pt idx="0">
                        <c:v>1</c:v>
                      </c:pt>
                    </c:numCache>
                  </c:numRef>
                </c:val>
                <c:smooth val="0"/>
                <c:extLst>
                  <c:ext xmlns:c16="http://schemas.microsoft.com/office/drawing/2014/chart" uri="{C3380CC4-5D6E-409C-BE32-E72D297353CC}">
                    <c16:uniqueId val="{00000005-20CB-4D34-B122-9F5D2F4DB4EB}"/>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PW!$A$10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PW!$B$5:$L$5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PW!$B$10:$L$10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6-20CB-4D34-B122-9F5D2F4DB4EB}"/>
                  </c:ext>
                </c:extLst>
              </c15:ser>
            </c15:filteredLineSeries>
          </c:ext>
        </c:extLst>
      </c:lineChart>
      <c:catAx>
        <c:axId val="595993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992008"/>
        <c:crosses val="autoZero"/>
        <c:auto val="1"/>
        <c:lblAlgn val="ctr"/>
        <c:lblOffset val="100"/>
        <c:noMultiLvlLbl val="0"/>
      </c:catAx>
      <c:valAx>
        <c:axId val="595992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993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Public Works Expenses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191601049868766E-2"/>
          <c:y val="0.12504350382790363"/>
          <c:w val="0.90554079331632842"/>
          <c:h val="0.69495332490550465"/>
        </c:manualLayout>
      </c:layout>
      <c:lineChart>
        <c:grouping val="standard"/>
        <c:varyColors val="0"/>
        <c:ser>
          <c:idx val="0"/>
          <c:order val="0"/>
          <c:tx>
            <c:strRef>
              <c:f>PW!$A$15</c:f>
              <c:strCache>
                <c:ptCount val="1"/>
                <c:pt idx="0">
                  <c:v>General Fund</c:v>
                </c:pt>
              </c:strCache>
            </c:strRef>
          </c:tx>
          <c:spPr>
            <a:ln w="28575" cap="rnd">
              <a:solidFill>
                <a:srgbClr val="FF0000"/>
              </a:solidFill>
              <a:round/>
            </a:ln>
            <a:effectLst/>
          </c:spPr>
          <c:marker>
            <c:symbol val="none"/>
          </c:marker>
          <c:cat>
            <c:numRef>
              <c:f>PW!$B$5:$L$5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PW!$B$15:$L$15</c:f>
              <c:numCache>
                <c:formatCode>_("$"* #,##0_);_("$"* \(#,##0\);_("$"* "-"??_);_(@_)</c:formatCode>
                <c:ptCount val="11"/>
                <c:pt idx="0">
                  <c:v>3993873</c:v>
                </c:pt>
                <c:pt idx="1">
                  <c:v>3869830</c:v>
                </c:pt>
                <c:pt idx="2">
                  <c:v>4455067</c:v>
                </c:pt>
                <c:pt idx="3">
                  <c:v>4619343</c:v>
                </c:pt>
                <c:pt idx="4">
                  <c:v>5178065</c:v>
                </c:pt>
                <c:pt idx="5">
                  <c:v>5507029</c:v>
                </c:pt>
                <c:pt idx="6">
                  <c:v>5314453</c:v>
                </c:pt>
                <c:pt idx="7">
                  <c:v>5437058</c:v>
                </c:pt>
                <c:pt idx="8">
                  <c:v>5801294</c:v>
                </c:pt>
                <c:pt idx="9">
                  <c:v>7061778</c:v>
                </c:pt>
                <c:pt idx="10">
                  <c:v>5641211</c:v>
                </c:pt>
              </c:numCache>
            </c:numRef>
          </c:val>
          <c:smooth val="0"/>
          <c:extLst>
            <c:ext xmlns:c16="http://schemas.microsoft.com/office/drawing/2014/chart" uri="{C3380CC4-5D6E-409C-BE32-E72D297353CC}">
              <c16:uniqueId val="{00000000-25BE-4659-A7CC-36B21E6FD97F}"/>
            </c:ext>
          </c:extLst>
        </c:ser>
        <c:ser>
          <c:idx val="1"/>
          <c:order val="1"/>
          <c:tx>
            <c:strRef>
              <c:f>PW!$A$16</c:f>
              <c:strCache>
                <c:ptCount val="1"/>
                <c:pt idx="0">
                  <c:v>Internal Service Funds</c:v>
                </c:pt>
              </c:strCache>
            </c:strRef>
          </c:tx>
          <c:spPr>
            <a:ln w="28575" cap="rnd">
              <a:solidFill>
                <a:srgbClr val="92D050"/>
              </a:solidFill>
              <a:round/>
            </a:ln>
            <a:effectLst/>
          </c:spPr>
          <c:marker>
            <c:symbol val="none"/>
          </c:marker>
          <c:cat>
            <c:numRef>
              <c:f>PW!$B$5:$L$5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PW!$B$16:$L$16</c:f>
              <c:numCache>
                <c:formatCode>_("$"* #,##0_);_("$"* \(#,##0\);_("$"* "-"??_);_(@_)</c:formatCode>
                <c:ptCount val="11"/>
                <c:pt idx="0">
                  <c:v>4962185</c:v>
                </c:pt>
                <c:pt idx="1">
                  <c:v>4258356</c:v>
                </c:pt>
                <c:pt idx="2">
                  <c:v>4160986</c:v>
                </c:pt>
                <c:pt idx="3">
                  <c:v>4106437</c:v>
                </c:pt>
                <c:pt idx="4">
                  <c:v>4854971</c:v>
                </c:pt>
                <c:pt idx="5">
                  <c:v>7456697</c:v>
                </c:pt>
                <c:pt idx="6">
                  <c:v>5029718</c:v>
                </c:pt>
                <c:pt idx="7">
                  <c:v>4774417</c:v>
                </c:pt>
                <c:pt idx="8">
                  <c:v>8648324</c:v>
                </c:pt>
                <c:pt idx="9">
                  <c:v>8003967</c:v>
                </c:pt>
                <c:pt idx="10">
                  <c:v>7653673</c:v>
                </c:pt>
              </c:numCache>
            </c:numRef>
          </c:val>
          <c:smooth val="0"/>
          <c:extLst>
            <c:ext xmlns:c16="http://schemas.microsoft.com/office/drawing/2014/chart" uri="{C3380CC4-5D6E-409C-BE32-E72D297353CC}">
              <c16:uniqueId val="{00000001-25BE-4659-A7CC-36B21E6FD97F}"/>
            </c:ext>
          </c:extLst>
        </c:ser>
        <c:ser>
          <c:idx val="2"/>
          <c:order val="2"/>
          <c:tx>
            <c:strRef>
              <c:f>PW!$A$17</c:f>
              <c:strCache>
                <c:ptCount val="1"/>
                <c:pt idx="0">
                  <c:v>Enterprise Funds</c:v>
                </c:pt>
              </c:strCache>
            </c:strRef>
          </c:tx>
          <c:spPr>
            <a:ln w="28575" cap="rnd">
              <a:solidFill>
                <a:srgbClr val="7030A0"/>
              </a:solidFill>
              <a:round/>
            </a:ln>
            <a:effectLst/>
          </c:spPr>
          <c:marker>
            <c:symbol val="none"/>
          </c:marker>
          <c:cat>
            <c:numRef>
              <c:f>PW!$B$5:$L$5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PW!$B$17:$L$17</c:f>
              <c:numCache>
                <c:formatCode>_("$"* #,##0_);_("$"* \(#,##0\);_("$"* "-"??_);_(@_)</c:formatCode>
                <c:ptCount val="11"/>
                <c:pt idx="0">
                  <c:v>9372269</c:v>
                </c:pt>
                <c:pt idx="1">
                  <c:v>9590649</c:v>
                </c:pt>
                <c:pt idx="2">
                  <c:v>10022460</c:v>
                </c:pt>
                <c:pt idx="3">
                  <c:v>8823433</c:v>
                </c:pt>
                <c:pt idx="4">
                  <c:v>11594610</c:v>
                </c:pt>
                <c:pt idx="5">
                  <c:v>15637201</c:v>
                </c:pt>
                <c:pt idx="6">
                  <c:v>10852994</c:v>
                </c:pt>
                <c:pt idx="7">
                  <c:v>13826489</c:v>
                </c:pt>
                <c:pt idx="8">
                  <c:v>14289214</c:v>
                </c:pt>
                <c:pt idx="9">
                  <c:v>21678756</c:v>
                </c:pt>
                <c:pt idx="10">
                  <c:v>19000299</c:v>
                </c:pt>
              </c:numCache>
            </c:numRef>
          </c:val>
          <c:smooth val="0"/>
          <c:extLst>
            <c:ext xmlns:c16="http://schemas.microsoft.com/office/drawing/2014/chart" uri="{C3380CC4-5D6E-409C-BE32-E72D297353CC}">
              <c16:uniqueId val="{00000002-25BE-4659-A7CC-36B21E6FD97F}"/>
            </c:ext>
          </c:extLst>
        </c:ser>
        <c:ser>
          <c:idx val="3"/>
          <c:order val="3"/>
          <c:tx>
            <c:strRef>
              <c:f>PW!$A$18</c:f>
              <c:strCache>
                <c:ptCount val="1"/>
                <c:pt idx="0">
                  <c:v>Special Revenue Funds</c:v>
                </c:pt>
              </c:strCache>
            </c:strRef>
          </c:tx>
          <c:spPr>
            <a:ln w="28575" cap="rnd">
              <a:solidFill>
                <a:srgbClr val="00B0F0"/>
              </a:solidFill>
              <a:round/>
            </a:ln>
            <a:effectLst/>
          </c:spPr>
          <c:marker>
            <c:symbol val="none"/>
          </c:marker>
          <c:cat>
            <c:numRef>
              <c:f>PW!$B$5:$L$5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PW!$B$18:$L$18</c:f>
              <c:numCache>
                <c:formatCode>_("$"* #,##0_);_("$"* \(#,##0\);_("$"* "-"??_);_(@_)</c:formatCode>
                <c:ptCount val="11"/>
                <c:pt idx="0">
                  <c:v>6068629</c:v>
                </c:pt>
                <c:pt idx="1">
                  <c:v>6743754</c:v>
                </c:pt>
                <c:pt idx="2">
                  <c:v>13640212</c:v>
                </c:pt>
                <c:pt idx="3">
                  <c:v>12896888</c:v>
                </c:pt>
                <c:pt idx="4">
                  <c:v>13531490</c:v>
                </c:pt>
                <c:pt idx="5">
                  <c:v>15009773</c:v>
                </c:pt>
                <c:pt idx="6">
                  <c:v>17068138</c:v>
                </c:pt>
                <c:pt idx="7">
                  <c:v>18791293</c:v>
                </c:pt>
                <c:pt idx="8">
                  <c:v>23765600</c:v>
                </c:pt>
                <c:pt idx="9">
                  <c:v>48023235</c:v>
                </c:pt>
                <c:pt idx="10">
                  <c:v>31650993</c:v>
                </c:pt>
              </c:numCache>
            </c:numRef>
          </c:val>
          <c:smooth val="0"/>
          <c:extLst>
            <c:ext xmlns:c16="http://schemas.microsoft.com/office/drawing/2014/chart" uri="{C3380CC4-5D6E-409C-BE32-E72D297353CC}">
              <c16:uniqueId val="{00000003-25BE-4659-A7CC-36B21E6FD97F}"/>
            </c:ext>
          </c:extLst>
        </c:ser>
        <c:ser>
          <c:idx val="5"/>
          <c:order val="5"/>
          <c:tx>
            <c:strRef>
              <c:f>PW!$A$20</c:f>
              <c:strCache>
                <c:ptCount val="1"/>
                <c:pt idx="0">
                  <c:v>Total City Budget Expenses</c:v>
                </c:pt>
              </c:strCache>
            </c:strRef>
          </c:tx>
          <c:spPr>
            <a:ln w="28575" cap="rnd">
              <a:solidFill>
                <a:sysClr val="windowText" lastClr="000000"/>
              </a:solidFill>
              <a:round/>
            </a:ln>
            <a:effectLst/>
          </c:spPr>
          <c:marker>
            <c:symbol val="none"/>
          </c:marker>
          <c:cat>
            <c:numRef>
              <c:f>PW!$B$5:$L$5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PW!$B$20:$L$20</c:f>
              <c:numCache>
                <c:formatCode>_("$"* #,##0_);_("$"* \(#,##0\);_("$"* "-"??_);_(@_)</c:formatCode>
                <c:ptCount val="11"/>
                <c:pt idx="0">
                  <c:v>24396956</c:v>
                </c:pt>
                <c:pt idx="1">
                  <c:v>24462589</c:v>
                </c:pt>
                <c:pt idx="2">
                  <c:v>32278725</c:v>
                </c:pt>
                <c:pt idx="3">
                  <c:v>30446101</c:v>
                </c:pt>
                <c:pt idx="4">
                  <c:v>35159136</c:v>
                </c:pt>
                <c:pt idx="5">
                  <c:v>43610700</c:v>
                </c:pt>
                <c:pt idx="6">
                  <c:v>38265303</c:v>
                </c:pt>
                <c:pt idx="7">
                  <c:v>42829257</c:v>
                </c:pt>
                <c:pt idx="8">
                  <c:v>52504432</c:v>
                </c:pt>
                <c:pt idx="9">
                  <c:v>84767736</c:v>
                </c:pt>
                <c:pt idx="10">
                  <c:v>63946176</c:v>
                </c:pt>
              </c:numCache>
            </c:numRef>
          </c:val>
          <c:smooth val="0"/>
          <c:extLst>
            <c:ext xmlns:c16="http://schemas.microsoft.com/office/drawing/2014/chart" uri="{C3380CC4-5D6E-409C-BE32-E72D297353CC}">
              <c16:uniqueId val="{00000005-25BE-4659-A7CC-36B21E6FD97F}"/>
            </c:ext>
          </c:extLst>
        </c:ser>
        <c:dLbls>
          <c:showLegendKey val="0"/>
          <c:showVal val="0"/>
          <c:showCatName val="0"/>
          <c:showSerName val="0"/>
          <c:showPercent val="0"/>
          <c:showBubbleSize val="0"/>
        </c:dLbls>
        <c:smooth val="0"/>
        <c:axId val="733594392"/>
        <c:axId val="733598000"/>
        <c:extLst>
          <c:ext xmlns:c15="http://schemas.microsoft.com/office/drawing/2012/chart" uri="{02D57815-91ED-43cb-92C2-25804820EDAC}">
            <c15:filteredLineSeries>
              <c15:ser>
                <c:idx val="4"/>
                <c:order val="4"/>
                <c:tx>
                  <c:strRef>
                    <c:extLst>
                      <c:ext uri="{02D57815-91ED-43cb-92C2-25804820EDAC}">
                        <c15:formulaRef>
                          <c15:sqref>PW!$A$19</c15:sqref>
                        </c15:formulaRef>
                      </c:ext>
                    </c:extLst>
                    <c:strCache>
                      <c:ptCount val="1"/>
                      <c:pt idx="0">
                        <c:v>Non Dept &amp; Other Entities Funds</c:v>
                      </c:pt>
                    </c:strCache>
                  </c:strRef>
                </c:tx>
                <c:spPr>
                  <a:ln w="28575" cap="rnd">
                    <a:solidFill>
                      <a:schemeClr val="accent5"/>
                    </a:solidFill>
                    <a:round/>
                  </a:ln>
                  <a:effectLst/>
                </c:spPr>
                <c:marker>
                  <c:symbol val="none"/>
                </c:marker>
                <c:cat>
                  <c:numRef>
                    <c:extLst>
                      <c:ext uri="{02D57815-91ED-43cb-92C2-25804820EDAC}">
                        <c15:formulaRef>
                          <c15:sqref>PW!$B$5:$L$5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PW!$B$19:$L$19</c15:sqref>
                        </c15:formulaRef>
                      </c:ext>
                    </c:extLst>
                    <c:numCache>
                      <c:formatCode>_("$"* #,##0_);_("$"* \(#,##0\);_("$"* "-"??_);_(@_)</c:formatCode>
                      <c:ptCount val="11"/>
                    </c:numCache>
                  </c:numRef>
                </c:val>
                <c:smooth val="0"/>
                <c:extLst>
                  <c:ext xmlns:c16="http://schemas.microsoft.com/office/drawing/2014/chart" uri="{C3380CC4-5D6E-409C-BE32-E72D297353CC}">
                    <c16:uniqueId val="{00000004-25BE-4659-A7CC-36B21E6FD97F}"/>
                  </c:ext>
                </c:extLst>
              </c15:ser>
            </c15:filteredLineSeries>
          </c:ext>
        </c:extLst>
      </c:lineChart>
      <c:catAx>
        <c:axId val="733594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598000"/>
        <c:crosses val="autoZero"/>
        <c:auto val="1"/>
        <c:lblAlgn val="ctr"/>
        <c:lblOffset val="100"/>
        <c:noMultiLvlLbl val="0"/>
      </c:catAx>
      <c:valAx>
        <c:axId val="7335980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594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PW!$A$26</c:f>
              <c:strCache>
                <c:ptCount val="1"/>
                <c:pt idx="0">
                  <c:v>Expenditures per Capita</c:v>
                </c:pt>
              </c:strCache>
            </c:strRef>
          </c:tx>
          <c:spPr>
            <a:ln w="28575" cap="rnd">
              <a:solidFill>
                <a:sysClr val="windowText" lastClr="000000"/>
              </a:solidFill>
              <a:round/>
            </a:ln>
            <a:effectLst/>
          </c:spPr>
          <c:marker>
            <c:symbol val="none"/>
          </c:marker>
          <c:cat>
            <c:numRef>
              <c:f>PW!$B$25:$L$25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PW!$B$26:$L$26</c:f>
              <c:numCache>
                <c:formatCode>_("$"* #,##0.00_);_("$"* \(#,##0.00\);_("$"* "-"??_);_(@_)</c:formatCode>
                <c:ptCount val="11"/>
                <c:pt idx="0">
                  <c:v>63.232212406193597</c:v>
                </c:pt>
                <c:pt idx="1">
                  <c:v>57.126007499040476</c:v>
                </c:pt>
                <c:pt idx="2">
                  <c:v>64.790608048166845</c:v>
                </c:pt>
                <c:pt idx="3">
                  <c:v>66.617773034712513</c:v>
                </c:pt>
                <c:pt idx="4">
                  <c:v>73.583416228506465</c:v>
                </c:pt>
                <c:pt idx="5">
                  <c:v>77.534303856280005</c:v>
                </c:pt>
                <c:pt idx="6">
                  <c:v>72.384268591664394</c:v>
                </c:pt>
                <c:pt idx="7">
                  <c:v>73.093473146467701</c:v>
                </c:pt>
                <c:pt idx="8">
                  <c:v>76.493855485232061</c:v>
                </c:pt>
                <c:pt idx="9">
                  <c:v>91.400403820765703</c:v>
                </c:pt>
                <c:pt idx="10">
                  <c:v>71.425816662446195</c:v>
                </c:pt>
              </c:numCache>
            </c:numRef>
          </c:val>
          <c:smooth val="0"/>
          <c:extLst>
            <c:ext xmlns:c16="http://schemas.microsoft.com/office/drawing/2014/chart" uri="{C3380CC4-5D6E-409C-BE32-E72D297353CC}">
              <c16:uniqueId val="{00000000-DA6A-4E54-95CF-4F52D438CA56}"/>
            </c:ext>
          </c:extLst>
        </c:ser>
        <c:dLbls>
          <c:showLegendKey val="0"/>
          <c:showVal val="0"/>
          <c:showCatName val="0"/>
          <c:showSerName val="0"/>
          <c:showPercent val="0"/>
          <c:showBubbleSize val="0"/>
        </c:dLbls>
        <c:smooth val="0"/>
        <c:axId val="925064112"/>
        <c:axId val="925067720"/>
      </c:lineChart>
      <c:catAx>
        <c:axId val="92506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5067720"/>
        <c:crosses val="autoZero"/>
        <c:auto val="1"/>
        <c:lblAlgn val="ctr"/>
        <c:lblOffset val="100"/>
        <c:noMultiLvlLbl val="0"/>
      </c:catAx>
      <c:valAx>
        <c:axId val="92506772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5064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PW!$A$29</c:f>
              <c:strCache>
                <c:ptCount val="1"/>
                <c:pt idx="0">
                  <c:v>Expenditures per FTE</c:v>
                </c:pt>
              </c:strCache>
            </c:strRef>
          </c:tx>
          <c:spPr>
            <a:ln w="28575" cap="rnd">
              <a:solidFill>
                <a:sysClr val="windowText" lastClr="000000"/>
              </a:solidFill>
              <a:round/>
            </a:ln>
            <a:effectLst/>
          </c:spPr>
          <c:marker>
            <c:symbol val="none"/>
          </c:marker>
          <c:cat>
            <c:numRef>
              <c:f>PW!$B$25:$L$25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PW!$B$29:$L$29</c:f>
              <c:numCache>
                <c:formatCode>_("$"* #,##0_);_("$"* \(#,##0\);_("$"* "-"??_);_(@_)</c:formatCode>
                <c:ptCount val="11"/>
                <c:pt idx="0">
                  <c:v>150997.08884688091</c:v>
                </c:pt>
                <c:pt idx="1">
                  <c:v>146307.37240075614</c:v>
                </c:pt>
                <c:pt idx="2">
                  <c:v>168433.53497164461</c:v>
                </c:pt>
                <c:pt idx="3">
                  <c:v>174644.34782608697</c:v>
                </c:pt>
                <c:pt idx="4">
                  <c:v>178862.34887737478</c:v>
                </c:pt>
                <c:pt idx="5">
                  <c:v>190225.52677029363</c:v>
                </c:pt>
                <c:pt idx="6">
                  <c:v>181690.70085470084</c:v>
                </c:pt>
                <c:pt idx="7">
                  <c:v>185882.32478632478</c:v>
                </c:pt>
                <c:pt idx="8">
                  <c:v>203019.91251093615</c:v>
                </c:pt>
                <c:pt idx="9">
                  <c:v>247131.33858267718</c:v>
                </c:pt>
                <c:pt idx="10">
                  <c:v>197417.70778652668</c:v>
                </c:pt>
              </c:numCache>
            </c:numRef>
          </c:val>
          <c:smooth val="0"/>
          <c:extLst>
            <c:ext xmlns:c16="http://schemas.microsoft.com/office/drawing/2014/chart" uri="{C3380CC4-5D6E-409C-BE32-E72D297353CC}">
              <c16:uniqueId val="{00000000-D7C1-4ED9-9957-51320DE30FD3}"/>
            </c:ext>
          </c:extLst>
        </c:ser>
        <c:dLbls>
          <c:showLegendKey val="0"/>
          <c:showVal val="0"/>
          <c:showCatName val="0"/>
          <c:showSerName val="0"/>
          <c:showPercent val="0"/>
          <c:showBubbleSize val="0"/>
        </c:dLbls>
        <c:smooth val="0"/>
        <c:axId val="714446904"/>
        <c:axId val="714450840"/>
      </c:lineChart>
      <c:catAx>
        <c:axId val="714446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4450840"/>
        <c:crosses val="autoZero"/>
        <c:auto val="1"/>
        <c:lblAlgn val="ctr"/>
        <c:lblOffset val="100"/>
        <c:noMultiLvlLbl val="0"/>
      </c:catAx>
      <c:valAx>
        <c:axId val="7144508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4446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Water &amp; Power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95972850948807"/>
          <c:y val="0.12878468701206067"/>
          <c:w val="0.84449119709660825"/>
          <c:h val="0.71123832260544551"/>
        </c:manualLayout>
      </c:layout>
      <c:lineChart>
        <c:grouping val="standard"/>
        <c:varyColors val="0"/>
        <c:ser>
          <c:idx val="3"/>
          <c:order val="3"/>
          <c:tx>
            <c:strRef>
              <c:f>'W&amp;P'!$A$8</c:f>
              <c:strCache>
                <c:ptCount val="1"/>
                <c:pt idx="0">
                  <c:v>Enterprise Funds</c:v>
                </c:pt>
              </c:strCache>
              <c:extLst xmlns:c15="http://schemas.microsoft.com/office/drawing/2012/chart"/>
            </c:strRef>
          </c:tx>
          <c:spPr>
            <a:ln w="28575" cap="rnd">
              <a:solidFill>
                <a:srgbClr val="7030A0"/>
              </a:solidFill>
              <a:round/>
            </a:ln>
            <a:effectLst/>
          </c:spPr>
          <c:marker>
            <c:symbol val="none"/>
          </c:marker>
          <c:cat>
            <c:numRef>
              <c:f>'W&amp;P'!$B$5:$L$5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'W&amp;P'!$B$8:$L$8</c:f>
              <c:numCache>
                <c:formatCode>_("$"* #,##0_);_("$"* \(#,##0\);_("$"* "-"??_);_(@_)</c:formatCode>
                <c:ptCount val="11"/>
                <c:pt idx="0">
                  <c:v>81219242</c:v>
                </c:pt>
                <c:pt idx="1">
                  <c:v>64257087</c:v>
                </c:pt>
                <c:pt idx="2">
                  <c:v>76457322</c:v>
                </c:pt>
                <c:pt idx="3">
                  <c:v>75684871</c:v>
                </c:pt>
                <c:pt idx="4">
                  <c:v>86938731</c:v>
                </c:pt>
                <c:pt idx="5">
                  <c:v>95609532</c:v>
                </c:pt>
                <c:pt idx="6">
                  <c:v>113505237</c:v>
                </c:pt>
                <c:pt idx="7">
                  <c:v>112522577</c:v>
                </c:pt>
                <c:pt idx="8">
                  <c:v>125033890</c:v>
                </c:pt>
                <c:pt idx="9">
                  <c:v>140421277</c:v>
                </c:pt>
                <c:pt idx="10">
                  <c:v>156624788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FFE8-4D1A-B96F-9EC4DEA726C5}"/>
            </c:ext>
          </c:extLst>
        </c:ser>
        <c:dLbls>
          <c:showLegendKey val="0"/>
          <c:showVal val="0"/>
          <c:showCatName val="0"/>
          <c:showSerName val="0"/>
          <c:showPercent val="0"/>
          <c:showBubbleSize val="0"/>
        </c:dLbls>
        <c:smooth val="0"/>
        <c:axId val="596621168"/>
        <c:axId val="596621496"/>
        <c:extLst>
          <c:ext xmlns:c15="http://schemas.microsoft.com/office/drawing/2012/chart" uri="{02D57815-91ED-43cb-92C2-25804820EDAC}">
            <c15:filteredLineSeries>
              <c15:ser>
                <c:idx val="0"/>
                <c:order val="0"/>
                <c:tx>
                  <c:strRef>
                    <c:extLst>
                      <c:ext uri="{02D57815-91ED-43cb-92C2-25804820EDAC}">
                        <c15:formulaRef>
                          <c15:sqref>'W&amp;P'!$A$5</c15:sqref>
                        </c15:formulaRef>
                      </c:ext>
                    </c:extLst>
                    <c:strCache>
                      <c:ptCount val="1"/>
                      <c:pt idx="0">
                        <c:v>Revenues</c:v>
                      </c:pt>
                    </c:strCache>
                  </c:strRef>
                </c:tx>
                <c:spPr>
                  <a:ln w="28575" cap="rnd">
                    <a:solidFill>
                      <a:schemeClr val="accent1"/>
                    </a:solidFill>
                    <a:round/>
                  </a:ln>
                  <a:effectLst/>
                </c:spPr>
                <c:marker>
                  <c:symbol val="none"/>
                </c:marker>
                <c:cat>
                  <c:numRef>
                    <c:extLst>
                      <c:ext uri="{02D57815-91ED-43cb-92C2-25804820EDAC}">
                        <c15:formulaRef>
                          <c15:sqref>'W&amp;P'!$B$5:$L$5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'W&amp;P'!#REF!</c15:sqref>
                        </c15:formulaRef>
                      </c:ext>
                    </c:extLst>
                    <c:numCache>
                      <c:formatCode>General</c:formatCode>
                      <c:ptCount val="1"/>
                      <c:pt idx="0">
                        <c:v>1</c:v>
                      </c:pt>
                    </c:numCache>
                  </c:numRef>
                </c:val>
                <c:smooth val="0"/>
                <c:extLst>
                  <c:ext xmlns:c16="http://schemas.microsoft.com/office/drawing/2014/chart" uri="{C3380CC4-5D6E-409C-BE32-E72D297353CC}">
                    <c16:uniqueId val="{00000000-FFE8-4D1A-B96F-9EC4DEA726C5}"/>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'W&amp;P'!$A$6</c15:sqref>
                        </c15:formulaRef>
                      </c:ext>
                    </c:extLst>
                    <c:strCache>
                      <c:ptCount val="1"/>
                      <c:pt idx="0">
                        <c:v>General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'W&amp;P'!$B$5:$L$5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'W&amp;P'!$B$6:$L$6</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1-FFE8-4D1A-B96F-9EC4DEA726C5}"/>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'W&amp;P'!$A$7</c15:sqref>
                        </c15:formulaRef>
                      </c:ext>
                    </c:extLst>
                    <c:strCache>
                      <c:ptCount val="1"/>
                      <c:pt idx="0">
                        <c:v>Internal Service Funds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'W&amp;P'!$B$5:$L$5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'W&amp;P'!$B$7:$L$7</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2-FFE8-4D1A-B96F-9EC4DEA726C5}"/>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'W&amp;P'!$A$9</c15:sqref>
                        </c15:formulaRef>
                      </c:ext>
                    </c:extLst>
                    <c:strCache>
                      <c:ptCount val="1"/>
                      <c:pt idx="0">
                        <c:v>Special Revenue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'W&amp;P'!$B$5:$L$5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'W&amp;P'!$B$9:$L$9</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4-FFE8-4D1A-B96F-9EC4DEA726C5}"/>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'W&amp;P'!$A$10</c15:sqref>
                        </c15:formulaRef>
                      </c:ext>
                    </c:extLst>
                    <c:strCache>
                      <c:ptCount val="1"/>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'W&amp;P'!$B$5:$L$5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'W&amp;P'!$B$10:$L$10</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5-FFE8-4D1A-B96F-9EC4DEA726C5}"/>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'W&amp;P'!$A$11</c15:sqref>
                        </c15:formulaRef>
                      </c:ext>
                    </c:extLst>
                    <c:strCache>
                      <c:ptCount val="1"/>
                      <c:pt idx="0">
                        <c:v>Total City Budget Revenues</c:v>
                      </c:pt>
                    </c:strCache>
                  </c:strRef>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'W&amp;P'!$B$5:$L$5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'W&amp;P'!$B$11:$L$11</c15:sqref>
                        </c15:formulaRef>
                      </c:ext>
                    </c:extLst>
                    <c:numCache>
                      <c:formatCode>_("$"* #,##0_);_("$"* \(#,##0\);_("$"* "-"??_);_(@_)</c:formatCode>
                      <c:ptCount val="11"/>
                      <c:pt idx="0">
                        <c:v>81219242</c:v>
                      </c:pt>
                      <c:pt idx="1">
                        <c:v>64257087</c:v>
                      </c:pt>
                      <c:pt idx="2">
                        <c:v>76457322</c:v>
                      </c:pt>
                      <c:pt idx="3">
                        <c:v>75684871</c:v>
                      </c:pt>
                      <c:pt idx="4">
                        <c:v>86938731</c:v>
                      </c:pt>
                      <c:pt idx="5">
                        <c:v>95609532</c:v>
                      </c:pt>
                      <c:pt idx="6">
                        <c:v>113505237</c:v>
                      </c:pt>
                      <c:pt idx="7">
                        <c:v>112522577</c:v>
                      </c:pt>
                      <c:pt idx="8">
                        <c:v>125033890</c:v>
                      </c:pt>
                      <c:pt idx="9">
                        <c:v>140421277</c:v>
                      </c:pt>
                      <c:pt idx="10">
                        <c:v>156624788</c:v>
                      </c:pt>
                    </c:numCache>
                  </c:numRef>
                </c:val>
                <c:smooth val="0"/>
                <c:extLst xmlns:c15="http://schemas.microsoft.com/office/drawing/2012/chart">
                  <c:ext xmlns:c16="http://schemas.microsoft.com/office/drawing/2014/chart" uri="{C3380CC4-5D6E-409C-BE32-E72D297353CC}">
                    <c16:uniqueId val="{00000006-FFE8-4D1A-B96F-9EC4DEA726C5}"/>
                  </c:ext>
                </c:extLst>
              </c15:ser>
            </c15:filteredLineSeries>
          </c:ext>
        </c:extLst>
      </c:lineChart>
      <c:catAx>
        <c:axId val="596621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21496"/>
        <c:crosses val="autoZero"/>
        <c:auto val="1"/>
        <c:lblAlgn val="ctr"/>
        <c:lblOffset val="100"/>
        <c:noMultiLvlLbl val="0"/>
      </c:catAx>
      <c:valAx>
        <c:axId val="5966214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621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'W&amp;P'!$A$17</c:f>
              <c:strCache>
                <c:ptCount val="1"/>
                <c:pt idx="0">
                  <c:v>Enterprise Funds</c:v>
                </c:pt>
              </c:strCache>
            </c:strRef>
          </c:tx>
          <c:spPr>
            <a:ln w="28575" cap="rnd">
              <a:solidFill>
                <a:srgbClr val="7030A0"/>
              </a:solidFill>
              <a:round/>
            </a:ln>
            <a:effectLst/>
          </c:spPr>
          <c:marker>
            <c:symbol val="none"/>
          </c:marker>
          <c:cat>
            <c:numRef>
              <c:f>'W&amp;P'!$B$5:$L$5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'W&amp;P'!$B$17:$L$17</c:f>
              <c:numCache>
                <c:formatCode>_("$"* #,##0_);_("$"* \(#,##0\);_("$"* "-"??_);_(@_)</c:formatCode>
                <c:ptCount val="11"/>
                <c:pt idx="0">
                  <c:v>60259947</c:v>
                </c:pt>
                <c:pt idx="1">
                  <c:v>63459395</c:v>
                </c:pt>
                <c:pt idx="2">
                  <c:v>79506698</c:v>
                </c:pt>
                <c:pt idx="3">
                  <c:v>74895896</c:v>
                </c:pt>
                <c:pt idx="4">
                  <c:v>88309308</c:v>
                </c:pt>
                <c:pt idx="5">
                  <c:v>106301997</c:v>
                </c:pt>
                <c:pt idx="6">
                  <c:v>129306407</c:v>
                </c:pt>
                <c:pt idx="7">
                  <c:v>120190453</c:v>
                </c:pt>
                <c:pt idx="8">
                  <c:v>131086188</c:v>
                </c:pt>
                <c:pt idx="9">
                  <c:v>176485074</c:v>
                </c:pt>
                <c:pt idx="10">
                  <c:v>176043403</c:v>
                </c:pt>
              </c:numCache>
            </c:numRef>
          </c:val>
          <c:smooth val="0"/>
          <c:extLst>
            <c:ext xmlns:c16="http://schemas.microsoft.com/office/drawing/2014/chart" uri="{C3380CC4-5D6E-409C-BE32-E72D297353CC}">
              <c16:uniqueId val="{00000002-043C-4280-9E05-D322D938737C}"/>
            </c:ext>
          </c:extLst>
        </c:ser>
        <c:dLbls>
          <c:showLegendKey val="0"/>
          <c:showVal val="0"/>
          <c:showCatName val="0"/>
          <c:showSerName val="0"/>
          <c:showPercent val="0"/>
          <c:showBubbleSize val="0"/>
        </c:dLbls>
        <c:smooth val="0"/>
        <c:axId val="820160072"/>
        <c:axId val="820154168"/>
        <c:extLst>
          <c:ext xmlns:c15="http://schemas.microsoft.com/office/drawing/2012/chart" uri="{02D57815-91ED-43cb-92C2-25804820EDAC}">
            <c15:filteredLineSeries>
              <c15:ser>
                <c:idx val="0"/>
                <c:order val="0"/>
                <c:tx>
                  <c:strRef>
                    <c:extLst>
                      <c:ext uri="{02D57815-91ED-43cb-92C2-25804820EDAC}">
                        <c15:formulaRef>
                          <c15:sqref>'W&amp;P'!$A$15</c15:sqref>
                        </c15:formulaRef>
                      </c:ext>
                    </c:extLst>
                    <c:strCache>
                      <c:ptCount val="1"/>
                      <c:pt idx="0">
                        <c:v>General Fund</c:v>
                      </c:pt>
                    </c:strCache>
                  </c:strRef>
                </c:tx>
                <c:spPr>
                  <a:ln w="28575" cap="rnd">
                    <a:solidFill>
                      <a:schemeClr val="accent1"/>
                    </a:solidFill>
                    <a:round/>
                  </a:ln>
                  <a:effectLst/>
                </c:spPr>
                <c:marker>
                  <c:symbol val="none"/>
                </c:marker>
                <c:cat>
                  <c:numRef>
                    <c:extLst>
                      <c:ext uri="{02D57815-91ED-43cb-92C2-25804820EDAC}">
                        <c15:formulaRef>
                          <c15:sqref>'W&amp;P'!$B$5:$L$5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'W&amp;P'!$B$15:$L$15</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043C-4280-9E05-D322D938737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'W&amp;P'!$A$16</c15:sqref>
                        </c15:formulaRef>
                      </c:ext>
                    </c:extLst>
                    <c:strCache>
                      <c:ptCount val="1"/>
                      <c:pt idx="0">
                        <c:v>Internal Service Funds</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'W&amp;P'!$B$5:$L$5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'W&amp;P'!$B$16:$L$16</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1-043C-4280-9E05-D322D938737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'W&amp;P'!$A$18</c15:sqref>
                        </c15:formulaRef>
                      </c:ext>
                    </c:extLst>
                    <c:strCache>
                      <c:ptCount val="1"/>
                      <c:pt idx="0">
                        <c:v>Special Revenue Funds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'W&amp;P'!$B$5:$L$5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'W&amp;P'!$B$18:$L$18</c15:sqref>
                        </c15:formulaRef>
                      </c:ext>
                    </c:extLst>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xmlns:c15="http://schemas.microsoft.com/office/drawing/2012/chart">
                  <c:ext xmlns:c16="http://schemas.microsoft.com/office/drawing/2014/chart" uri="{C3380CC4-5D6E-409C-BE32-E72D297353CC}">
                    <c16:uniqueId val="{00000003-043C-4280-9E05-D322D938737C}"/>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'W&amp;P'!$A$19</c15:sqref>
                        </c15:formulaRef>
                      </c:ext>
                    </c:extLst>
                    <c:strCache>
                      <c:ptCount val="1"/>
                      <c:pt idx="0">
                        <c:v>Non Dept &amp; Other Entities Funds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'W&amp;P'!$B$5:$L$5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'W&amp;P'!$B$19:$L$19</c15:sqref>
                        </c15:formulaRef>
                      </c:ext>
                    </c:extLst>
                    <c:numCache>
                      <c:formatCode>_("$"* #,##0_);_("$"* \(#,##0\);_("$"* "-"??_);_(@_)</c:formatCode>
                      <c:ptCount val="11"/>
                    </c:numCache>
                  </c:numRef>
                </c:val>
                <c:smooth val="0"/>
                <c:extLst xmlns:c15="http://schemas.microsoft.com/office/drawing/2012/chart">
                  <c:ext xmlns:c16="http://schemas.microsoft.com/office/drawing/2014/chart" uri="{C3380CC4-5D6E-409C-BE32-E72D297353CC}">
                    <c16:uniqueId val="{00000004-043C-4280-9E05-D322D938737C}"/>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'W&amp;P'!$A$20</c15:sqref>
                        </c15:formulaRef>
                      </c:ext>
                    </c:extLst>
                    <c:strCache>
                      <c:ptCount val="1"/>
                      <c:pt idx="0">
                        <c:v>Total City Budget Expenses</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'W&amp;P'!$B$5:$L$5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'W&amp;P'!$B$20:$L$20</c15:sqref>
                        </c15:formulaRef>
                      </c:ext>
                    </c:extLst>
                    <c:numCache>
                      <c:formatCode>_("$"* #,##0_);_("$"* \(#,##0\);_("$"* "-"??_);_(@_)</c:formatCode>
                      <c:ptCount val="11"/>
                      <c:pt idx="0">
                        <c:v>60259947</c:v>
                      </c:pt>
                      <c:pt idx="1">
                        <c:v>63459395</c:v>
                      </c:pt>
                      <c:pt idx="2">
                        <c:v>79506698</c:v>
                      </c:pt>
                      <c:pt idx="3">
                        <c:v>74895896</c:v>
                      </c:pt>
                      <c:pt idx="4">
                        <c:v>88309308</c:v>
                      </c:pt>
                      <c:pt idx="5">
                        <c:v>106301997</c:v>
                      </c:pt>
                      <c:pt idx="6">
                        <c:v>129306407</c:v>
                      </c:pt>
                      <c:pt idx="7">
                        <c:v>120190453</c:v>
                      </c:pt>
                      <c:pt idx="8">
                        <c:v>131086188</c:v>
                      </c:pt>
                      <c:pt idx="9">
                        <c:v>176485074</c:v>
                      </c:pt>
                      <c:pt idx="10">
                        <c:v>176043403</c:v>
                      </c:pt>
                    </c:numCache>
                  </c:numRef>
                </c:val>
                <c:smooth val="0"/>
                <c:extLst xmlns:c15="http://schemas.microsoft.com/office/drawing/2012/chart">
                  <c:ext xmlns:c16="http://schemas.microsoft.com/office/drawing/2014/chart" uri="{C3380CC4-5D6E-409C-BE32-E72D297353CC}">
                    <c16:uniqueId val="{00000005-043C-4280-9E05-D322D938737C}"/>
                  </c:ext>
                </c:extLst>
              </c15:ser>
            </c15:filteredLineSeries>
          </c:ext>
        </c:extLst>
      </c:lineChart>
      <c:catAx>
        <c:axId val="82016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154168"/>
        <c:crosses val="autoZero"/>
        <c:auto val="1"/>
        <c:lblAlgn val="ctr"/>
        <c:lblOffset val="100"/>
        <c:noMultiLvlLbl val="0"/>
      </c:catAx>
      <c:valAx>
        <c:axId val="8201541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160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9251016002032002E-2"/>
          <c:y val="1.8749999999999999E-2"/>
          <c:w val="0.88655543561087102"/>
          <c:h val="0.79240772637795298"/>
        </c:manualLayout>
      </c:layout>
      <c:lineChart>
        <c:grouping val="standard"/>
        <c:varyColors val="0"/>
        <c:ser>
          <c:idx val="0"/>
          <c:order val="0"/>
          <c:tx>
            <c:strRef>
              <c:f>POL!$A$35</c:f>
              <c:strCache>
                <c:ptCount val="1"/>
                <c:pt idx="0">
                  <c:v>Employee FTE </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POL!$B$35:$L$35</c:f>
              <c:numCache>
                <c:formatCode>_(* #,##0.0_);_(* \(#,##0.0\);_(* "-"??_);_(@_)</c:formatCode>
                <c:ptCount val="11"/>
                <c:pt idx="8">
                  <c:v>158.5</c:v>
                </c:pt>
                <c:pt idx="9">
                  <c:v>164.5</c:v>
                </c:pt>
                <c:pt idx="10">
                  <c:v>164.5</c:v>
                </c:pt>
              </c:numCache>
            </c:numRef>
          </c:val>
          <c:smooth val="0"/>
          <c:extLst>
            <c:ext xmlns:c16="http://schemas.microsoft.com/office/drawing/2014/chart" uri="{C3380CC4-5D6E-409C-BE32-E72D297353CC}">
              <c16:uniqueId val="{00000000-1004-48D5-AD5A-33D0039AE5DA}"/>
            </c:ext>
          </c:extLst>
        </c:ser>
        <c:ser>
          <c:idx val="2"/>
          <c:order val="1"/>
          <c:tx>
            <c:strRef>
              <c:f>POL!$A$36</c:f>
              <c:strCache>
                <c:ptCount val="1"/>
                <c:pt idx="0">
                  <c:v>Admin</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POL!$B$36:$L$36</c:f>
              <c:numCache>
                <c:formatCode>_(* #,##0.00_);_(* \(#,##0.00\);_(* "-"??_);_(@_)</c:formatCode>
                <c:ptCount val="11"/>
                <c:pt idx="0">
                  <c:v>6</c:v>
                </c:pt>
                <c:pt idx="1">
                  <c:v>5</c:v>
                </c:pt>
                <c:pt idx="2">
                  <c:v>5</c:v>
                </c:pt>
                <c:pt idx="3">
                  <c:v>5</c:v>
                </c:pt>
                <c:pt idx="4">
                  <c:v>5</c:v>
                </c:pt>
                <c:pt idx="5">
                  <c:v>5</c:v>
                </c:pt>
                <c:pt idx="6" formatCode="_(* #,##0.0_);_(* \(#,##0.0\);_(* &quot;-&quot;??_);_(@_)">
                  <c:v>7</c:v>
                </c:pt>
                <c:pt idx="7" formatCode="_(* #,##0.0_);_(* \(#,##0.0\);_(* &quot;-&quot;??_);_(@_)">
                  <c:v>7</c:v>
                </c:pt>
                <c:pt idx="8" formatCode="_(* #,##0.0_);_(* \(#,##0.0\);_(* &quot;-&quot;??_);_(@_)">
                  <c:v>8</c:v>
                </c:pt>
                <c:pt idx="9" formatCode="_(* #,##0.0_);_(* \(#,##0.0\);_(* &quot;-&quot;??_);_(@_)">
                  <c:v>8</c:v>
                </c:pt>
                <c:pt idx="10" formatCode="_(* #,##0.0_);_(* \(#,##0.0\);_(* &quot;-&quot;??_);_(@_)">
                  <c:v>8</c:v>
                </c:pt>
              </c:numCache>
            </c:numRef>
          </c:val>
          <c:smooth val="0"/>
          <c:extLst>
            <c:ext xmlns:c16="http://schemas.microsoft.com/office/drawing/2014/chart" uri="{C3380CC4-5D6E-409C-BE32-E72D297353CC}">
              <c16:uniqueId val="{00000001-1004-48D5-AD5A-33D0039AE5DA}"/>
            </c:ext>
          </c:extLst>
        </c:ser>
        <c:ser>
          <c:idx val="4"/>
          <c:order val="2"/>
          <c:tx>
            <c:strRef>
              <c:f>POL!$A$37</c:f>
              <c:strCache>
                <c:ptCount val="1"/>
                <c:pt idx="0">
                  <c:v>Info Svc</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POL!$B$37:$L$37</c:f>
              <c:numCache>
                <c:formatCode>_(* #,##0.00_);_(* \(#,##0.00\);_(* "-"??_);_(@_)</c:formatCode>
                <c:ptCount val="11"/>
                <c:pt idx="0">
                  <c:v>33</c:v>
                </c:pt>
                <c:pt idx="1">
                  <c:v>31</c:v>
                </c:pt>
                <c:pt idx="2">
                  <c:v>31</c:v>
                </c:pt>
                <c:pt idx="3">
                  <c:v>31</c:v>
                </c:pt>
                <c:pt idx="4">
                  <c:v>31</c:v>
                </c:pt>
                <c:pt idx="5">
                  <c:v>33</c:v>
                </c:pt>
                <c:pt idx="6" formatCode="_(* #,##0.0_);_(* \(#,##0.0\);_(* &quot;-&quot;??_);_(@_)">
                  <c:v>34</c:v>
                </c:pt>
                <c:pt idx="7" formatCode="_(* #,##0.0_);_(* \(#,##0.0\);_(* &quot;-&quot;??_);_(@_)">
                  <c:v>35</c:v>
                </c:pt>
                <c:pt idx="8" formatCode="_(* #,##0.0_);_(* \(#,##0.0\);_(* &quot;-&quot;??_);_(@_)">
                  <c:v>36</c:v>
                </c:pt>
                <c:pt idx="9" formatCode="_(* #,##0.0_);_(* \(#,##0.0\);_(* &quot;-&quot;??_);_(@_)">
                  <c:v>36</c:v>
                </c:pt>
                <c:pt idx="10" formatCode="_(* #,##0.0_);_(* \(#,##0.0\);_(* &quot;-&quot;??_);_(@_)">
                  <c:v>36</c:v>
                </c:pt>
              </c:numCache>
            </c:numRef>
          </c:val>
          <c:smooth val="0"/>
          <c:extLst>
            <c:ext xmlns:c16="http://schemas.microsoft.com/office/drawing/2014/chart" uri="{C3380CC4-5D6E-409C-BE32-E72D297353CC}">
              <c16:uniqueId val="{00000002-1004-48D5-AD5A-33D0039AE5DA}"/>
            </c:ext>
          </c:extLst>
        </c:ser>
        <c:ser>
          <c:idx val="6"/>
          <c:order val="3"/>
          <c:tx>
            <c:strRef>
              <c:f>POL!$A$38</c:f>
              <c:strCache>
                <c:ptCount val="1"/>
                <c:pt idx="0">
                  <c:v>Ops</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POL!$B$38:$L$38</c:f>
              <c:numCache>
                <c:formatCode>_(* #,##0.00_);_(* \(#,##0.00\);_(* "-"??_);_(@_)</c:formatCode>
                <c:ptCount val="11"/>
                <c:pt idx="0">
                  <c:v>72</c:v>
                </c:pt>
                <c:pt idx="1">
                  <c:v>71</c:v>
                </c:pt>
                <c:pt idx="2">
                  <c:v>69</c:v>
                </c:pt>
                <c:pt idx="3">
                  <c:v>69</c:v>
                </c:pt>
                <c:pt idx="4">
                  <c:v>71</c:v>
                </c:pt>
                <c:pt idx="5">
                  <c:v>73</c:v>
                </c:pt>
                <c:pt idx="6" formatCode="_(* #,##0.0_);_(* \(#,##0.0\);_(* &quot;-&quot;??_);_(@_)">
                  <c:v>75</c:v>
                </c:pt>
                <c:pt idx="7" formatCode="_(* #,##0.0_);_(* \(#,##0.0\);_(* &quot;-&quot;??_);_(@_)">
                  <c:v>79</c:v>
                </c:pt>
                <c:pt idx="8" formatCode="_(* #,##0.0_);_(* \(#,##0.0\);_(* &quot;-&quot;??_);_(@_)">
                  <c:v>79</c:v>
                </c:pt>
                <c:pt idx="9" formatCode="_(* #,##0.0_);_(* \(#,##0.0\);_(* &quot;-&quot;??_);_(@_)">
                  <c:v>84</c:v>
                </c:pt>
                <c:pt idx="10" formatCode="_(* #,##0.0_);_(* \(#,##0.0\);_(* &quot;-&quot;??_);_(@_)">
                  <c:v>84</c:v>
                </c:pt>
              </c:numCache>
            </c:numRef>
          </c:val>
          <c:smooth val="0"/>
          <c:extLst>
            <c:ext xmlns:c16="http://schemas.microsoft.com/office/drawing/2014/chart" uri="{C3380CC4-5D6E-409C-BE32-E72D297353CC}">
              <c16:uniqueId val="{00000003-1004-48D5-AD5A-33D0039AE5DA}"/>
            </c:ext>
          </c:extLst>
        </c:ser>
        <c:dLbls>
          <c:showLegendKey val="0"/>
          <c:showVal val="0"/>
          <c:showCatName val="0"/>
          <c:showSerName val="0"/>
          <c:showPercent val="0"/>
          <c:showBubbleSize val="0"/>
        </c:dLbls>
        <c:marker val="1"/>
        <c:smooth val="0"/>
        <c:axId val="-2141878088"/>
        <c:axId val="-2141875160"/>
      </c:lineChart>
      <c:catAx>
        <c:axId val="-2141878088"/>
        <c:scaling>
          <c:orientation val="minMax"/>
        </c:scaling>
        <c:delete val="0"/>
        <c:axPos val="b"/>
        <c:numFmt formatCode="General" sourceLinked="1"/>
        <c:majorTickMark val="out"/>
        <c:minorTickMark val="none"/>
        <c:tickLblPos val="nextTo"/>
        <c:crossAx val="-2141875160"/>
        <c:crosses val="autoZero"/>
        <c:auto val="1"/>
        <c:lblAlgn val="ctr"/>
        <c:lblOffset val="100"/>
        <c:noMultiLvlLbl val="0"/>
      </c:catAx>
      <c:valAx>
        <c:axId val="-2141875160"/>
        <c:scaling>
          <c:orientation val="minMax"/>
        </c:scaling>
        <c:delete val="0"/>
        <c:axPos val="l"/>
        <c:majorGridlines/>
        <c:numFmt formatCode="_(* #,##0.0_);_(* \(#,##0.0\);_(* &quot;-&quot;??_);_(@_)" sourceLinked="1"/>
        <c:majorTickMark val="out"/>
        <c:minorTickMark val="none"/>
        <c:tickLblPos val="nextTo"/>
        <c:crossAx val="-2141878088"/>
        <c:crosses val="autoZero"/>
        <c:crossBetween val="between"/>
      </c:valAx>
      <c:spPr>
        <a:noFill/>
        <a:ln w="25400">
          <a:noFill/>
        </a:ln>
      </c:spPr>
    </c:plotArea>
    <c:legend>
      <c:legendPos val="b"/>
      <c:layout>
        <c:manualLayout>
          <c:xMode val="edge"/>
          <c:yMode val="edge"/>
          <c:x val="0.26985004317457101"/>
          <c:y val="0.89834479199613804"/>
          <c:w val="0.463557157146888"/>
          <c:h val="6.7828569526060797E-2"/>
        </c:manualLayout>
      </c:layout>
      <c:overlay val="0"/>
    </c:legend>
    <c:plotVisOnly val="1"/>
    <c:dispBlanksAs val="gap"/>
    <c:showDLblsOverMax val="0"/>
  </c:chart>
  <c:printSettings>
    <c:headerFooter/>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'W&amp;P'!$A$26</c:f>
              <c:strCache>
                <c:ptCount val="1"/>
                <c:pt idx="0">
                  <c:v>Expenditures per Capita</c:v>
                </c:pt>
              </c:strCache>
            </c:strRef>
          </c:tx>
          <c:spPr>
            <a:ln w="28575" cap="rnd">
              <a:solidFill>
                <a:sysClr val="windowText" lastClr="000000"/>
              </a:solidFill>
              <a:round/>
            </a:ln>
            <a:effectLst/>
          </c:spPr>
          <c:marker>
            <c:symbol val="none"/>
          </c:marker>
          <c:cat>
            <c:numRef>
              <c:f>'W&amp;P'!$B$25:$L$25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'W&amp;P'!$B$26:$L$26</c:f>
              <c:numCache>
                <c:formatCode>_("$"* #,##0.00_);_("$"* \(#,##0.00\);_("$"* "-"??_);_(@_)</c:formatCode>
                <c:ptCount val="11"/>
                <c:pt idx="0">
                  <c:v>1285.887748962984</c:v>
                </c:pt>
                <c:pt idx="1">
                  <c:v>948.55609518467122</c:v>
                </c:pt>
                <c:pt idx="2">
                  <c:v>1111.9285932432629</c:v>
                </c:pt>
                <c:pt idx="3">
                  <c:v>1091.4880229589996</c:v>
                </c:pt>
                <c:pt idx="4">
                  <c:v>1235.4516271138268</c:v>
                </c:pt>
                <c:pt idx="5">
                  <c:v>1346.1012291100567</c:v>
                </c:pt>
                <c:pt idx="6">
                  <c:v>1545.971628983928</c:v>
                </c:pt>
                <c:pt idx="7">
                  <c:v>1512.7052093836123</c:v>
                </c:pt>
                <c:pt idx="8">
                  <c:v>1648.6536128691982</c:v>
                </c:pt>
                <c:pt idx="9">
                  <c:v>1817.4688333203903</c:v>
                </c:pt>
                <c:pt idx="10">
                  <c:v>1983.0943023550267</c:v>
                </c:pt>
              </c:numCache>
            </c:numRef>
          </c:val>
          <c:smooth val="0"/>
          <c:extLst>
            <c:ext xmlns:c16="http://schemas.microsoft.com/office/drawing/2014/chart" uri="{C3380CC4-5D6E-409C-BE32-E72D297353CC}">
              <c16:uniqueId val="{00000000-EEDB-4958-A23E-AF205B0315E0}"/>
            </c:ext>
          </c:extLst>
        </c:ser>
        <c:dLbls>
          <c:showLegendKey val="0"/>
          <c:showVal val="0"/>
          <c:showCatName val="0"/>
          <c:showSerName val="0"/>
          <c:showPercent val="0"/>
          <c:showBubbleSize val="0"/>
        </c:dLbls>
        <c:smooth val="0"/>
        <c:axId val="760058888"/>
        <c:axId val="760053968"/>
      </c:lineChart>
      <c:catAx>
        <c:axId val="76005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0053968"/>
        <c:crosses val="autoZero"/>
        <c:auto val="1"/>
        <c:lblAlgn val="ctr"/>
        <c:lblOffset val="100"/>
        <c:noMultiLvlLbl val="0"/>
      </c:catAx>
      <c:valAx>
        <c:axId val="7600539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0058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'W&amp;P'!$A$29</c:f>
              <c:strCache>
                <c:ptCount val="1"/>
                <c:pt idx="0">
                  <c:v>Expenditures per FTE</c:v>
                </c:pt>
              </c:strCache>
            </c:strRef>
          </c:tx>
          <c:spPr>
            <a:ln w="28575" cap="rnd">
              <a:solidFill>
                <a:sysClr val="windowText" lastClr="000000"/>
              </a:solidFill>
              <a:round/>
            </a:ln>
            <a:effectLst/>
          </c:spPr>
          <c:marker>
            <c:symbol val="none"/>
          </c:marker>
          <c:cat>
            <c:numRef>
              <c:f>'W&amp;P'!$B$25:$L$25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'W&amp;P'!$B$29:$L$29</c:f>
              <c:numCache>
                <c:formatCode>_("$"* #,##0_);_("$"* \(#,##0\);_("$"* "-"??_);_(@_)</c:formatCode>
                <c:ptCount val="11"/>
                <c:pt idx="0">
                  <c:v>487934.79352226725</c:v>
                </c:pt>
                <c:pt idx="1">
                  <c:v>557884.7912087912</c:v>
                </c:pt>
                <c:pt idx="2">
                  <c:v>700499.5418502203</c:v>
                </c:pt>
                <c:pt idx="3">
                  <c:v>638335.42998380633</c:v>
                </c:pt>
                <c:pt idx="4">
                  <c:v>788616.78871227009</c:v>
                </c:pt>
                <c:pt idx="5">
                  <c:v>874337.85984536924</c:v>
                </c:pt>
                <c:pt idx="6">
                  <c:v>1000436.417794971</c:v>
                </c:pt>
                <c:pt idx="7">
                  <c:v>908812.49905482039</c:v>
                </c:pt>
                <c:pt idx="8">
                  <c:v>959284.21514818876</c:v>
                </c:pt>
                <c:pt idx="9">
                  <c:v>1228576.9161155587</c:v>
                </c:pt>
                <c:pt idx="10">
                  <c:v>1203509.8478892497</c:v>
                </c:pt>
              </c:numCache>
            </c:numRef>
          </c:val>
          <c:smooth val="0"/>
          <c:extLst>
            <c:ext xmlns:c16="http://schemas.microsoft.com/office/drawing/2014/chart" uri="{C3380CC4-5D6E-409C-BE32-E72D297353CC}">
              <c16:uniqueId val="{00000000-DCFF-48C6-BE80-132FF688CC8D}"/>
            </c:ext>
          </c:extLst>
        </c:ser>
        <c:dLbls>
          <c:showLegendKey val="0"/>
          <c:showVal val="0"/>
          <c:showCatName val="0"/>
          <c:showSerName val="0"/>
          <c:showPercent val="0"/>
          <c:showBubbleSize val="0"/>
        </c:dLbls>
        <c:smooth val="0"/>
        <c:axId val="508694752"/>
        <c:axId val="302647824"/>
      </c:lineChart>
      <c:catAx>
        <c:axId val="50869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647824"/>
        <c:crosses val="autoZero"/>
        <c:auto val="1"/>
        <c:lblAlgn val="ctr"/>
        <c:lblOffset val="100"/>
        <c:noMultiLvlLbl val="0"/>
      </c:catAx>
      <c:valAx>
        <c:axId val="3026478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694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Fire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9273421080667497E-2"/>
          <c:y val="0.15539592773173913"/>
          <c:w val="0.90719644361797946"/>
          <c:h val="0.72518183358314814"/>
        </c:manualLayout>
      </c:layout>
      <c:lineChart>
        <c:grouping val="standard"/>
        <c:varyColors val="0"/>
        <c:ser>
          <c:idx val="0"/>
          <c:order val="0"/>
          <c:tx>
            <c:strRef>
              <c:f>LFRA!$A$6</c:f>
              <c:strCache>
                <c:ptCount val="1"/>
                <c:pt idx="0">
                  <c:v>General Fund</c:v>
                </c:pt>
              </c:strCache>
            </c:strRef>
          </c:tx>
          <c:spPr>
            <a:ln w="28575" cap="rnd">
              <a:solidFill>
                <a:sysClr val="windowText" lastClr="000000"/>
              </a:solidFill>
              <a:round/>
            </a:ln>
            <a:effectLst/>
          </c:spPr>
          <c:marker>
            <c:symbol val="none"/>
          </c:marker>
          <c:cat>
            <c:numRef>
              <c:f>LFRA!$B$5:$L$5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LFRA!$B$6:$L$6</c:f>
              <c:numCache>
                <c:formatCode>_("$"* #,##0_);_("$"* \(#,##0\);_("$"* "-"??_);_(@_)</c:formatCode>
                <c:ptCount val="11"/>
                <c:pt idx="0">
                  <c:v>7946453</c:v>
                </c:pt>
                <c:pt idx="1">
                  <c:v>7788379</c:v>
                </c:pt>
                <c:pt idx="2">
                  <c:v>7957074</c:v>
                </c:pt>
                <c:pt idx="3">
                  <c:v>9981735</c:v>
                </c:pt>
                <c:pt idx="4">
                  <c:v>9632284</c:v>
                </c:pt>
                <c:pt idx="5">
                  <c:v>10591320</c:v>
                </c:pt>
                <c:pt idx="6">
                  <c:v>9614766</c:v>
                </c:pt>
                <c:pt idx="7">
                  <c:v>9413293</c:v>
                </c:pt>
                <c:pt idx="8">
                  <c:v>14761515</c:v>
                </c:pt>
                <c:pt idx="9">
                  <c:v>16459136</c:v>
                </c:pt>
                <c:pt idx="10">
                  <c:v>15229792</c:v>
                </c:pt>
              </c:numCache>
            </c:numRef>
          </c:val>
          <c:smooth val="0"/>
          <c:extLst>
            <c:ext xmlns:c16="http://schemas.microsoft.com/office/drawing/2014/chart" uri="{C3380CC4-5D6E-409C-BE32-E72D297353CC}">
              <c16:uniqueId val="{00000000-B919-4012-8944-BE7C1EFD295B}"/>
            </c:ext>
          </c:extLst>
        </c:ser>
        <c:dLbls>
          <c:showLegendKey val="0"/>
          <c:showVal val="0"/>
          <c:showCatName val="0"/>
          <c:showSerName val="0"/>
          <c:showPercent val="0"/>
          <c:showBubbleSize val="0"/>
        </c:dLbls>
        <c:smooth val="0"/>
        <c:axId val="613666424"/>
        <c:axId val="613667408"/>
      </c:lineChart>
      <c:catAx>
        <c:axId val="613666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667408"/>
        <c:crosses val="autoZero"/>
        <c:auto val="1"/>
        <c:lblAlgn val="ctr"/>
        <c:lblOffset val="100"/>
        <c:noMultiLvlLbl val="0"/>
      </c:catAx>
      <c:valAx>
        <c:axId val="6136674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666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Fire</a:t>
            </a:r>
            <a:r>
              <a:rPr lang="en-US" baseline="0"/>
              <a:t>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LFRA!$A$15</c:f>
              <c:strCache>
                <c:ptCount val="1"/>
                <c:pt idx="0">
                  <c:v>General Fund</c:v>
                </c:pt>
              </c:strCache>
            </c:strRef>
          </c:tx>
          <c:spPr>
            <a:ln w="28575" cap="rnd">
              <a:solidFill>
                <a:srgbClr val="FF0000"/>
              </a:solidFill>
              <a:round/>
            </a:ln>
            <a:effectLst/>
          </c:spPr>
          <c:marker>
            <c:symbol val="none"/>
          </c:marker>
          <c:cat>
            <c:numRef>
              <c:f>LFRA!$B$5:$L$5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LFRA!$B$15:$L$15</c:f>
              <c:numCache>
                <c:formatCode>_("$"* #,##0_);_("$"* \(#,##0\);_("$"* "-"??_);_(@_)</c:formatCode>
                <c:ptCount val="11"/>
                <c:pt idx="0" formatCode="_(* #,##0_);_(* \(#,##0\);_(* &quot;-&quot;??_);_(@_)">
                  <c:v>7946453</c:v>
                </c:pt>
                <c:pt idx="1">
                  <c:v>7788379</c:v>
                </c:pt>
                <c:pt idx="2">
                  <c:v>7957074</c:v>
                </c:pt>
                <c:pt idx="3">
                  <c:v>0</c:v>
                </c:pt>
                <c:pt idx="4">
                  <c:v>0</c:v>
                </c:pt>
                <c:pt idx="5">
                  <c:v>0</c:v>
                </c:pt>
                <c:pt idx="6">
                  <c:v>0</c:v>
                </c:pt>
                <c:pt idx="7">
                  <c:v>0</c:v>
                </c:pt>
              </c:numCache>
            </c:numRef>
          </c:val>
          <c:smooth val="0"/>
          <c:extLst>
            <c:ext xmlns:c16="http://schemas.microsoft.com/office/drawing/2014/chart" uri="{C3380CC4-5D6E-409C-BE32-E72D297353CC}">
              <c16:uniqueId val="{00000000-4356-4868-8682-014091CAC25D}"/>
            </c:ext>
          </c:extLst>
        </c:ser>
        <c:ser>
          <c:idx val="1"/>
          <c:order val="1"/>
          <c:tx>
            <c:strRef>
              <c:f>LFRA!$A$16</c:f>
              <c:strCache>
                <c:ptCount val="1"/>
                <c:pt idx="0">
                  <c:v>Conversion to Authority</c:v>
                </c:pt>
              </c:strCache>
            </c:strRef>
          </c:tx>
          <c:spPr>
            <a:ln w="28575" cap="rnd">
              <a:solidFill>
                <a:schemeClr val="accent2"/>
              </a:solidFill>
              <a:round/>
            </a:ln>
            <a:effectLst/>
          </c:spPr>
          <c:marker>
            <c:symbol val="none"/>
          </c:marker>
          <c:cat>
            <c:numRef>
              <c:f>LFRA!$B$5:$L$5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LFRA!$B$16:$L$16</c:f>
              <c:numCache>
                <c:formatCode>_("$"* #,##0_);_("$"* \(#,##0\);_("$"* "-"??_);_(@_)</c:formatCode>
                <c:ptCount val="11"/>
                <c:pt idx="3">
                  <c:v>9691395</c:v>
                </c:pt>
                <c:pt idx="4">
                  <c:v>10060884</c:v>
                </c:pt>
                <c:pt idx="5">
                  <c:v>10773683</c:v>
                </c:pt>
                <c:pt idx="6">
                  <c:v>12010718</c:v>
                </c:pt>
                <c:pt idx="7">
                  <c:v>13358679</c:v>
                </c:pt>
                <c:pt idx="8">
                  <c:v>13451972</c:v>
                </c:pt>
                <c:pt idx="9">
                  <c:v>15544375</c:v>
                </c:pt>
                <c:pt idx="10">
                  <c:v>14757141</c:v>
                </c:pt>
              </c:numCache>
            </c:numRef>
          </c:val>
          <c:smooth val="0"/>
          <c:extLst>
            <c:ext xmlns:c16="http://schemas.microsoft.com/office/drawing/2014/chart" uri="{C3380CC4-5D6E-409C-BE32-E72D297353CC}">
              <c16:uniqueId val="{00000001-4356-4868-8682-014091CAC25D}"/>
            </c:ext>
          </c:extLst>
        </c:ser>
        <c:dLbls>
          <c:showLegendKey val="0"/>
          <c:showVal val="0"/>
          <c:showCatName val="0"/>
          <c:showSerName val="0"/>
          <c:showPercent val="0"/>
          <c:showBubbleSize val="0"/>
        </c:dLbls>
        <c:smooth val="0"/>
        <c:axId val="613568352"/>
        <c:axId val="613561792"/>
      </c:lineChart>
      <c:catAx>
        <c:axId val="6135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1792"/>
        <c:crosses val="autoZero"/>
        <c:auto val="1"/>
        <c:lblAlgn val="ctr"/>
        <c:lblOffset val="100"/>
        <c:noMultiLvlLbl val="0"/>
      </c:catAx>
      <c:valAx>
        <c:axId val="61356179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56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LFRA!$A$27</c:f>
              <c:strCache>
                <c:ptCount val="1"/>
                <c:pt idx="0">
                  <c:v>Expenditures per Capita</c:v>
                </c:pt>
              </c:strCache>
            </c:strRef>
          </c:tx>
          <c:spPr>
            <a:ln w="28575" cap="rnd">
              <a:solidFill>
                <a:sysClr val="windowText" lastClr="000000"/>
              </a:solidFill>
              <a:round/>
            </a:ln>
            <a:effectLst/>
          </c:spPr>
          <c:marker>
            <c:symbol val="none"/>
          </c:marker>
          <c:cat>
            <c:numRef>
              <c:f>LFRA!$B$26:$L$26</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LFRA!$B$27:$L$27</c:f>
              <c:numCache>
                <c:formatCode>_("$"* #,##0.00_);_("$"* \(#,##0.00\);_("$"* "-"??_);_(@_)</c:formatCode>
                <c:ptCount val="11"/>
                <c:pt idx="0">
                  <c:v>125.81066147367088</c:v>
                </c:pt>
                <c:pt idx="1">
                  <c:v>114.97119955123853</c:v>
                </c:pt>
                <c:pt idx="2">
                  <c:v>115.72074286296011</c:v>
                </c:pt>
                <c:pt idx="3">
                  <c:v>279.52856174557621</c:v>
                </c:pt>
                <c:pt idx="4">
                  <c:v>285.94241864430865</c:v>
                </c:pt>
                <c:pt idx="5">
                  <c:v>303.3686626212567</c:v>
                </c:pt>
                <c:pt idx="6">
                  <c:v>327.17837101607194</c:v>
                </c:pt>
                <c:pt idx="7">
                  <c:v>359.17668884855817</c:v>
                </c:pt>
                <c:pt idx="8">
                  <c:v>354.74609704641352</c:v>
                </c:pt>
                <c:pt idx="9">
                  <c:v>402.38085993114339</c:v>
                </c:pt>
                <c:pt idx="10">
                  <c:v>373.69311218029878</c:v>
                </c:pt>
              </c:numCache>
            </c:numRef>
          </c:val>
          <c:smooth val="0"/>
          <c:extLst>
            <c:ext xmlns:c16="http://schemas.microsoft.com/office/drawing/2014/chart" uri="{C3380CC4-5D6E-409C-BE32-E72D297353CC}">
              <c16:uniqueId val="{00000000-2FE0-4557-929A-B48FD320DB06}"/>
            </c:ext>
          </c:extLst>
        </c:ser>
        <c:dLbls>
          <c:showLegendKey val="0"/>
          <c:showVal val="0"/>
          <c:showCatName val="0"/>
          <c:showSerName val="0"/>
          <c:showPercent val="0"/>
          <c:showBubbleSize val="0"/>
        </c:dLbls>
        <c:smooth val="0"/>
        <c:axId val="707799768"/>
        <c:axId val="707800752"/>
      </c:lineChart>
      <c:catAx>
        <c:axId val="707799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7800752"/>
        <c:crosses val="autoZero"/>
        <c:auto val="1"/>
        <c:lblAlgn val="ctr"/>
        <c:lblOffset val="100"/>
        <c:noMultiLvlLbl val="0"/>
      </c:catAx>
      <c:valAx>
        <c:axId val="7078007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7799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337489063867018"/>
          <c:y val="0.19486111111111112"/>
          <c:w val="0.82198818897637793"/>
          <c:h val="0.72088764946048411"/>
        </c:manualLayout>
      </c:layout>
      <c:lineChart>
        <c:grouping val="standard"/>
        <c:varyColors val="0"/>
        <c:ser>
          <c:idx val="0"/>
          <c:order val="0"/>
          <c:tx>
            <c:strRef>
              <c:f>LFRA!$A$30</c:f>
              <c:strCache>
                <c:ptCount val="1"/>
                <c:pt idx="0">
                  <c:v>Expenditures per FTE</c:v>
                </c:pt>
              </c:strCache>
            </c:strRef>
          </c:tx>
          <c:spPr>
            <a:ln w="28575" cap="rnd">
              <a:solidFill>
                <a:schemeClr val="accent1"/>
              </a:solidFill>
              <a:round/>
            </a:ln>
            <a:effectLst/>
          </c:spPr>
          <c:marker>
            <c:symbol val="none"/>
          </c:marker>
          <c:val>
            <c:numRef>
              <c:f>LFRA!$B$30:$L$30</c:f>
              <c:numCache>
                <c:formatCode>_("$"* #,##0_);_("$"* \(#,##0\);_("$"* "-"??_);_(@_)</c:formatCode>
                <c:ptCount val="11"/>
                <c:pt idx="0">
                  <c:v>122253.12307692308</c:v>
                </c:pt>
                <c:pt idx="1">
                  <c:v>118005.74242424243</c:v>
                </c:pt>
                <c:pt idx="2">
                  <c:v>120561.72727272728</c:v>
                </c:pt>
                <c:pt idx="3">
                  <c:v>146839.31818181818</c:v>
                </c:pt>
                <c:pt idx="4">
                  <c:v>137820.32876712328</c:v>
                </c:pt>
                <c:pt idx="5">
                  <c:v>133008.43209876542</c:v>
                </c:pt>
                <c:pt idx="6">
                  <c:v>144707.44578313254</c:v>
                </c:pt>
                <c:pt idx="7">
                  <c:v>159031.89285714287</c:v>
                </c:pt>
                <c:pt idx="8">
                  <c:v>146217.08695652173</c:v>
                </c:pt>
                <c:pt idx="9">
                  <c:v>167143.81720430107</c:v>
                </c:pt>
                <c:pt idx="10">
                  <c:v>158678.93548387097</c:v>
                </c:pt>
              </c:numCache>
            </c:numRef>
          </c:val>
          <c:smooth val="0"/>
          <c:extLst>
            <c:ext xmlns:c15="http://schemas.microsoft.com/office/drawing/2012/chart" uri="{02D57815-91ED-43cb-92C2-25804820EDAC}">
              <c15:filteredCategoryTitle>
                <c15:cat>
                  <c:multiLvlStrRef>
                    <c:extLst>
                      <c:ext uri="{02D57815-91ED-43cb-92C2-25804820EDAC}">
                        <c15:formulaRef>
                          <c15:sqref>LFRA!#REF!</c15:sqref>
                        </c15:formulaRef>
                      </c:ext>
                    </c:extLst>
                  </c:multiLvlStrRef>
                </c15:cat>
              </c15:filteredCategoryTitle>
            </c:ext>
            <c:ext xmlns:c16="http://schemas.microsoft.com/office/drawing/2014/chart" uri="{C3380CC4-5D6E-409C-BE32-E72D297353CC}">
              <c16:uniqueId val="{00000000-AE50-4442-85E2-86BE164FA625}"/>
            </c:ext>
          </c:extLst>
        </c:ser>
        <c:dLbls>
          <c:showLegendKey val="0"/>
          <c:showVal val="0"/>
          <c:showCatName val="0"/>
          <c:showSerName val="0"/>
          <c:showPercent val="0"/>
          <c:showBubbleSize val="0"/>
        </c:dLbls>
        <c:smooth val="0"/>
        <c:axId val="776364760"/>
        <c:axId val="776370336"/>
      </c:lineChart>
      <c:catAx>
        <c:axId val="776364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370336"/>
        <c:crosses val="autoZero"/>
        <c:auto val="1"/>
        <c:lblAlgn val="ctr"/>
        <c:lblOffset val="100"/>
        <c:noMultiLvlLbl val="0"/>
      </c:catAx>
      <c:valAx>
        <c:axId val="7763703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364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9251016002032002E-2"/>
          <c:y val="1.8749999999999999E-2"/>
          <c:w val="0.88655543561087102"/>
          <c:h val="0.79240772637795298"/>
        </c:manualLayout>
      </c:layout>
      <c:lineChart>
        <c:grouping val="standard"/>
        <c:varyColors val="0"/>
        <c:ser>
          <c:idx val="0"/>
          <c:order val="0"/>
          <c:tx>
            <c:strRef>
              <c:f>POL!$A$35</c:f>
              <c:strCache>
                <c:ptCount val="1"/>
                <c:pt idx="0">
                  <c:v>Employee FTE </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POL!$B$35:$L$35</c:f>
              <c:numCache>
                <c:formatCode>_(* #,##0.0_);_(* \(#,##0.0\);_(* "-"??_);_(@_)</c:formatCode>
                <c:ptCount val="11"/>
                <c:pt idx="8">
                  <c:v>158.5</c:v>
                </c:pt>
                <c:pt idx="9">
                  <c:v>164.5</c:v>
                </c:pt>
                <c:pt idx="10">
                  <c:v>164.5</c:v>
                </c:pt>
              </c:numCache>
            </c:numRef>
          </c:val>
          <c:smooth val="0"/>
          <c:extLst>
            <c:ext xmlns:c16="http://schemas.microsoft.com/office/drawing/2014/chart" uri="{C3380CC4-5D6E-409C-BE32-E72D297353CC}">
              <c16:uniqueId val="{00000000-B2CE-4511-A094-9B799E796687}"/>
            </c:ext>
          </c:extLst>
        </c:ser>
        <c:ser>
          <c:idx val="2"/>
          <c:order val="1"/>
          <c:tx>
            <c:strRef>
              <c:f>POL!$A$36</c:f>
              <c:strCache>
                <c:ptCount val="1"/>
                <c:pt idx="0">
                  <c:v>Admin</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POL!$B$36:$L$36</c:f>
              <c:numCache>
                <c:formatCode>_(* #,##0.00_);_(* \(#,##0.00\);_(* "-"??_);_(@_)</c:formatCode>
                <c:ptCount val="11"/>
                <c:pt idx="0">
                  <c:v>6</c:v>
                </c:pt>
                <c:pt idx="1">
                  <c:v>5</c:v>
                </c:pt>
                <c:pt idx="2">
                  <c:v>5</c:v>
                </c:pt>
                <c:pt idx="3">
                  <c:v>5</c:v>
                </c:pt>
                <c:pt idx="4">
                  <c:v>5</c:v>
                </c:pt>
                <c:pt idx="5">
                  <c:v>5</c:v>
                </c:pt>
                <c:pt idx="6" formatCode="_(* #,##0.0_);_(* \(#,##0.0\);_(* &quot;-&quot;??_);_(@_)">
                  <c:v>7</c:v>
                </c:pt>
                <c:pt idx="7" formatCode="_(* #,##0.0_);_(* \(#,##0.0\);_(* &quot;-&quot;??_);_(@_)">
                  <c:v>7</c:v>
                </c:pt>
                <c:pt idx="8" formatCode="_(* #,##0.0_);_(* \(#,##0.0\);_(* &quot;-&quot;??_);_(@_)">
                  <c:v>8</c:v>
                </c:pt>
                <c:pt idx="9" formatCode="_(* #,##0.0_);_(* \(#,##0.0\);_(* &quot;-&quot;??_);_(@_)">
                  <c:v>8</c:v>
                </c:pt>
                <c:pt idx="10" formatCode="_(* #,##0.0_);_(* \(#,##0.0\);_(* &quot;-&quot;??_);_(@_)">
                  <c:v>8</c:v>
                </c:pt>
              </c:numCache>
            </c:numRef>
          </c:val>
          <c:smooth val="0"/>
          <c:extLst>
            <c:ext xmlns:c16="http://schemas.microsoft.com/office/drawing/2014/chart" uri="{C3380CC4-5D6E-409C-BE32-E72D297353CC}">
              <c16:uniqueId val="{00000001-B2CE-4511-A094-9B799E796687}"/>
            </c:ext>
          </c:extLst>
        </c:ser>
        <c:ser>
          <c:idx val="4"/>
          <c:order val="2"/>
          <c:tx>
            <c:strRef>
              <c:f>POL!$A$37</c:f>
              <c:strCache>
                <c:ptCount val="1"/>
                <c:pt idx="0">
                  <c:v>Info Svc</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POL!$B$37:$L$37</c:f>
              <c:numCache>
                <c:formatCode>_(* #,##0.00_);_(* \(#,##0.00\);_(* "-"??_);_(@_)</c:formatCode>
                <c:ptCount val="11"/>
                <c:pt idx="0">
                  <c:v>33</c:v>
                </c:pt>
                <c:pt idx="1">
                  <c:v>31</c:v>
                </c:pt>
                <c:pt idx="2">
                  <c:v>31</c:v>
                </c:pt>
                <c:pt idx="3">
                  <c:v>31</c:v>
                </c:pt>
                <c:pt idx="4">
                  <c:v>31</c:v>
                </c:pt>
                <c:pt idx="5">
                  <c:v>33</c:v>
                </c:pt>
                <c:pt idx="6" formatCode="_(* #,##0.0_);_(* \(#,##0.0\);_(* &quot;-&quot;??_);_(@_)">
                  <c:v>34</c:v>
                </c:pt>
                <c:pt idx="7" formatCode="_(* #,##0.0_);_(* \(#,##0.0\);_(* &quot;-&quot;??_);_(@_)">
                  <c:v>35</c:v>
                </c:pt>
                <c:pt idx="8" formatCode="_(* #,##0.0_);_(* \(#,##0.0\);_(* &quot;-&quot;??_);_(@_)">
                  <c:v>36</c:v>
                </c:pt>
                <c:pt idx="9" formatCode="_(* #,##0.0_);_(* \(#,##0.0\);_(* &quot;-&quot;??_);_(@_)">
                  <c:v>36</c:v>
                </c:pt>
                <c:pt idx="10" formatCode="_(* #,##0.0_);_(* \(#,##0.0\);_(* &quot;-&quot;??_);_(@_)">
                  <c:v>36</c:v>
                </c:pt>
              </c:numCache>
            </c:numRef>
          </c:val>
          <c:smooth val="0"/>
          <c:extLst>
            <c:ext xmlns:c16="http://schemas.microsoft.com/office/drawing/2014/chart" uri="{C3380CC4-5D6E-409C-BE32-E72D297353CC}">
              <c16:uniqueId val="{00000002-B2CE-4511-A094-9B799E796687}"/>
            </c:ext>
          </c:extLst>
        </c:ser>
        <c:ser>
          <c:idx val="6"/>
          <c:order val="3"/>
          <c:tx>
            <c:strRef>
              <c:f>POL!$A$38</c:f>
              <c:strCache>
                <c:ptCount val="1"/>
                <c:pt idx="0">
                  <c:v>Ops</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POL!$B$38:$L$38</c:f>
              <c:numCache>
                <c:formatCode>_(* #,##0.00_);_(* \(#,##0.00\);_(* "-"??_);_(@_)</c:formatCode>
                <c:ptCount val="11"/>
                <c:pt idx="0">
                  <c:v>72</c:v>
                </c:pt>
                <c:pt idx="1">
                  <c:v>71</c:v>
                </c:pt>
                <c:pt idx="2">
                  <c:v>69</c:v>
                </c:pt>
                <c:pt idx="3">
                  <c:v>69</c:v>
                </c:pt>
                <c:pt idx="4">
                  <c:v>71</c:v>
                </c:pt>
                <c:pt idx="5">
                  <c:v>73</c:v>
                </c:pt>
                <c:pt idx="6" formatCode="_(* #,##0.0_);_(* \(#,##0.0\);_(* &quot;-&quot;??_);_(@_)">
                  <c:v>75</c:v>
                </c:pt>
                <c:pt idx="7" formatCode="_(* #,##0.0_);_(* \(#,##0.0\);_(* &quot;-&quot;??_);_(@_)">
                  <c:v>79</c:v>
                </c:pt>
                <c:pt idx="8" formatCode="_(* #,##0.0_);_(* \(#,##0.0\);_(* &quot;-&quot;??_);_(@_)">
                  <c:v>79</c:v>
                </c:pt>
                <c:pt idx="9" formatCode="_(* #,##0.0_);_(* \(#,##0.0\);_(* &quot;-&quot;??_);_(@_)">
                  <c:v>84</c:v>
                </c:pt>
                <c:pt idx="10" formatCode="_(* #,##0.0_);_(* \(#,##0.0\);_(* &quot;-&quot;??_);_(@_)">
                  <c:v>84</c:v>
                </c:pt>
              </c:numCache>
            </c:numRef>
          </c:val>
          <c:smooth val="0"/>
          <c:extLst>
            <c:ext xmlns:c16="http://schemas.microsoft.com/office/drawing/2014/chart" uri="{C3380CC4-5D6E-409C-BE32-E72D297353CC}">
              <c16:uniqueId val="{00000003-B2CE-4511-A094-9B799E796687}"/>
            </c:ext>
          </c:extLst>
        </c:ser>
        <c:dLbls>
          <c:showLegendKey val="0"/>
          <c:showVal val="0"/>
          <c:showCatName val="0"/>
          <c:showSerName val="0"/>
          <c:showPercent val="0"/>
          <c:showBubbleSize val="0"/>
        </c:dLbls>
        <c:marker val="1"/>
        <c:smooth val="0"/>
        <c:axId val="-2139578600"/>
        <c:axId val="-2139575416"/>
      </c:lineChart>
      <c:catAx>
        <c:axId val="-2139578600"/>
        <c:scaling>
          <c:orientation val="minMax"/>
        </c:scaling>
        <c:delete val="0"/>
        <c:axPos val="b"/>
        <c:numFmt formatCode="General" sourceLinked="1"/>
        <c:majorTickMark val="out"/>
        <c:minorTickMark val="none"/>
        <c:tickLblPos val="nextTo"/>
        <c:crossAx val="-2139575416"/>
        <c:crosses val="autoZero"/>
        <c:auto val="1"/>
        <c:lblAlgn val="ctr"/>
        <c:lblOffset val="100"/>
        <c:noMultiLvlLbl val="0"/>
      </c:catAx>
      <c:valAx>
        <c:axId val="-2139575416"/>
        <c:scaling>
          <c:orientation val="minMax"/>
        </c:scaling>
        <c:delete val="0"/>
        <c:axPos val="l"/>
        <c:majorGridlines/>
        <c:numFmt formatCode="_(* #,##0.0_);_(* \(#,##0.0\);_(* &quot;-&quot;??_);_(@_)" sourceLinked="1"/>
        <c:majorTickMark val="out"/>
        <c:minorTickMark val="none"/>
        <c:tickLblPos val="nextTo"/>
        <c:crossAx val="-2139578600"/>
        <c:crosses val="autoZero"/>
        <c:crossBetween val="between"/>
      </c:valAx>
      <c:spPr>
        <a:noFill/>
        <a:ln w="25400">
          <a:noFill/>
        </a:ln>
      </c:spPr>
    </c:plotArea>
    <c:legend>
      <c:legendPos val="b"/>
      <c:layout>
        <c:manualLayout>
          <c:xMode val="edge"/>
          <c:yMode val="edge"/>
          <c:x val="0.26985004317457101"/>
          <c:y val="0.89834479199613804"/>
          <c:w val="0.463557157146888"/>
          <c:h val="6.7828569526060797E-2"/>
        </c:manualLayout>
      </c:layout>
      <c:overlay val="0"/>
    </c:legend>
    <c:plotVisOnly val="1"/>
    <c:dispBlanksAs val="gap"/>
    <c:showDLblsOverMax val="0"/>
  </c:chart>
  <c:printSettings>
    <c:headerFooter/>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Admin</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POL!$B$52:$L$52</c:f>
              <c:numCache>
                <c:formatCode>_(* #,##0.00_);_(* \(#,##0.00\);_(* "-"??_);_(@_)</c:formatCode>
                <c:ptCount val="11"/>
              </c:numCache>
            </c:numRef>
          </c:val>
          <c:smooth val="0"/>
          <c:extLst>
            <c:ext xmlns:c16="http://schemas.microsoft.com/office/drawing/2014/chart" uri="{C3380CC4-5D6E-409C-BE32-E72D297353CC}">
              <c16:uniqueId val="{00000000-5F40-47DE-9D31-0E69D7DEA526}"/>
            </c:ext>
          </c:extLst>
        </c:ser>
        <c:ser>
          <c:idx val="1"/>
          <c:order val="1"/>
          <c:tx>
            <c:v>Info Svc</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POL!$B$53:$L$53</c:f>
              <c:numCache>
                <c:formatCode>_(* #,##0.00_);_(* \(#,##0.00\);_(* "-"??_);_(@_)</c:formatCode>
                <c:ptCount val="11"/>
              </c:numCache>
            </c:numRef>
          </c:val>
          <c:smooth val="0"/>
          <c:extLst>
            <c:ext xmlns:c16="http://schemas.microsoft.com/office/drawing/2014/chart" uri="{C3380CC4-5D6E-409C-BE32-E72D297353CC}">
              <c16:uniqueId val="{00000001-5F40-47DE-9D31-0E69D7DEA526}"/>
            </c:ext>
          </c:extLst>
        </c:ser>
        <c:ser>
          <c:idx val="2"/>
          <c:order val="2"/>
          <c:tx>
            <c:v>Ops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2-5F40-47DE-9D31-0E69D7DEA526}"/>
            </c:ext>
          </c:extLst>
        </c:ser>
        <c:ser>
          <c:idx val="3"/>
          <c:order val="3"/>
          <c:tx>
            <c:v>Sup Ser</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POL!$B$55:$L$55</c:f>
              <c:numCache>
                <c:formatCode>_(* #,##0.00_);_(* \(#,##0.00\);_(* "-"??_);_(@_)</c:formatCode>
                <c:ptCount val="11"/>
              </c:numCache>
            </c:numRef>
          </c:val>
          <c:smooth val="0"/>
          <c:extLst>
            <c:ext xmlns:c16="http://schemas.microsoft.com/office/drawing/2014/chart" uri="{C3380CC4-5D6E-409C-BE32-E72D297353CC}">
              <c16:uniqueId val="{00000003-5F40-47DE-9D31-0E69D7DEA526}"/>
            </c:ext>
          </c:extLst>
        </c:ser>
        <c:dLbls>
          <c:showLegendKey val="0"/>
          <c:showVal val="0"/>
          <c:showCatName val="0"/>
          <c:showSerName val="0"/>
          <c:showPercent val="0"/>
          <c:showBubbleSize val="0"/>
        </c:dLbls>
        <c:marker val="1"/>
        <c:smooth val="0"/>
        <c:axId val="-2139539336"/>
        <c:axId val="-2139536152"/>
      </c:lineChart>
      <c:catAx>
        <c:axId val="-2139539336"/>
        <c:scaling>
          <c:orientation val="minMax"/>
        </c:scaling>
        <c:delete val="0"/>
        <c:axPos val="b"/>
        <c:numFmt formatCode="General" sourceLinked="1"/>
        <c:majorTickMark val="out"/>
        <c:minorTickMark val="none"/>
        <c:tickLblPos val="nextTo"/>
        <c:crossAx val="-2139536152"/>
        <c:crosses val="autoZero"/>
        <c:auto val="1"/>
        <c:lblAlgn val="ctr"/>
        <c:lblOffset val="100"/>
        <c:noMultiLvlLbl val="0"/>
      </c:catAx>
      <c:valAx>
        <c:axId val="-2139536152"/>
        <c:scaling>
          <c:orientation val="minMax"/>
        </c:scaling>
        <c:delete val="0"/>
        <c:axPos val="l"/>
        <c:majorGridlines/>
        <c:numFmt formatCode="_(* #,##0.00_);_(* \(#,##0.00\);_(* &quot;-&quot;??_);_(@_)" sourceLinked="1"/>
        <c:majorTickMark val="out"/>
        <c:minorTickMark val="none"/>
        <c:tickLblPos val="nextTo"/>
        <c:crossAx val="-2139539336"/>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POL!$A$40</c:f>
              <c:strCache>
                <c:ptCount val="1"/>
                <c:pt idx="0">
                  <c:v>FTE Total</c:v>
                </c:pt>
              </c:strCache>
            </c:strRef>
          </c:tx>
          <c:cat>
            <c:numRef>
              <c:f>POL!$B$5:$I$5</c:f>
              <c:numCache>
                <c:formatCode>General</c:formatCode>
                <c:ptCount val="8"/>
                <c:pt idx="0">
                  <c:v>2009</c:v>
                </c:pt>
                <c:pt idx="1">
                  <c:v>2010</c:v>
                </c:pt>
                <c:pt idx="2">
                  <c:v>2011</c:v>
                </c:pt>
                <c:pt idx="3">
                  <c:v>2012</c:v>
                </c:pt>
                <c:pt idx="4">
                  <c:v>2013</c:v>
                </c:pt>
                <c:pt idx="5">
                  <c:v>2014</c:v>
                </c:pt>
                <c:pt idx="6">
                  <c:v>2015</c:v>
                </c:pt>
                <c:pt idx="7">
                  <c:v>2016</c:v>
                </c:pt>
              </c:numCache>
            </c:numRef>
          </c:cat>
          <c:val>
            <c:numRef>
              <c:f>POL!$B$40:$H$40</c:f>
              <c:numCache>
                <c:formatCode>_(* #,##0.0_);_(* \(#,##0.0\);_(* "-"??_);_(@_)</c:formatCode>
                <c:ptCount val="7"/>
                <c:pt idx="0">
                  <c:v>136</c:v>
                </c:pt>
                <c:pt idx="1">
                  <c:v>134</c:v>
                </c:pt>
                <c:pt idx="2">
                  <c:v>134</c:v>
                </c:pt>
                <c:pt idx="3">
                  <c:v>133.75</c:v>
                </c:pt>
                <c:pt idx="4">
                  <c:v>134.5</c:v>
                </c:pt>
                <c:pt idx="5">
                  <c:v>140</c:v>
                </c:pt>
                <c:pt idx="6">
                  <c:v>146</c:v>
                </c:pt>
              </c:numCache>
            </c:numRef>
          </c:val>
          <c:smooth val="0"/>
          <c:extLst>
            <c:ext xmlns:c16="http://schemas.microsoft.com/office/drawing/2014/chart" uri="{C3380CC4-5D6E-409C-BE32-E72D297353CC}">
              <c16:uniqueId val="{00000000-AF25-4332-BD68-3C5CEEB666C0}"/>
            </c:ext>
          </c:extLst>
        </c:ser>
        <c:dLbls>
          <c:showLegendKey val="0"/>
          <c:showVal val="0"/>
          <c:showCatName val="0"/>
          <c:showSerName val="0"/>
          <c:showPercent val="0"/>
          <c:showBubbleSize val="0"/>
        </c:dLbls>
        <c:marker val="1"/>
        <c:smooth val="0"/>
        <c:axId val="-2139515144"/>
        <c:axId val="-2139512072"/>
      </c:lineChart>
      <c:catAx>
        <c:axId val="-2139515144"/>
        <c:scaling>
          <c:orientation val="minMax"/>
        </c:scaling>
        <c:delete val="0"/>
        <c:axPos val="b"/>
        <c:numFmt formatCode="General" sourceLinked="1"/>
        <c:majorTickMark val="out"/>
        <c:minorTickMark val="none"/>
        <c:tickLblPos val="nextTo"/>
        <c:crossAx val="-2139512072"/>
        <c:crosses val="autoZero"/>
        <c:auto val="1"/>
        <c:lblAlgn val="ctr"/>
        <c:lblOffset val="100"/>
        <c:noMultiLvlLbl val="0"/>
      </c:catAx>
      <c:valAx>
        <c:axId val="-2139512072"/>
        <c:scaling>
          <c:orientation val="minMax"/>
        </c:scaling>
        <c:delete val="0"/>
        <c:axPos val="l"/>
        <c:majorGridlines/>
        <c:numFmt formatCode="_(* #,##0.0_);_(* \(#,##0.0\);_(* &quot;-&quot;??_);_(@_)" sourceLinked="1"/>
        <c:majorTickMark val="out"/>
        <c:minorTickMark val="none"/>
        <c:tickLblPos val="nextTo"/>
        <c:crossAx val="-2139515144"/>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POL!$A$30</c:f>
              <c:strCache>
                <c:ptCount val="1"/>
                <c:pt idx="0">
                  <c:v>FTE Total</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POL!$B$30:$L$30</c:f>
              <c:numCache>
                <c:formatCode>_(* #,##0.0_);_(* \(#,##0.0\);_(* "-"??_);_(@_)</c:formatCode>
                <c:ptCount val="11"/>
                <c:pt idx="0">
                  <c:v>136</c:v>
                </c:pt>
                <c:pt idx="1">
                  <c:v>134</c:v>
                </c:pt>
                <c:pt idx="2">
                  <c:v>134</c:v>
                </c:pt>
                <c:pt idx="3">
                  <c:v>133.75</c:v>
                </c:pt>
                <c:pt idx="4">
                  <c:v>134.5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8E2D-46F7-90F8-E68AFB6FF3C5}"/>
            </c:ext>
          </c:extLst>
        </c:ser>
        <c:ser>
          <c:idx val="1"/>
          <c:order val="1"/>
          <c:tx>
            <c:v>Ops FTEs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1-8E2D-46F7-90F8-E68AFB6FF3C5}"/>
            </c:ext>
          </c:extLst>
        </c:ser>
        <c:dLbls>
          <c:showLegendKey val="0"/>
          <c:showVal val="0"/>
          <c:showCatName val="0"/>
          <c:showSerName val="0"/>
          <c:showPercent val="0"/>
          <c:showBubbleSize val="0"/>
        </c:dLbls>
        <c:marker val="1"/>
        <c:smooth val="0"/>
        <c:axId val="-2139479752"/>
        <c:axId val="-2139476712"/>
      </c:lineChart>
      <c:catAx>
        <c:axId val="-2139479752"/>
        <c:scaling>
          <c:orientation val="minMax"/>
        </c:scaling>
        <c:delete val="0"/>
        <c:axPos val="b"/>
        <c:numFmt formatCode="General" sourceLinked="1"/>
        <c:majorTickMark val="out"/>
        <c:minorTickMark val="none"/>
        <c:tickLblPos val="nextTo"/>
        <c:crossAx val="-2139476712"/>
        <c:crosses val="autoZero"/>
        <c:auto val="1"/>
        <c:lblAlgn val="ctr"/>
        <c:lblOffset val="100"/>
        <c:noMultiLvlLbl val="0"/>
      </c:catAx>
      <c:valAx>
        <c:axId val="-2139476712"/>
        <c:scaling>
          <c:orientation val="minMax"/>
        </c:scaling>
        <c:delete val="0"/>
        <c:axPos val="l"/>
        <c:majorGridlines/>
        <c:numFmt formatCode="_(* #,##0.0_);_(* \(#,##0.0\);_(* &quot;-&quot;??_);_(@_)" sourceLinked="1"/>
        <c:majorTickMark val="out"/>
        <c:minorTickMark val="none"/>
        <c:tickLblPos val="nextTo"/>
        <c:crossAx val="-2139479752"/>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Admin</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POL!$B$52:$L$52</c:f>
              <c:numCache>
                <c:formatCode>_(* #,##0.00_);_(* \(#,##0.00\);_(* "-"??_);_(@_)</c:formatCode>
                <c:ptCount val="11"/>
              </c:numCache>
            </c:numRef>
          </c:val>
          <c:smooth val="0"/>
          <c:extLst>
            <c:ext xmlns:c16="http://schemas.microsoft.com/office/drawing/2014/chart" uri="{C3380CC4-5D6E-409C-BE32-E72D297353CC}">
              <c16:uniqueId val="{00000000-8F12-40AA-B3AE-98595CAC5893}"/>
            </c:ext>
          </c:extLst>
        </c:ser>
        <c:ser>
          <c:idx val="1"/>
          <c:order val="1"/>
          <c:tx>
            <c:v>Info Svc</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POL!$B$53:$L$53</c:f>
              <c:numCache>
                <c:formatCode>_(* #,##0.00_);_(* \(#,##0.00\);_(* "-"??_);_(@_)</c:formatCode>
                <c:ptCount val="11"/>
              </c:numCache>
            </c:numRef>
          </c:val>
          <c:smooth val="0"/>
          <c:extLst>
            <c:ext xmlns:c16="http://schemas.microsoft.com/office/drawing/2014/chart" uri="{C3380CC4-5D6E-409C-BE32-E72D297353CC}">
              <c16:uniqueId val="{00000001-8F12-40AA-B3AE-98595CAC5893}"/>
            </c:ext>
          </c:extLst>
        </c:ser>
        <c:ser>
          <c:idx val="2"/>
          <c:order val="2"/>
          <c:tx>
            <c:v>Ops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2-8F12-40AA-B3AE-98595CAC5893}"/>
            </c:ext>
          </c:extLst>
        </c:ser>
        <c:ser>
          <c:idx val="3"/>
          <c:order val="3"/>
          <c:tx>
            <c:v>Sup Ser</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POL!$B$55:$L$55</c:f>
              <c:numCache>
                <c:formatCode>_(* #,##0.00_);_(* \(#,##0.00\);_(* "-"??_);_(@_)</c:formatCode>
                <c:ptCount val="11"/>
              </c:numCache>
            </c:numRef>
          </c:val>
          <c:smooth val="0"/>
          <c:extLst>
            <c:ext xmlns:c16="http://schemas.microsoft.com/office/drawing/2014/chart" uri="{C3380CC4-5D6E-409C-BE32-E72D297353CC}">
              <c16:uniqueId val="{00000003-8F12-40AA-B3AE-98595CAC5893}"/>
            </c:ext>
          </c:extLst>
        </c:ser>
        <c:dLbls>
          <c:showLegendKey val="0"/>
          <c:showVal val="0"/>
          <c:showCatName val="0"/>
          <c:showSerName val="0"/>
          <c:showPercent val="0"/>
          <c:showBubbleSize val="0"/>
        </c:dLbls>
        <c:marker val="1"/>
        <c:smooth val="0"/>
        <c:axId val="-2114306168"/>
        <c:axId val="-2141723496"/>
      </c:lineChart>
      <c:catAx>
        <c:axId val="-2114306168"/>
        <c:scaling>
          <c:orientation val="minMax"/>
        </c:scaling>
        <c:delete val="0"/>
        <c:axPos val="b"/>
        <c:numFmt formatCode="General" sourceLinked="1"/>
        <c:majorTickMark val="out"/>
        <c:minorTickMark val="none"/>
        <c:tickLblPos val="nextTo"/>
        <c:crossAx val="-2141723496"/>
        <c:crosses val="autoZero"/>
        <c:auto val="1"/>
        <c:lblAlgn val="ctr"/>
        <c:lblOffset val="100"/>
        <c:noMultiLvlLbl val="0"/>
      </c:catAx>
      <c:valAx>
        <c:axId val="-2141723496"/>
        <c:scaling>
          <c:orientation val="minMax"/>
        </c:scaling>
        <c:delete val="0"/>
        <c:axPos val="l"/>
        <c:majorGridlines/>
        <c:numFmt formatCode="_(* #,##0.00_);_(* \(#,##0.00\);_(* &quot;-&quot;??_);_(@_)" sourceLinked="1"/>
        <c:majorTickMark val="out"/>
        <c:minorTickMark val="none"/>
        <c:tickLblPos val="nextTo"/>
        <c:crossAx val="-211430616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POL!$B$72:$L$72</c:f>
              <c:numCache>
                <c:formatCode>_("$"* #,##0_);_("$"* \(#,##0\);_("$"* "-"??_);_(@_)</c:formatCode>
                <c:ptCount val="11"/>
              </c:numCache>
            </c:numRef>
          </c:val>
          <c:smooth val="0"/>
          <c:extLst>
            <c:ext xmlns:c16="http://schemas.microsoft.com/office/drawing/2014/chart" uri="{C3380CC4-5D6E-409C-BE32-E72D297353CC}">
              <c16:uniqueId val="{00000000-AE8A-4D0D-88BD-A106F519EB8B}"/>
            </c:ext>
          </c:extLst>
        </c:ser>
        <c:ser>
          <c:idx val="1"/>
          <c:order val="1"/>
          <c:tx>
            <c:v>Tot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POL!$B$74:$L$74</c:f>
              <c:numCache>
                <c:formatCode>_("$"* #,##0_);_("$"* \(#,##0\);_("$"* "-"??_);_(@_)</c:formatCode>
                <c:ptCount val="11"/>
              </c:numCache>
            </c:numRef>
          </c:val>
          <c:smooth val="0"/>
          <c:extLst>
            <c:ext xmlns:c16="http://schemas.microsoft.com/office/drawing/2014/chart" uri="{C3380CC4-5D6E-409C-BE32-E72D297353CC}">
              <c16:uniqueId val="{00000001-AE8A-4D0D-88BD-A106F519EB8B}"/>
            </c:ext>
          </c:extLst>
        </c:ser>
        <c:dLbls>
          <c:showLegendKey val="0"/>
          <c:showVal val="0"/>
          <c:showCatName val="0"/>
          <c:showSerName val="0"/>
          <c:showPercent val="0"/>
          <c:showBubbleSize val="0"/>
        </c:dLbls>
        <c:marker val="1"/>
        <c:smooth val="0"/>
        <c:axId val="-2139448808"/>
        <c:axId val="-2139445768"/>
      </c:lineChart>
      <c:catAx>
        <c:axId val="-2139448808"/>
        <c:scaling>
          <c:orientation val="minMax"/>
        </c:scaling>
        <c:delete val="0"/>
        <c:axPos val="b"/>
        <c:numFmt formatCode="General" sourceLinked="1"/>
        <c:majorTickMark val="out"/>
        <c:minorTickMark val="none"/>
        <c:tickLblPos val="nextTo"/>
        <c:crossAx val="-2139445768"/>
        <c:crosses val="autoZero"/>
        <c:auto val="1"/>
        <c:lblAlgn val="ctr"/>
        <c:lblOffset val="100"/>
        <c:noMultiLvlLbl val="0"/>
      </c:catAx>
      <c:valAx>
        <c:axId val="-2139445768"/>
        <c:scaling>
          <c:orientation val="minMax"/>
        </c:scaling>
        <c:delete val="0"/>
        <c:axPos val="l"/>
        <c:majorGridlines/>
        <c:numFmt formatCode="_(&quot;$&quot;* #,##0_);_(&quot;$&quot;* \(#,##0\);_(&quot;$&quot;* &quot;-&quot;??_);_(@_)" sourceLinked="1"/>
        <c:majorTickMark val="out"/>
        <c:minorTickMark val="none"/>
        <c:tickLblPos val="nextTo"/>
        <c:crossAx val="-213944880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9251016002032002E-2"/>
          <c:y val="1.8749999999999999E-2"/>
          <c:w val="0.88655543561087102"/>
          <c:h val="0.79240772637795298"/>
        </c:manualLayout>
      </c:layout>
      <c:lineChart>
        <c:grouping val="standard"/>
        <c:varyColors val="0"/>
        <c:ser>
          <c:idx val="0"/>
          <c:order val="0"/>
          <c:tx>
            <c:strRef>
              <c:f>POL!$A$35</c:f>
              <c:strCache>
                <c:ptCount val="1"/>
                <c:pt idx="0">
                  <c:v>Employee FTE </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POL!$B$35:$L$35</c:f>
              <c:numCache>
                <c:formatCode>_(* #,##0.0_);_(* \(#,##0.0\);_(* "-"??_);_(@_)</c:formatCode>
                <c:ptCount val="11"/>
                <c:pt idx="8">
                  <c:v>158.5</c:v>
                </c:pt>
                <c:pt idx="9">
                  <c:v>164.5</c:v>
                </c:pt>
                <c:pt idx="10">
                  <c:v>164.5</c:v>
                </c:pt>
              </c:numCache>
            </c:numRef>
          </c:val>
          <c:smooth val="0"/>
          <c:extLst>
            <c:ext xmlns:c16="http://schemas.microsoft.com/office/drawing/2014/chart" uri="{C3380CC4-5D6E-409C-BE32-E72D297353CC}">
              <c16:uniqueId val="{00000000-8C10-4BD0-91D0-E5CE06E5558F}"/>
            </c:ext>
          </c:extLst>
        </c:ser>
        <c:ser>
          <c:idx val="2"/>
          <c:order val="1"/>
          <c:tx>
            <c:strRef>
              <c:f>POL!$A$36</c:f>
              <c:strCache>
                <c:ptCount val="1"/>
                <c:pt idx="0">
                  <c:v>Admin</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POL!$B$36:$L$36</c:f>
              <c:numCache>
                <c:formatCode>_(* #,##0.00_);_(* \(#,##0.00\);_(* "-"??_);_(@_)</c:formatCode>
                <c:ptCount val="11"/>
                <c:pt idx="0">
                  <c:v>6</c:v>
                </c:pt>
                <c:pt idx="1">
                  <c:v>5</c:v>
                </c:pt>
                <c:pt idx="2">
                  <c:v>5</c:v>
                </c:pt>
                <c:pt idx="3">
                  <c:v>5</c:v>
                </c:pt>
                <c:pt idx="4">
                  <c:v>5</c:v>
                </c:pt>
                <c:pt idx="5">
                  <c:v>5</c:v>
                </c:pt>
                <c:pt idx="6" formatCode="_(* #,##0.0_);_(* \(#,##0.0\);_(* &quot;-&quot;??_);_(@_)">
                  <c:v>7</c:v>
                </c:pt>
                <c:pt idx="7" formatCode="_(* #,##0.0_);_(* \(#,##0.0\);_(* &quot;-&quot;??_);_(@_)">
                  <c:v>7</c:v>
                </c:pt>
                <c:pt idx="8" formatCode="_(* #,##0.0_);_(* \(#,##0.0\);_(* &quot;-&quot;??_);_(@_)">
                  <c:v>8</c:v>
                </c:pt>
                <c:pt idx="9" formatCode="_(* #,##0.0_);_(* \(#,##0.0\);_(* &quot;-&quot;??_);_(@_)">
                  <c:v>8</c:v>
                </c:pt>
                <c:pt idx="10" formatCode="_(* #,##0.0_);_(* \(#,##0.0\);_(* &quot;-&quot;??_);_(@_)">
                  <c:v>8</c:v>
                </c:pt>
              </c:numCache>
            </c:numRef>
          </c:val>
          <c:smooth val="0"/>
          <c:extLst>
            <c:ext xmlns:c16="http://schemas.microsoft.com/office/drawing/2014/chart" uri="{C3380CC4-5D6E-409C-BE32-E72D297353CC}">
              <c16:uniqueId val="{00000001-8C10-4BD0-91D0-E5CE06E5558F}"/>
            </c:ext>
          </c:extLst>
        </c:ser>
        <c:ser>
          <c:idx val="4"/>
          <c:order val="2"/>
          <c:tx>
            <c:strRef>
              <c:f>POL!$A$37</c:f>
              <c:strCache>
                <c:ptCount val="1"/>
                <c:pt idx="0">
                  <c:v>Info Svc</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POL!$B$37:$L$37</c:f>
              <c:numCache>
                <c:formatCode>_(* #,##0.00_);_(* \(#,##0.00\);_(* "-"??_);_(@_)</c:formatCode>
                <c:ptCount val="11"/>
                <c:pt idx="0">
                  <c:v>33</c:v>
                </c:pt>
                <c:pt idx="1">
                  <c:v>31</c:v>
                </c:pt>
                <c:pt idx="2">
                  <c:v>31</c:v>
                </c:pt>
                <c:pt idx="3">
                  <c:v>31</c:v>
                </c:pt>
                <c:pt idx="4">
                  <c:v>31</c:v>
                </c:pt>
                <c:pt idx="5">
                  <c:v>33</c:v>
                </c:pt>
                <c:pt idx="6" formatCode="_(* #,##0.0_);_(* \(#,##0.0\);_(* &quot;-&quot;??_);_(@_)">
                  <c:v>34</c:v>
                </c:pt>
                <c:pt idx="7" formatCode="_(* #,##0.0_);_(* \(#,##0.0\);_(* &quot;-&quot;??_);_(@_)">
                  <c:v>35</c:v>
                </c:pt>
                <c:pt idx="8" formatCode="_(* #,##0.0_);_(* \(#,##0.0\);_(* &quot;-&quot;??_);_(@_)">
                  <c:v>36</c:v>
                </c:pt>
                <c:pt idx="9" formatCode="_(* #,##0.0_);_(* \(#,##0.0\);_(* &quot;-&quot;??_);_(@_)">
                  <c:v>36</c:v>
                </c:pt>
                <c:pt idx="10" formatCode="_(* #,##0.0_);_(* \(#,##0.0\);_(* &quot;-&quot;??_);_(@_)">
                  <c:v>36</c:v>
                </c:pt>
              </c:numCache>
            </c:numRef>
          </c:val>
          <c:smooth val="0"/>
          <c:extLst>
            <c:ext xmlns:c16="http://schemas.microsoft.com/office/drawing/2014/chart" uri="{C3380CC4-5D6E-409C-BE32-E72D297353CC}">
              <c16:uniqueId val="{00000002-8C10-4BD0-91D0-E5CE06E5558F}"/>
            </c:ext>
          </c:extLst>
        </c:ser>
        <c:ser>
          <c:idx val="6"/>
          <c:order val="3"/>
          <c:tx>
            <c:strRef>
              <c:f>POL!$A$38</c:f>
              <c:strCache>
                <c:ptCount val="1"/>
                <c:pt idx="0">
                  <c:v>Ops</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POL!$B$38:$L$38</c:f>
              <c:numCache>
                <c:formatCode>_(* #,##0.00_);_(* \(#,##0.00\);_(* "-"??_);_(@_)</c:formatCode>
                <c:ptCount val="11"/>
                <c:pt idx="0">
                  <c:v>72</c:v>
                </c:pt>
                <c:pt idx="1">
                  <c:v>71</c:v>
                </c:pt>
                <c:pt idx="2">
                  <c:v>69</c:v>
                </c:pt>
                <c:pt idx="3">
                  <c:v>69</c:v>
                </c:pt>
                <c:pt idx="4">
                  <c:v>71</c:v>
                </c:pt>
                <c:pt idx="5">
                  <c:v>73</c:v>
                </c:pt>
                <c:pt idx="6" formatCode="_(* #,##0.0_);_(* \(#,##0.0\);_(* &quot;-&quot;??_);_(@_)">
                  <c:v>75</c:v>
                </c:pt>
                <c:pt idx="7" formatCode="_(* #,##0.0_);_(* \(#,##0.0\);_(* &quot;-&quot;??_);_(@_)">
                  <c:v>79</c:v>
                </c:pt>
                <c:pt idx="8" formatCode="_(* #,##0.0_);_(* \(#,##0.0\);_(* &quot;-&quot;??_);_(@_)">
                  <c:v>79</c:v>
                </c:pt>
                <c:pt idx="9" formatCode="_(* #,##0.0_);_(* \(#,##0.0\);_(* &quot;-&quot;??_);_(@_)">
                  <c:v>84</c:v>
                </c:pt>
                <c:pt idx="10" formatCode="_(* #,##0.0_);_(* \(#,##0.0\);_(* &quot;-&quot;??_);_(@_)">
                  <c:v>84</c:v>
                </c:pt>
              </c:numCache>
            </c:numRef>
          </c:val>
          <c:smooth val="0"/>
          <c:extLst>
            <c:ext xmlns:c16="http://schemas.microsoft.com/office/drawing/2014/chart" uri="{C3380CC4-5D6E-409C-BE32-E72D297353CC}">
              <c16:uniqueId val="{00000003-8C10-4BD0-91D0-E5CE06E5558F}"/>
            </c:ext>
          </c:extLst>
        </c:ser>
        <c:dLbls>
          <c:showLegendKey val="0"/>
          <c:showVal val="0"/>
          <c:showCatName val="0"/>
          <c:showSerName val="0"/>
          <c:showPercent val="0"/>
          <c:showBubbleSize val="0"/>
        </c:dLbls>
        <c:marker val="1"/>
        <c:smooth val="0"/>
        <c:axId val="-2139404888"/>
        <c:axId val="-2139401704"/>
      </c:lineChart>
      <c:catAx>
        <c:axId val="-2139404888"/>
        <c:scaling>
          <c:orientation val="minMax"/>
        </c:scaling>
        <c:delete val="0"/>
        <c:axPos val="b"/>
        <c:numFmt formatCode="General" sourceLinked="1"/>
        <c:majorTickMark val="out"/>
        <c:minorTickMark val="none"/>
        <c:tickLblPos val="nextTo"/>
        <c:crossAx val="-2139401704"/>
        <c:crosses val="autoZero"/>
        <c:auto val="1"/>
        <c:lblAlgn val="ctr"/>
        <c:lblOffset val="100"/>
        <c:noMultiLvlLbl val="0"/>
      </c:catAx>
      <c:valAx>
        <c:axId val="-2139401704"/>
        <c:scaling>
          <c:orientation val="minMax"/>
        </c:scaling>
        <c:delete val="0"/>
        <c:axPos val="l"/>
        <c:majorGridlines/>
        <c:numFmt formatCode="_(* #,##0.0_);_(* \(#,##0.0\);_(* &quot;-&quot;??_);_(@_)" sourceLinked="1"/>
        <c:majorTickMark val="out"/>
        <c:minorTickMark val="none"/>
        <c:tickLblPos val="nextTo"/>
        <c:crossAx val="-2139404888"/>
        <c:crosses val="autoZero"/>
        <c:crossBetween val="between"/>
      </c:valAx>
      <c:spPr>
        <a:noFill/>
        <a:ln w="25400">
          <a:noFill/>
        </a:ln>
      </c:spPr>
    </c:plotArea>
    <c:legend>
      <c:legendPos val="b"/>
      <c:layout>
        <c:manualLayout>
          <c:xMode val="edge"/>
          <c:yMode val="edge"/>
          <c:x val="0.26985004317457101"/>
          <c:y val="0.89834479199613804"/>
          <c:w val="0.463557157146888"/>
          <c:h val="6.7828569526060797E-2"/>
        </c:manualLayout>
      </c:layout>
      <c:overlay val="0"/>
    </c:legend>
    <c:plotVisOnly val="1"/>
    <c:dispBlanksAs val="gap"/>
    <c:showDLblsOverMax val="0"/>
  </c:chart>
  <c:printSettings>
    <c:headerFooter/>
    <c:pageMargins b="1" l="0.75" r="0.7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Admin</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POL!$B$52:$L$52</c:f>
              <c:numCache>
                <c:formatCode>_(* #,##0.00_);_(* \(#,##0.00\);_(* "-"??_);_(@_)</c:formatCode>
                <c:ptCount val="11"/>
              </c:numCache>
            </c:numRef>
          </c:val>
          <c:smooth val="0"/>
          <c:extLst>
            <c:ext xmlns:c16="http://schemas.microsoft.com/office/drawing/2014/chart" uri="{C3380CC4-5D6E-409C-BE32-E72D297353CC}">
              <c16:uniqueId val="{00000000-C986-427D-88B3-90B66BF24DF2}"/>
            </c:ext>
          </c:extLst>
        </c:ser>
        <c:ser>
          <c:idx val="1"/>
          <c:order val="1"/>
          <c:tx>
            <c:v>Info Svc</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POL!$B$53:$L$53</c:f>
              <c:numCache>
                <c:formatCode>_(* #,##0.00_);_(* \(#,##0.00\);_(* "-"??_);_(@_)</c:formatCode>
                <c:ptCount val="11"/>
              </c:numCache>
            </c:numRef>
          </c:val>
          <c:smooth val="0"/>
          <c:extLst>
            <c:ext xmlns:c16="http://schemas.microsoft.com/office/drawing/2014/chart" uri="{C3380CC4-5D6E-409C-BE32-E72D297353CC}">
              <c16:uniqueId val="{00000001-C986-427D-88B3-90B66BF24DF2}"/>
            </c:ext>
          </c:extLst>
        </c:ser>
        <c:ser>
          <c:idx val="2"/>
          <c:order val="2"/>
          <c:tx>
            <c:v>Ops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2-C986-427D-88B3-90B66BF24DF2}"/>
            </c:ext>
          </c:extLst>
        </c:ser>
        <c:ser>
          <c:idx val="3"/>
          <c:order val="3"/>
          <c:tx>
            <c:v>Sup Ser</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POL!$B$55:$L$55</c:f>
              <c:numCache>
                <c:formatCode>_(* #,##0.00_);_(* \(#,##0.00\);_(* "-"??_);_(@_)</c:formatCode>
                <c:ptCount val="11"/>
              </c:numCache>
            </c:numRef>
          </c:val>
          <c:smooth val="0"/>
          <c:extLst>
            <c:ext xmlns:c16="http://schemas.microsoft.com/office/drawing/2014/chart" uri="{C3380CC4-5D6E-409C-BE32-E72D297353CC}">
              <c16:uniqueId val="{00000003-C986-427D-88B3-90B66BF24DF2}"/>
            </c:ext>
          </c:extLst>
        </c:ser>
        <c:dLbls>
          <c:showLegendKey val="0"/>
          <c:showVal val="0"/>
          <c:showCatName val="0"/>
          <c:showSerName val="0"/>
          <c:showPercent val="0"/>
          <c:showBubbleSize val="0"/>
        </c:dLbls>
        <c:marker val="1"/>
        <c:smooth val="0"/>
        <c:axId val="-2139365608"/>
        <c:axId val="-2139362424"/>
      </c:lineChart>
      <c:catAx>
        <c:axId val="-2139365608"/>
        <c:scaling>
          <c:orientation val="minMax"/>
        </c:scaling>
        <c:delete val="0"/>
        <c:axPos val="b"/>
        <c:numFmt formatCode="General" sourceLinked="1"/>
        <c:majorTickMark val="out"/>
        <c:minorTickMark val="none"/>
        <c:tickLblPos val="nextTo"/>
        <c:crossAx val="-2139362424"/>
        <c:crosses val="autoZero"/>
        <c:auto val="1"/>
        <c:lblAlgn val="ctr"/>
        <c:lblOffset val="100"/>
        <c:noMultiLvlLbl val="0"/>
      </c:catAx>
      <c:valAx>
        <c:axId val="-2139362424"/>
        <c:scaling>
          <c:orientation val="minMax"/>
        </c:scaling>
        <c:delete val="0"/>
        <c:axPos val="l"/>
        <c:majorGridlines/>
        <c:numFmt formatCode="_(* #,##0.00_);_(* \(#,##0.00\);_(* &quot;-&quot;??_);_(@_)" sourceLinked="1"/>
        <c:majorTickMark val="out"/>
        <c:minorTickMark val="none"/>
        <c:tickLblPos val="nextTo"/>
        <c:crossAx val="-213936560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tx>
            <c:strRef>
              <c:f>POL!$A$40</c:f>
              <c:strCache>
                <c:ptCount val="1"/>
                <c:pt idx="0">
                  <c:v>FTE Total</c:v>
                </c:pt>
              </c:strCache>
            </c:strRef>
          </c:tx>
          <c:cat>
            <c:numRef>
              <c:f>POL!$B$5:$I$5</c:f>
              <c:numCache>
                <c:formatCode>General</c:formatCode>
                <c:ptCount val="8"/>
                <c:pt idx="0">
                  <c:v>2009</c:v>
                </c:pt>
                <c:pt idx="1">
                  <c:v>2010</c:v>
                </c:pt>
                <c:pt idx="2">
                  <c:v>2011</c:v>
                </c:pt>
                <c:pt idx="3">
                  <c:v>2012</c:v>
                </c:pt>
                <c:pt idx="4">
                  <c:v>2013</c:v>
                </c:pt>
                <c:pt idx="5">
                  <c:v>2014</c:v>
                </c:pt>
                <c:pt idx="6">
                  <c:v>2015</c:v>
                </c:pt>
                <c:pt idx="7">
                  <c:v>2016</c:v>
                </c:pt>
              </c:numCache>
            </c:numRef>
          </c:cat>
          <c:val>
            <c:numRef>
              <c:f>POL!$B$40:$H$40</c:f>
              <c:numCache>
                <c:formatCode>_(* #,##0.0_);_(* \(#,##0.0\);_(* "-"??_);_(@_)</c:formatCode>
                <c:ptCount val="7"/>
                <c:pt idx="0">
                  <c:v>136</c:v>
                </c:pt>
                <c:pt idx="1">
                  <c:v>134</c:v>
                </c:pt>
                <c:pt idx="2">
                  <c:v>134</c:v>
                </c:pt>
                <c:pt idx="3">
                  <c:v>133.75</c:v>
                </c:pt>
                <c:pt idx="4">
                  <c:v>134.5</c:v>
                </c:pt>
                <c:pt idx="5">
                  <c:v>140</c:v>
                </c:pt>
                <c:pt idx="6">
                  <c:v>146</c:v>
                </c:pt>
              </c:numCache>
            </c:numRef>
          </c:val>
          <c:smooth val="0"/>
          <c:extLst>
            <c:ext xmlns:c16="http://schemas.microsoft.com/office/drawing/2014/chart" uri="{C3380CC4-5D6E-409C-BE32-E72D297353CC}">
              <c16:uniqueId val="{00000000-91C5-447F-A6A7-49510A5BC345}"/>
            </c:ext>
          </c:extLst>
        </c:ser>
        <c:dLbls>
          <c:showLegendKey val="0"/>
          <c:showVal val="0"/>
          <c:showCatName val="0"/>
          <c:showSerName val="0"/>
          <c:showPercent val="0"/>
          <c:showBubbleSize val="0"/>
        </c:dLbls>
        <c:marker val="1"/>
        <c:smooth val="0"/>
        <c:axId val="-2139341608"/>
        <c:axId val="-2139338536"/>
      </c:lineChart>
      <c:catAx>
        <c:axId val="-2139341608"/>
        <c:scaling>
          <c:orientation val="minMax"/>
        </c:scaling>
        <c:delete val="0"/>
        <c:axPos val="b"/>
        <c:numFmt formatCode="General" sourceLinked="1"/>
        <c:majorTickMark val="out"/>
        <c:minorTickMark val="none"/>
        <c:tickLblPos val="nextTo"/>
        <c:crossAx val="-2139338536"/>
        <c:crosses val="autoZero"/>
        <c:auto val="1"/>
        <c:lblAlgn val="ctr"/>
        <c:lblOffset val="100"/>
        <c:noMultiLvlLbl val="0"/>
      </c:catAx>
      <c:valAx>
        <c:axId val="-2139338536"/>
        <c:scaling>
          <c:orientation val="minMax"/>
        </c:scaling>
        <c:delete val="0"/>
        <c:axPos val="l"/>
        <c:majorGridlines/>
        <c:numFmt formatCode="_(* #,##0.0_);_(* \(#,##0.0\);_(* &quot;-&quot;??_);_(@_)" sourceLinked="1"/>
        <c:majorTickMark val="out"/>
        <c:minorTickMark val="none"/>
        <c:tickLblPos val="nextTo"/>
        <c:crossAx val="-213934160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POL!$A$30</c:f>
              <c:strCache>
                <c:ptCount val="1"/>
                <c:pt idx="0">
                  <c:v>FTE Total</c:v>
                </c:pt>
              </c:strCache>
            </c:strRef>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POL!$B$30:$L$30</c:f>
              <c:numCache>
                <c:formatCode>_(* #,##0.0_);_(* \(#,##0.0\);_(* "-"??_);_(@_)</c:formatCode>
                <c:ptCount val="11"/>
                <c:pt idx="0">
                  <c:v>136</c:v>
                </c:pt>
                <c:pt idx="1">
                  <c:v>134</c:v>
                </c:pt>
                <c:pt idx="2">
                  <c:v>134</c:v>
                </c:pt>
                <c:pt idx="3">
                  <c:v>133.75</c:v>
                </c:pt>
                <c:pt idx="4">
                  <c:v>134.5</c:v>
                </c:pt>
                <c:pt idx="5">
                  <c:v>140</c:v>
                </c:pt>
                <c:pt idx="6">
                  <c:v>146</c:v>
                </c:pt>
                <c:pt idx="7">
                  <c:v>154</c:v>
                </c:pt>
                <c:pt idx="8">
                  <c:v>158.5</c:v>
                </c:pt>
                <c:pt idx="9">
                  <c:v>164.5</c:v>
                </c:pt>
                <c:pt idx="10">
                  <c:v>164.5</c:v>
                </c:pt>
              </c:numCache>
            </c:numRef>
          </c:val>
          <c:smooth val="0"/>
          <c:extLst>
            <c:ext xmlns:c16="http://schemas.microsoft.com/office/drawing/2014/chart" uri="{C3380CC4-5D6E-409C-BE32-E72D297353CC}">
              <c16:uniqueId val="{00000000-496E-40C3-974E-19198A4A2A0B}"/>
            </c:ext>
          </c:extLst>
        </c:ser>
        <c:ser>
          <c:idx val="1"/>
          <c:order val="1"/>
          <c:tx>
            <c:v>Ops FTEs</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POL!$B$54:$L$54</c:f>
              <c:numCache>
                <c:formatCode>_(* #,##0.00_);_(* \(#,##0.00\);_(* "-"??_);_(@_)</c:formatCode>
                <c:ptCount val="11"/>
              </c:numCache>
            </c:numRef>
          </c:val>
          <c:smooth val="0"/>
          <c:extLst>
            <c:ext xmlns:c16="http://schemas.microsoft.com/office/drawing/2014/chart" uri="{C3380CC4-5D6E-409C-BE32-E72D297353CC}">
              <c16:uniqueId val="{00000001-496E-40C3-974E-19198A4A2A0B}"/>
            </c:ext>
          </c:extLst>
        </c:ser>
        <c:dLbls>
          <c:showLegendKey val="0"/>
          <c:showVal val="0"/>
          <c:showCatName val="0"/>
          <c:showSerName val="0"/>
          <c:showPercent val="0"/>
          <c:showBubbleSize val="0"/>
        </c:dLbls>
        <c:marker val="1"/>
        <c:smooth val="0"/>
        <c:axId val="-2139664568"/>
        <c:axId val="-2139674952"/>
      </c:lineChart>
      <c:catAx>
        <c:axId val="-2139664568"/>
        <c:scaling>
          <c:orientation val="minMax"/>
        </c:scaling>
        <c:delete val="0"/>
        <c:axPos val="b"/>
        <c:numFmt formatCode="General" sourceLinked="1"/>
        <c:majorTickMark val="out"/>
        <c:minorTickMark val="none"/>
        <c:tickLblPos val="nextTo"/>
        <c:crossAx val="-2139674952"/>
        <c:crosses val="autoZero"/>
        <c:auto val="1"/>
        <c:lblAlgn val="ctr"/>
        <c:lblOffset val="100"/>
        <c:noMultiLvlLbl val="0"/>
      </c:catAx>
      <c:valAx>
        <c:axId val="-2139674952"/>
        <c:scaling>
          <c:orientation val="minMax"/>
        </c:scaling>
        <c:delete val="0"/>
        <c:axPos val="l"/>
        <c:majorGridlines/>
        <c:numFmt formatCode="_(* #,##0.0_);_(* \(#,##0.0\);_(* &quot;-&quot;??_);_(@_)" sourceLinked="1"/>
        <c:majorTickMark val="out"/>
        <c:minorTickMark val="none"/>
        <c:tickLblPos val="nextTo"/>
        <c:crossAx val="-213966456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POL!$B$72:$L$72</c:f>
              <c:numCache>
                <c:formatCode>_("$"* #,##0_);_("$"* \(#,##0\);_("$"* "-"??_);_(@_)</c:formatCode>
                <c:ptCount val="11"/>
              </c:numCache>
            </c:numRef>
          </c:val>
          <c:smooth val="0"/>
          <c:extLst>
            <c:ext xmlns:c16="http://schemas.microsoft.com/office/drawing/2014/chart" uri="{C3380CC4-5D6E-409C-BE32-E72D297353CC}">
              <c16:uniqueId val="{00000000-CFD8-4261-B3C2-EB9D2DD207EB}"/>
            </c:ext>
          </c:extLst>
        </c:ser>
        <c:ser>
          <c:idx val="1"/>
          <c:order val="1"/>
          <c:tx>
            <c:v>Tot Exp per FTE</c:v>
          </c:tx>
          <c:cat>
            <c:numRef>
              <c:f>POL!$B$5:$L$5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POL!$B$74:$L$74</c:f>
              <c:numCache>
                <c:formatCode>_("$"* #,##0_);_("$"* \(#,##0\);_("$"* "-"??_);_(@_)</c:formatCode>
                <c:ptCount val="11"/>
              </c:numCache>
            </c:numRef>
          </c:val>
          <c:smooth val="0"/>
          <c:extLst>
            <c:ext xmlns:c16="http://schemas.microsoft.com/office/drawing/2014/chart" uri="{C3380CC4-5D6E-409C-BE32-E72D297353CC}">
              <c16:uniqueId val="{00000001-CFD8-4261-B3C2-EB9D2DD207EB}"/>
            </c:ext>
          </c:extLst>
        </c:ser>
        <c:dLbls>
          <c:showLegendKey val="0"/>
          <c:showVal val="0"/>
          <c:showCatName val="0"/>
          <c:showSerName val="0"/>
          <c:showPercent val="0"/>
          <c:showBubbleSize val="0"/>
        </c:dLbls>
        <c:marker val="1"/>
        <c:smooth val="0"/>
        <c:axId val="-2139705064"/>
        <c:axId val="-2139702024"/>
      </c:lineChart>
      <c:catAx>
        <c:axId val="-2139705064"/>
        <c:scaling>
          <c:orientation val="minMax"/>
        </c:scaling>
        <c:delete val="0"/>
        <c:axPos val="b"/>
        <c:numFmt formatCode="General" sourceLinked="1"/>
        <c:majorTickMark val="out"/>
        <c:minorTickMark val="none"/>
        <c:tickLblPos val="nextTo"/>
        <c:crossAx val="-2139702024"/>
        <c:crosses val="autoZero"/>
        <c:auto val="1"/>
        <c:lblAlgn val="ctr"/>
        <c:lblOffset val="100"/>
        <c:noMultiLvlLbl val="0"/>
      </c:catAx>
      <c:valAx>
        <c:axId val="-2139702024"/>
        <c:scaling>
          <c:orientation val="minMax"/>
        </c:scaling>
        <c:delete val="0"/>
        <c:axPos val="l"/>
        <c:majorGridlines/>
        <c:numFmt formatCode="_(&quot;$&quot;* #,##0_);_(&quot;$&quot;* \(#,##0\);_(&quot;$&quot;* &quot;-&quot;??_);_(@_)" sourceLinked="1"/>
        <c:majorTickMark val="out"/>
        <c:minorTickMark val="none"/>
        <c:tickLblPos val="nextTo"/>
        <c:crossAx val="-2139705064"/>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Admin</c:v>
          </c:tx>
          <c:val>
            <c:numRef>
              <c:f>[4]POL!$B$20:$L$20</c:f>
              <c:numCache>
                <c:formatCode>General</c:formatCode>
                <c:ptCount val="11"/>
                <c:pt idx="0">
                  <c:v>6</c:v>
                </c:pt>
                <c:pt idx="1">
                  <c:v>6</c:v>
                </c:pt>
                <c:pt idx="2">
                  <c:v>5</c:v>
                </c:pt>
                <c:pt idx="3">
                  <c:v>5</c:v>
                </c:pt>
                <c:pt idx="4">
                  <c:v>5</c:v>
                </c:pt>
                <c:pt idx="5">
                  <c:v>5</c:v>
                </c:pt>
                <c:pt idx="6">
                  <c:v>5</c:v>
                </c:pt>
                <c:pt idx="7">
                  <c:v>7</c:v>
                </c:pt>
                <c:pt idx="8">
                  <c:v>7</c:v>
                </c:pt>
                <c:pt idx="9">
                  <c:v>7</c:v>
                </c:pt>
                <c:pt idx="10">
                  <c:v>6</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0-D2F9-484B-BC15-EB5E4772FE85}"/>
            </c:ext>
          </c:extLst>
        </c:ser>
        <c:ser>
          <c:idx val="1"/>
          <c:order val="1"/>
          <c:tx>
            <c:v>Info Svc</c:v>
          </c:tx>
          <c:val>
            <c:numRef>
              <c:f>[4]POL!$B$21:$L$21</c:f>
              <c:numCache>
                <c:formatCode>General</c:formatCode>
                <c:ptCount val="11"/>
                <c:pt idx="0">
                  <c:v>33</c:v>
                </c:pt>
                <c:pt idx="1">
                  <c:v>33</c:v>
                </c:pt>
                <c:pt idx="2">
                  <c:v>31</c:v>
                </c:pt>
                <c:pt idx="3">
                  <c:v>31</c:v>
                </c:pt>
                <c:pt idx="4">
                  <c:v>31</c:v>
                </c:pt>
                <c:pt idx="5">
                  <c:v>31</c:v>
                </c:pt>
                <c:pt idx="6">
                  <c:v>33</c:v>
                </c:pt>
                <c:pt idx="7">
                  <c:v>34</c:v>
                </c:pt>
                <c:pt idx="8">
                  <c:v>35</c:v>
                </c:pt>
                <c:pt idx="9">
                  <c:v>38</c:v>
                </c:pt>
                <c:pt idx="10">
                  <c:v>37</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1-D2F9-484B-BC15-EB5E4772FE85}"/>
            </c:ext>
          </c:extLst>
        </c:ser>
        <c:ser>
          <c:idx val="2"/>
          <c:order val="2"/>
          <c:tx>
            <c:v>Ops</c:v>
          </c:tx>
          <c:val>
            <c:numRef>
              <c:f>[4]POL!$B$22:$L$22</c:f>
              <c:numCache>
                <c:formatCode>General</c:formatCode>
                <c:ptCount val="11"/>
                <c:pt idx="0">
                  <c:v>72</c:v>
                </c:pt>
                <c:pt idx="1">
                  <c:v>72</c:v>
                </c:pt>
                <c:pt idx="2">
                  <c:v>71</c:v>
                </c:pt>
                <c:pt idx="3">
                  <c:v>69</c:v>
                </c:pt>
                <c:pt idx="4">
                  <c:v>69</c:v>
                </c:pt>
                <c:pt idx="5">
                  <c:v>71</c:v>
                </c:pt>
                <c:pt idx="6">
                  <c:v>73</c:v>
                </c:pt>
                <c:pt idx="7">
                  <c:v>75</c:v>
                </c:pt>
                <c:pt idx="8">
                  <c:v>79</c:v>
                </c:pt>
                <c:pt idx="9">
                  <c:v>80</c:v>
                </c:pt>
                <c:pt idx="10">
                  <c:v>84</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2-D2F9-484B-BC15-EB5E4772FE85}"/>
            </c:ext>
          </c:extLst>
        </c:ser>
        <c:ser>
          <c:idx val="3"/>
          <c:order val="3"/>
          <c:tx>
            <c:v>Sup Ser</c:v>
          </c:tx>
          <c:val>
            <c:numRef>
              <c:f>[4]POL!$B$23:$L$23</c:f>
              <c:numCache>
                <c:formatCode>General</c:formatCode>
                <c:ptCount val="11"/>
                <c:pt idx="0">
                  <c:v>25</c:v>
                </c:pt>
                <c:pt idx="1">
                  <c:v>25</c:v>
                </c:pt>
                <c:pt idx="2">
                  <c:v>27</c:v>
                </c:pt>
                <c:pt idx="3">
                  <c:v>29</c:v>
                </c:pt>
                <c:pt idx="4">
                  <c:v>28.75</c:v>
                </c:pt>
                <c:pt idx="5">
                  <c:v>27.5</c:v>
                </c:pt>
                <c:pt idx="6">
                  <c:v>29</c:v>
                </c:pt>
                <c:pt idx="7">
                  <c:v>30</c:v>
                </c:pt>
                <c:pt idx="8">
                  <c:v>33</c:v>
                </c:pt>
                <c:pt idx="9">
                  <c:v>33.5</c:v>
                </c:pt>
                <c:pt idx="10">
                  <c:v>33.5</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3-D2F9-484B-BC15-EB5E4772FE85}"/>
            </c:ext>
          </c:extLst>
        </c:ser>
        <c:dLbls>
          <c:showLegendKey val="0"/>
          <c:showVal val="0"/>
          <c:showCatName val="0"/>
          <c:showSerName val="0"/>
          <c:showPercent val="0"/>
          <c:showBubbleSize val="0"/>
        </c:dLbls>
        <c:marker val="1"/>
        <c:smooth val="0"/>
        <c:axId val="-2057396920"/>
        <c:axId val="-2057334424"/>
      </c:lineChart>
      <c:catAx>
        <c:axId val="-2057396920"/>
        <c:scaling>
          <c:orientation val="minMax"/>
        </c:scaling>
        <c:delete val="0"/>
        <c:axPos val="b"/>
        <c:numFmt formatCode="General" sourceLinked="1"/>
        <c:majorTickMark val="out"/>
        <c:minorTickMark val="none"/>
        <c:tickLblPos val="nextTo"/>
        <c:crossAx val="-2057334424"/>
        <c:crosses val="autoZero"/>
        <c:auto val="1"/>
        <c:lblAlgn val="ctr"/>
        <c:lblOffset val="100"/>
        <c:noMultiLvlLbl val="0"/>
      </c:catAx>
      <c:valAx>
        <c:axId val="-2057334424"/>
        <c:scaling>
          <c:orientation val="minMax"/>
        </c:scaling>
        <c:delete val="0"/>
        <c:axPos val="l"/>
        <c:majorGridlines/>
        <c:numFmt formatCode="General" sourceLinked="1"/>
        <c:majorTickMark val="out"/>
        <c:minorTickMark val="none"/>
        <c:tickLblPos val="nextTo"/>
        <c:crossAx val="-2057396920"/>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Total Expenditures by Year  </a:t>
            </a:r>
          </a:p>
        </c:rich>
      </c:tx>
      <c:overlay val="0"/>
    </c:title>
    <c:autoTitleDeleted val="0"/>
    <c:plotArea>
      <c:layout/>
      <c:lineChart>
        <c:grouping val="standard"/>
        <c:varyColors val="0"/>
        <c:ser>
          <c:idx val="0"/>
          <c:order val="0"/>
          <c:val>
            <c:numRef>
              <c:f>[4]POL!$B$12:$H$12</c:f>
              <c:numCache>
                <c:formatCode>General</c:formatCode>
                <c:ptCount val="7"/>
                <c:pt idx="0">
                  <c:v>14362908</c:v>
                </c:pt>
                <c:pt idx="1">
                  <c:v>15281636</c:v>
                </c:pt>
                <c:pt idx="2">
                  <c:v>15707233</c:v>
                </c:pt>
                <c:pt idx="3">
                  <c:v>16496905</c:v>
                </c:pt>
                <c:pt idx="4">
                  <c:v>16174985</c:v>
                </c:pt>
                <c:pt idx="5">
                  <c:v>17097730</c:v>
                </c:pt>
                <c:pt idx="6">
                  <c:v>18444764</c:v>
                </c:pt>
              </c:numCache>
            </c:numRef>
          </c:val>
          <c:smooth val="0"/>
          <c:extLst>
            <c:ext xmlns:c15="http://schemas.microsoft.com/office/drawing/2012/chart" uri="{02D57815-91ED-43cb-92C2-25804820EDAC}">
              <c15:filteredSeriesTitle>
                <c15:tx>
                  <c:strRef>
                    <c:extLst>
                      <c:ext uri="{02D57815-91ED-43cb-92C2-25804820EDAC}">
                        <c15:formulaRef>
                          <c15:sqref>[4]POL!$A$12</c15:sqref>
                        </c15:formulaRef>
                      </c:ext>
                    </c:extLst>
                    <c:strCache>
                      <c:ptCount val="1"/>
                      <c:pt idx="0">
                        <c:v>     Total Expenses</c:v>
                      </c:pt>
                    </c:strCache>
                  </c:strRef>
                </c15:tx>
              </c15:filteredSeriesTitle>
            </c:ext>
            <c:ext xmlns:c15="http://schemas.microsoft.com/office/drawing/2012/chart" uri="{02D57815-91ED-43cb-92C2-25804820EDAC}">
              <c15:filteredCategoryTitle>
                <c15:cat>
                  <c:numRef>
                    <c:extLst>
                      <c:ext uri="{02D57815-91ED-43cb-92C2-25804820EDAC}">
                        <c15:formulaRef>
                          <c15:sqref>[4]POL!$B$2:$I$2</c15:sqref>
                        </c15:formulaRef>
                      </c:ext>
                    </c:extLst>
                    <c:numCache>
                      <c:formatCode>General</c:formatCode>
                      <c:ptCount val="8"/>
                      <c:pt idx="0">
                        <c:v>2008</c:v>
                      </c:pt>
                      <c:pt idx="1">
                        <c:v>2009</c:v>
                      </c:pt>
                      <c:pt idx="2">
                        <c:v>2010</c:v>
                      </c:pt>
                      <c:pt idx="3">
                        <c:v>2011</c:v>
                      </c:pt>
                      <c:pt idx="4">
                        <c:v>2012</c:v>
                      </c:pt>
                      <c:pt idx="5">
                        <c:v>2013</c:v>
                      </c:pt>
                      <c:pt idx="6">
                        <c:v>2014</c:v>
                      </c:pt>
                      <c:pt idx="7">
                        <c:v>2015</c:v>
                      </c:pt>
                    </c:numCache>
                  </c:numRef>
                </c15:cat>
              </c15:filteredCategoryTitle>
            </c:ext>
            <c:ext xmlns:c16="http://schemas.microsoft.com/office/drawing/2014/chart" uri="{C3380CC4-5D6E-409C-BE32-E72D297353CC}">
              <c16:uniqueId val="{00000000-6C3F-4A81-B53B-D0D640F2C798}"/>
            </c:ext>
          </c:extLst>
        </c:ser>
        <c:dLbls>
          <c:showLegendKey val="0"/>
          <c:showVal val="0"/>
          <c:showCatName val="0"/>
          <c:showSerName val="0"/>
          <c:showPercent val="0"/>
          <c:showBubbleSize val="0"/>
        </c:dLbls>
        <c:marker val="1"/>
        <c:smooth val="0"/>
        <c:axId val="-2058308024"/>
        <c:axId val="-2058335192"/>
      </c:lineChart>
      <c:catAx>
        <c:axId val="-2058308024"/>
        <c:scaling>
          <c:orientation val="minMax"/>
        </c:scaling>
        <c:delete val="0"/>
        <c:axPos val="b"/>
        <c:numFmt formatCode="General" sourceLinked="1"/>
        <c:majorTickMark val="out"/>
        <c:minorTickMark val="none"/>
        <c:tickLblPos val="nextTo"/>
        <c:crossAx val="-2058335192"/>
        <c:crosses val="autoZero"/>
        <c:auto val="1"/>
        <c:lblAlgn val="ctr"/>
        <c:lblOffset val="100"/>
        <c:noMultiLvlLbl val="0"/>
      </c:catAx>
      <c:valAx>
        <c:axId val="-2058335192"/>
        <c:scaling>
          <c:orientation val="minMax"/>
        </c:scaling>
        <c:delete val="0"/>
        <c:axPos val="l"/>
        <c:majorGridlines/>
        <c:numFmt formatCode="General" sourceLinked="1"/>
        <c:majorTickMark val="out"/>
        <c:minorTickMark val="none"/>
        <c:tickLblPos val="nextTo"/>
        <c:crossAx val="-2058308024"/>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5686495070469"/>
          <c:y val="8.5855279039025206E-2"/>
          <c:w val="0.89431350492953099"/>
          <c:h val="0.77813253635266399"/>
        </c:manualLayout>
      </c:layout>
      <c:lineChart>
        <c:grouping val="standard"/>
        <c:varyColors val="0"/>
        <c:ser>
          <c:idx val="0"/>
          <c:order val="0"/>
          <c:tx>
            <c:strRef>
              <c:f>[4]POL!$A$24</c:f>
              <c:strCache>
                <c:ptCount val="1"/>
                <c:pt idx="0">
                  <c:v>FTE Total</c:v>
                </c:pt>
              </c:strCache>
            </c:strRef>
          </c:tx>
          <c:val>
            <c:numRef>
              <c:f>[4]POL!$B$24:$L$24</c:f>
              <c:numCache>
                <c:formatCode>General</c:formatCode>
                <c:ptCount val="11"/>
                <c:pt idx="0">
                  <c:v>136</c:v>
                </c:pt>
                <c:pt idx="1">
                  <c:v>136</c:v>
                </c:pt>
                <c:pt idx="2">
                  <c:v>134</c:v>
                </c:pt>
                <c:pt idx="3">
                  <c:v>134</c:v>
                </c:pt>
                <c:pt idx="4">
                  <c:v>133.75</c:v>
                </c:pt>
                <c:pt idx="5">
                  <c:v>134.5</c:v>
                </c:pt>
                <c:pt idx="6">
                  <c:v>140</c:v>
                </c:pt>
                <c:pt idx="7">
                  <c:v>146</c:v>
                </c:pt>
                <c:pt idx="8">
                  <c:v>154</c:v>
                </c:pt>
                <c:pt idx="9">
                  <c:v>158.5</c:v>
                </c:pt>
                <c:pt idx="10">
                  <c:v>160.5</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0-EEBC-4F4C-9A18-F5B08D10BBFF}"/>
            </c:ext>
          </c:extLst>
        </c:ser>
        <c:ser>
          <c:idx val="1"/>
          <c:order val="1"/>
          <c:tx>
            <c:v>Ops FTEs</c:v>
          </c:tx>
          <c:val>
            <c:numRef>
              <c:f>[4]POL!$B$22:$L$22</c:f>
              <c:numCache>
                <c:formatCode>General</c:formatCode>
                <c:ptCount val="11"/>
                <c:pt idx="0">
                  <c:v>72</c:v>
                </c:pt>
                <c:pt idx="1">
                  <c:v>72</c:v>
                </c:pt>
                <c:pt idx="2">
                  <c:v>71</c:v>
                </c:pt>
                <c:pt idx="3">
                  <c:v>69</c:v>
                </c:pt>
                <c:pt idx="4">
                  <c:v>69</c:v>
                </c:pt>
                <c:pt idx="5">
                  <c:v>71</c:v>
                </c:pt>
                <c:pt idx="6">
                  <c:v>73</c:v>
                </c:pt>
                <c:pt idx="7">
                  <c:v>75</c:v>
                </c:pt>
                <c:pt idx="8">
                  <c:v>79</c:v>
                </c:pt>
                <c:pt idx="9">
                  <c:v>80</c:v>
                </c:pt>
                <c:pt idx="10">
                  <c:v>84</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1-EEBC-4F4C-9A18-F5B08D10BBFF}"/>
            </c:ext>
          </c:extLst>
        </c:ser>
        <c:dLbls>
          <c:showLegendKey val="0"/>
          <c:showVal val="0"/>
          <c:showCatName val="0"/>
          <c:showSerName val="0"/>
          <c:showPercent val="0"/>
          <c:showBubbleSize val="0"/>
        </c:dLbls>
        <c:marker val="1"/>
        <c:smooth val="0"/>
        <c:axId val="-2067009032"/>
        <c:axId val="-2067006056"/>
      </c:lineChart>
      <c:catAx>
        <c:axId val="-2067009032"/>
        <c:scaling>
          <c:orientation val="minMax"/>
        </c:scaling>
        <c:delete val="0"/>
        <c:axPos val="b"/>
        <c:numFmt formatCode="General" sourceLinked="1"/>
        <c:majorTickMark val="out"/>
        <c:minorTickMark val="none"/>
        <c:tickLblPos val="nextTo"/>
        <c:crossAx val="-2067006056"/>
        <c:crosses val="autoZero"/>
        <c:auto val="1"/>
        <c:lblAlgn val="ctr"/>
        <c:lblOffset val="100"/>
        <c:noMultiLvlLbl val="0"/>
      </c:catAx>
      <c:valAx>
        <c:axId val="-2067006056"/>
        <c:scaling>
          <c:orientation val="minMax"/>
        </c:scaling>
        <c:delete val="0"/>
        <c:axPos val="l"/>
        <c:majorGridlines/>
        <c:numFmt formatCode="General" sourceLinked="1"/>
        <c:majorTickMark val="out"/>
        <c:minorTickMark val="none"/>
        <c:tickLblPos val="nextTo"/>
        <c:crossAx val="-2067009032"/>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v>Op Exp per FTE</c:v>
          </c:tx>
          <c:val>
            <c:numRef>
              <c:f>[4]POL!$B$34:$L$34</c:f>
              <c:numCache>
                <c:formatCode>General</c:formatCode>
                <c:ptCount val="11"/>
                <c:pt idx="0">
                  <c:v>106220.77777777778</c:v>
                </c:pt>
                <c:pt idx="1">
                  <c:v>112103.5</c:v>
                </c:pt>
                <c:pt idx="2">
                  <c:v>120089.25352112677</c:v>
                </c:pt>
                <c:pt idx="3">
                  <c:v>132040.21739130435</c:v>
                </c:pt>
                <c:pt idx="4">
                  <c:v>129495.85507246378</c:v>
                </c:pt>
                <c:pt idx="5">
                  <c:v>130465.66197183098</c:v>
                </c:pt>
                <c:pt idx="6">
                  <c:v>129321.91780821918</c:v>
                </c:pt>
                <c:pt idx="7">
                  <c:v>134015.70666666667</c:v>
                </c:pt>
                <c:pt idx="8">
                  <c:v>133860.98734177215</c:v>
                </c:pt>
                <c:pt idx="9">
                  <c:v>160267.11249999999</c:v>
                </c:pt>
                <c:pt idx="10">
                  <c:v>162388.5</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0-A449-46D3-B5EF-958FE6C29462}"/>
            </c:ext>
          </c:extLst>
        </c:ser>
        <c:ser>
          <c:idx val="1"/>
          <c:order val="1"/>
          <c:tx>
            <c:v>Tot Exp per FTE</c:v>
          </c:tx>
          <c:val>
            <c:numRef>
              <c:f>[4]POL!$B$36:$L$36</c:f>
              <c:numCache>
                <c:formatCode>General</c:formatCode>
                <c:ptCount val="11"/>
                <c:pt idx="0">
                  <c:v>105609.61764705883</c:v>
                </c:pt>
                <c:pt idx="1">
                  <c:v>112364.9705882353</c:v>
                </c:pt>
                <c:pt idx="2">
                  <c:v>117218.15671641791</c:v>
                </c:pt>
                <c:pt idx="3">
                  <c:v>123111.23134328358</c:v>
                </c:pt>
                <c:pt idx="4">
                  <c:v>120934.46728971963</c:v>
                </c:pt>
                <c:pt idx="5">
                  <c:v>127120.66914498141</c:v>
                </c:pt>
                <c:pt idx="6">
                  <c:v>131748.3142857143</c:v>
                </c:pt>
                <c:pt idx="7">
                  <c:v>135334.50684931508</c:v>
                </c:pt>
                <c:pt idx="8">
                  <c:v>135254.03246753247</c:v>
                </c:pt>
                <c:pt idx="9">
                  <c:v>158181.16088328077</c:v>
                </c:pt>
                <c:pt idx="10">
                  <c:v>163228.05607476635</c:v>
                </c:pt>
              </c:numCache>
            </c:numRef>
          </c:val>
          <c:smooth val="0"/>
          <c:extLst>
            <c:ext xmlns:c15="http://schemas.microsoft.com/office/drawing/2012/chart" uri="{02D57815-91ED-43cb-92C2-25804820EDAC}">
              <c15:filteredCategoryTitle>
                <c15:cat>
                  <c:numRef>
                    <c:extLst>
                      <c:ext uri="{02D57815-91ED-43cb-92C2-25804820EDAC}">
                        <c15:formulaRef>
                          <c15:sqref>[4]POL!$B$2:$L$2</c15:sqref>
                        </c15:formulaRef>
                      </c:ext>
                    </c:extLst>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15:cat>
              </c15:filteredCategoryTitle>
            </c:ext>
            <c:ext xmlns:c16="http://schemas.microsoft.com/office/drawing/2014/chart" uri="{C3380CC4-5D6E-409C-BE32-E72D297353CC}">
              <c16:uniqueId val="{00000001-A449-46D3-B5EF-958FE6C29462}"/>
            </c:ext>
          </c:extLst>
        </c:ser>
        <c:dLbls>
          <c:showLegendKey val="0"/>
          <c:showVal val="0"/>
          <c:showCatName val="0"/>
          <c:showSerName val="0"/>
          <c:showPercent val="0"/>
          <c:showBubbleSize val="0"/>
        </c:dLbls>
        <c:marker val="1"/>
        <c:smooth val="0"/>
        <c:axId val="-2066798568"/>
        <c:axId val="-2066790664"/>
      </c:lineChart>
      <c:catAx>
        <c:axId val="-2066798568"/>
        <c:scaling>
          <c:orientation val="minMax"/>
        </c:scaling>
        <c:delete val="0"/>
        <c:axPos val="b"/>
        <c:numFmt formatCode="General" sourceLinked="1"/>
        <c:majorTickMark val="out"/>
        <c:minorTickMark val="none"/>
        <c:tickLblPos val="nextTo"/>
        <c:crossAx val="-2066790664"/>
        <c:crosses val="autoZero"/>
        <c:auto val="1"/>
        <c:lblAlgn val="ctr"/>
        <c:lblOffset val="100"/>
        <c:noMultiLvlLbl val="0"/>
      </c:catAx>
      <c:valAx>
        <c:axId val="-2066790664"/>
        <c:scaling>
          <c:orientation val="minMax"/>
        </c:scaling>
        <c:delete val="0"/>
        <c:axPos val="l"/>
        <c:majorGridlines/>
        <c:numFmt formatCode="General" sourceLinked="1"/>
        <c:majorTickMark val="out"/>
        <c:minorTickMark val="none"/>
        <c:tickLblPos val="nextTo"/>
        <c:crossAx val="-2066798568"/>
        <c:crosses val="autoZero"/>
        <c:crossBetween val="between"/>
      </c:valAx>
    </c:plotArea>
    <c:legend>
      <c:legendPos val="b"/>
      <c:overlay val="0"/>
    </c:legend>
    <c:plotVisOnly val="1"/>
    <c:dispBlanksAs val="gap"/>
    <c:showDLblsOverMax val="0"/>
  </c:chart>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 Id="rId4" Type="http://schemas.openxmlformats.org/officeDocument/2006/relationships/chart" Target="../charts/chart4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chart" Target="../charts/chart44.xml"/><Relationship Id="rId4" Type="http://schemas.openxmlformats.org/officeDocument/2006/relationships/chart" Target="../charts/chart47.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 Id="rId5" Type="http://schemas.openxmlformats.org/officeDocument/2006/relationships/chart" Target="../charts/chart52.xml"/><Relationship Id="rId4" Type="http://schemas.openxmlformats.org/officeDocument/2006/relationships/chart" Target="../charts/chart51.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5.xml"/><Relationship Id="rId2" Type="http://schemas.openxmlformats.org/officeDocument/2006/relationships/chart" Target="../charts/chart54.xml"/><Relationship Id="rId1" Type="http://schemas.openxmlformats.org/officeDocument/2006/relationships/chart" Target="../charts/chart53.xml"/><Relationship Id="rId4" Type="http://schemas.openxmlformats.org/officeDocument/2006/relationships/chart" Target="../charts/chart56.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 Id="rId4" Type="http://schemas.openxmlformats.org/officeDocument/2006/relationships/chart" Target="../charts/chart60.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4" Type="http://schemas.openxmlformats.org/officeDocument/2006/relationships/chart" Target="../charts/chart6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chart" Target="../charts/chart66.xml"/><Relationship Id="rId1" Type="http://schemas.openxmlformats.org/officeDocument/2006/relationships/chart" Target="../charts/chart65.xml"/><Relationship Id="rId5" Type="http://schemas.openxmlformats.org/officeDocument/2006/relationships/chart" Target="../charts/chart69.xml"/><Relationship Id="rId4" Type="http://schemas.openxmlformats.org/officeDocument/2006/relationships/chart" Target="../charts/chart68.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2.xml"/><Relationship Id="rId2" Type="http://schemas.openxmlformats.org/officeDocument/2006/relationships/chart" Target="../charts/chart71.xml"/><Relationship Id="rId1" Type="http://schemas.openxmlformats.org/officeDocument/2006/relationships/chart" Target="../charts/chart70.xml"/><Relationship Id="rId4" Type="http://schemas.openxmlformats.org/officeDocument/2006/relationships/chart" Target="../charts/chart7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76.xml"/><Relationship Id="rId2" Type="http://schemas.openxmlformats.org/officeDocument/2006/relationships/chart" Target="../charts/chart75.xml"/><Relationship Id="rId1" Type="http://schemas.openxmlformats.org/officeDocument/2006/relationships/chart" Target="../charts/chart74.xml"/><Relationship Id="rId4" Type="http://schemas.openxmlformats.org/officeDocument/2006/relationships/chart" Target="../charts/chart77.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80.xml"/><Relationship Id="rId2" Type="http://schemas.openxmlformats.org/officeDocument/2006/relationships/chart" Target="../charts/chart79.xml"/><Relationship Id="rId1" Type="http://schemas.openxmlformats.org/officeDocument/2006/relationships/chart" Target="../charts/chart78.xml"/><Relationship Id="rId4" Type="http://schemas.openxmlformats.org/officeDocument/2006/relationships/chart" Target="../charts/chart81.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84.xml"/><Relationship Id="rId2" Type="http://schemas.openxmlformats.org/officeDocument/2006/relationships/chart" Target="../charts/chart83.xml"/><Relationship Id="rId1" Type="http://schemas.openxmlformats.org/officeDocument/2006/relationships/chart" Target="../charts/chart82.xml"/><Relationship Id="rId4" Type="http://schemas.openxmlformats.org/officeDocument/2006/relationships/chart" Target="../charts/chart85.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93.xml"/><Relationship Id="rId3" Type="http://schemas.openxmlformats.org/officeDocument/2006/relationships/chart" Target="../charts/chart88.xml"/><Relationship Id="rId7" Type="http://schemas.openxmlformats.org/officeDocument/2006/relationships/chart" Target="../charts/chart92.xml"/><Relationship Id="rId2" Type="http://schemas.openxmlformats.org/officeDocument/2006/relationships/chart" Target="../charts/chart87.xml"/><Relationship Id="rId1" Type="http://schemas.openxmlformats.org/officeDocument/2006/relationships/chart" Target="../charts/chart86.xml"/><Relationship Id="rId6" Type="http://schemas.openxmlformats.org/officeDocument/2006/relationships/chart" Target="../charts/chart91.xml"/><Relationship Id="rId5" Type="http://schemas.openxmlformats.org/officeDocument/2006/relationships/chart" Target="../charts/chart90.xml"/><Relationship Id="rId10" Type="http://schemas.openxmlformats.org/officeDocument/2006/relationships/chart" Target="../charts/chart95.xml"/><Relationship Id="rId4" Type="http://schemas.openxmlformats.org/officeDocument/2006/relationships/chart" Target="../charts/chart89.xml"/><Relationship Id="rId9" Type="http://schemas.openxmlformats.org/officeDocument/2006/relationships/chart" Target="../charts/chart9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98.xml"/><Relationship Id="rId2" Type="http://schemas.openxmlformats.org/officeDocument/2006/relationships/chart" Target="../charts/chart97.xml"/><Relationship Id="rId1" Type="http://schemas.openxmlformats.org/officeDocument/2006/relationships/chart" Target="../charts/chart96.xml"/><Relationship Id="rId4" Type="http://schemas.openxmlformats.org/officeDocument/2006/relationships/chart" Target="../charts/chart99.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02.xml"/><Relationship Id="rId2" Type="http://schemas.openxmlformats.org/officeDocument/2006/relationships/chart" Target="../charts/chart101.xml"/><Relationship Id="rId1" Type="http://schemas.openxmlformats.org/officeDocument/2006/relationships/chart" Target="../charts/chart100.xml"/><Relationship Id="rId5" Type="http://schemas.openxmlformats.org/officeDocument/2006/relationships/chart" Target="../charts/chart104.xml"/><Relationship Id="rId4" Type="http://schemas.openxmlformats.org/officeDocument/2006/relationships/chart" Target="../charts/chart103.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07.xml"/><Relationship Id="rId7" Type="http://schemas.openxmlformats.org/officeDocument/2006/relationships/chart" Target="../charts/chart111.xml"/><Relationship Id="rId2" Type="http://schemas.openxmlformats.org/officeDocument/2006/relationships/chart" Target="../charts/chart106.xml"/><Relationship Id="rId1" Type="http://schemas.openxmlformats.org/officeDocument/2006/relationships/chart" Target="../charts/chart105.xml"/><Relationship Id="rId6" Type="http://schemas.openxmlformats.org/officeDocument/2006/relationships/chart" Target="../charts/chart110.xml"/><Relationship Id="rId5" Type="http://schemas.openxmlformats.org/officeDocument/2006/relationships/chart" Target="../charts/chart109.xml"/><Relationship Id="rId4" Type="http://schemas.openxmlformats.org/officeDocument/2006/relationships/chart" Target="../charts/chart108.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14.xml"/><Relationship Id="rId7" Type="http://schemas.openxmlformats.org/officeDocument/2006/relationships/chart" Target="../charts/chart118.xml"/><Relationship Id="rId2" Type="http://schemas.openxmlformats.org/officeDocument/2006/relationships/chart" Target="../charts/chart113.xml"/><Relationship Id="rId1" Type="http://schemas.openxmlformats.org/officeDocument/2006/relationships/chart" Target="../charts/chart112.xml"/><Relationship Id="rId6" Type="http://schemas.openxmlformats.org/officeDocument/2006/relationships/chart" Target="../charts/chart117.xml"/><Relationship Id="rId5" Type="http://schemas.openxmlformats.org/officeDocument/2006/relationships/chart" Target="../charts/chart116.xml"/><Relationship Id="rId4" Type="http://schemas.openxmlformats.org/officeDocument/2006/relationships/chart" Target="../charts/chart11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4"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28</xdr:col>
      <xdr:colOff>47625</xdr:colOff>
      <xdr:row>1</xdr:row>
      <xdr:rowOff>57150</xdr:rowOff>
    </xdr:from>
    <xdr:to>
      <xdr:col>37</xdr:col>
      <xdr:colOff>0</xdr:colOff>
      <xdr:row>20</xdr:row>
      <xdr:rowOff>185738</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838199</xdr:colOff>
      <xdr:row>21</xdr:row>
      <xdr:rowOff>323851</xdr:rowOff>
    </xdr:from>
    <xdr:to>
      <xdr:col>36</xdr:col>
      <xdr:colOff>828674</xdr:colOff>
      <xdr:row>34</xdr:row>
      <xdr:rowOff>123826</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19050</xdr:colOff>
      <xdr:row>54</xdr:row>
      <xdr:rowOff>171450</xdr:rowOff>
    </xdr:from>
    <xdr:to>
      <xdr:col>36</xdr:col>
      <xdr:colOff>800100</xdr:colOff>
      <xdr:row>74</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838199</xdr:colOff>
      <xdr:row>35</xdr:row>
      <xdr:rowOff>9526</xdr:rowOff>
    </xdr:from>
    <xdr:to>
      <xdr:col>37</xdr:col>
      <xdr:colOff>38100</xdr:colOff>
      <xdr:row>54</xdr:row>
      <xdr:rowOff>66675</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9524</xdr:colOff>
      <xdr:row>92</xdr:row>
      <xdr:rowOff>9524</xdr:rowOff>
    </xdr:from>
    <xdr:to>
      <xdr:col>37</xdr:col>
      <xdr:colOff>9525</xdr:colOff>
      <xdr:row>108</xdr:row>
      <xdr:rowOff>76200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27</xdr:col>
      <xdr:colOff>819149</xdr:colOff>
      <xdr:row>74</xdr:row>
      <xdr:rowOff>76200</xdr:rowOff>
    </xdr:from>
    <xdr:to>
      <xdr:col>37</xdr:col>
      <xdr:colOff>9524</xdr:colOff>
      <xdr:row>90</xdr:row>
      <xdr:rowOff>76200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31</xdr:col>
      <xdr:colOff>142875</xdr:colOff>
      <xdr:row>3</xdr:row>
      <xdr:rowOff>95250</xdr:rowOff>
    </xdr:from>
    <xdr:to>
      <xdr:col>34</xdr:col>
      <xdr:colOff>809624</xdr:colOff>
      <xdr:row>5</xdr:row>
      <xdr:rowOff>19050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2802850" y="723900"/>
          <a:ext cx="3181349"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0" i="0" u="none" strike="noStrike">
              <a:solidFill>
                <a:schemeClr val="dk1"/>
              </a:solidFill>
              <a:effectLst/>
              <a:latin typeface="+mn-lt"/>
              <a:ea typeface="+mn-ea"/>
              <a:cs typeface="+mn-cs"/>
            </a:rPr>
            <a:t>Reappropriation for Capital Projects</a:t>
          </a:r>
          <a:endParaRPr lang="en-US" sz="1400" b="0"/>
        </a:p>
      </xdr:txBody>
    </xdr:sp>
    <xdr:clientData/>
  </xdr:twoCellAnchor>
  <xdr:twoCellAnchor>
    <xdr:from>
      <xdr:col>35</xdr:col>
      <xdr:colOff>28575</xdr:colOff>
      <xdr:row>4</xdr:row>
      <xdr:rowOff>9525</xdr:rowOff>
    </xdr:from>
    <xdr:to>
      <xdr:col>35</xdr:col>
      <xdr:colOff>571500</xdr:colOff>
      <xdr:row>11</xdr:row>
      <xdr:rowOff>285750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26041350" y="876300"/>
          <a:ext cx="542925" cy="18192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28</xdr:col>
      <xdr:colOff>9524</xdr:colOff>
      <xdr:row>54</xdr:row>
      <xdr:rowOff>176212</xdr:rowOff>
    </xdr:from>
    <xdr:to>
      <xdr:col>36</xdr:col>
      <xdr:colOff>819149</xdr:colOff>
      <xdr:row>74</xdr:row>
      <xdr:rowOff>9525</xdr:rowOff>
    </xdr:to>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57150</xdr:colOff>
      <xdr:row>1</xdr:row>
      <xdr:rowOff>38101</xdr:rowOff>
    </xdr:from>
    <xdr:to>
      <xdr:col>20</xdr:col>
      <xdr:colOff>828675</xdr:colOff>
      <xdr:row>15</xdr:row>
      <xdr:rowOff>1</xdr:rowOff>
    </xdr:to>
    <xdr:graphicFrame macro="">
      <xdr:nvGraphicFramePr>
        <xdr:cNvPr id="12" name="Chart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xdr:colOff>
      <xdr:row>16</xdr:row>
      <xdr:rowOff>195262</xdr:rowOff>
    </xdr:from>
    <xdr:to>
      <xdr:col>21</xdr:col>
      <xdr:colOff>0</xdr:colOff>
      <xdr:row>30</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28575</xdr:colOff>
      <xdr:row>31</xdr:row>
      <xdr:rowOff>190500</xdr:rowOff>
    </xdr:from>
    <xdr:to>
      <xdr:col>20</xdr:col>
      <xdr:colOff>828675</xdr:colOff>
      <xdr:row>45</xdr:row>
      <xdr:rowOff>133350</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47</xdr:row>
      <xdr:rowOff>19050</xdr:rowOff>
    </xdr:from>
    <xdr:to>
      <xdr:col>21</xdr:col>
      <xdr:colOff>0</xdr:colOff>
      <xdr:row>60</xdr:row>
      <xdr:rowOff>161925</xdr:rowOff>
    </xdr:to>
    <xdr:graphicFrame macro="">
      <xdr:nvGraphicFramePr>
        <xdr:cNvPr id="4" name="Chart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762000</xdr:colOff>
      <xdr:row>7</xdr:row>
      <xdr:rowOff>171450</xdr:rowOff>
    </xdr:from>
    <xdr:to>
      <xdr:col>18</xdr:col>
      <xdr:colOff>419099</xdr:colOff>
      <xdr:row>9</xdr:row>
      <xdr:rowOff>95250</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6221075" y="1695450"/>
          <a:ext cx="2171699"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t>Software Conversion; Election</a:t>
          </a:r>
        </a:p>
      </xdr:txBody>
    </xdr:sp>
    <xdr:clientData/>
  </xdr:twoCellAnchor>
  <xdr:twoCellAnchor>
    <xdr:from>
      <xdr:col>18</xdr:col>
      <xdr:colOff>495300</xdr:colOff>
      <xdr:row>5</xdr:row>
      <xdr:rowOff>133351</xdr:rowOff>
    </xdr:from>
    <xdr:to>
      <xdr:col>19</xdr:col>
      <xdr:colOff>638175</xdr:colOff>
      <xdr:row>8</xdr:row>
      <xdr:rowOff>114300</xdr:rowOff>
    </xdr:to>
    <xdr:cxnSp macro="">
      <xdr:nvCxnSpPr>
        <xdr:cNvPr id="7" name="Straight Arrow Connector 6">
          <a:extLst>
            <a:ext uri="{FF2B5EF4-FFF2-40B4-BE49-F238E27FC236}">
              <a16:creationId xmlns:a16="http://schemas.microsoft.com/office/drawing/2014/main" id="{00000000-0008-0000-0800-000007000000}"/>
            </a:ext>
          </a:extLst>
        </xdr:cNvPr>
        <xdr:cNvCxnSpPr/>
      </xdr:nvCxnSpPr>
      <xdr:spPr>
        <a:xfrm flipV="1">
          <a:off x="18468975" y="1209676"/>
          <a:ext cx="981075" cy="62864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257176</xdr:colOff>
      <xdr:row>3</xdr:row>
      <xdr:rowOff>66674</xdr:rowOff>
    </xdr:from>
    <xdr:to>
      <xdr:col>17</xdr:col>
      <xdr:colOff>428626</xdr:colOff>
      <xdr:row>4</xdr:row>
      <xdr:rowOff>123824</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6554451" y="704849"/>
          <a:ext cx="100965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FTE increase</a:t>
          </a:r>
        </a:p>
      </xdr:txBody>
    </xdr:sp>
    <xdr:clientData/>
  </xdr:twoCellAnchor>
  <xdr:twoCellAnchor>
    <xdr:from>
      <xdr:col>17</xdr:col>
      <xdr:colOff>361950</xdr:colOff>
      <xdr:row>4</xdr:row>
      <xdr:rowOff>19050</xdr:rowOff>
    </xdr:from>
    <xdr:to>
      <xdr:col>18</xdr:col>
      <xdr:colOff>533400</xdr:colOff>
      <xdr:row>4</xdr:row>
      <xdr:rowOff>180975</xdr:rowOff>
    </xdr:to>
    <xdr:cxnSp macro="">
      <xdr:nvCxnSpPr>
        <xdr:cNvPr id="10" name="Straight Arrow Connector 9">
          <a:extLst>
            <a:ext uri="{FF2B5EF4-FFF2-40B4-BE49-F238E27FC236}">
              <a16:creationId xmlns:a16="http://schemas.microsoft.com/office/drawing/2014/main" id="{00000000-0008-0000-0800-00000A000000}"/>
            </a:ext>
          </a:extLst>
        </xdr:cNvPr>
        <xdr:cNvCxnSpPr/>
      </xdr:nvCxnSpPr>
      <xdr:spPr>
        <a:xfrm>
          <a:off x="17497425" y="857250"/>
          <a:ext cx="1009650" cy="1619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1</xdr:row>
      <xdr:rowOff>1</xdr:rowOff>
    </xdr:from>
    <xdr:to>
      <xdr:col>21</xdr:col>
      <xdr:colOff>800100</xdr:colOff>
      <xdr:row>14</xdr:row>
      <xdr:rowOff>38101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28575</xdr:colOff>
      <xdr:row>16</xdr:row>
      <xdr:rowOff>204787</xdr:rowOff>
    </xdr:from>
    <xdr:to>
      <xdr:col>22</xdr:col>
      <xdr:colOff>0</xdr:colOff>
      <xdr:row>30</xdr:row>
      <xdr:rowOff>19050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9524</xdr:colOff>
      <xdr:row>32</xdr:row>
      <xdr:rowOff>9525</xdr:rowOff>
    </xdr:from>
    <xdr:to>
      <xdr:col>21</xdr:col>
      <xdr:colOff>819149</xdr:colOff>
      <xdr:row>45</xdr:row>
      <xdr:rowOff>152400</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9525</xdr:colOff>
      <xdr:row>47</xdr:row>
      <xdr:rowOff>152400</xdr:rowOff>
    </xdr:from>
    <xdr:to>
      <xdr:col>21</xdr:col>
      <xdr:colOff>828675</xdr:colOff>
      <xdr:row>61</xdr:row>
      <xdr:rowOff>95250</xdr:rowOff>
    </xdr:to>
    <xdr:graphicFrame macro="">
      <xdr:nvGraphicFramePr>
        <xdr:cNvPr id="5" name="Chart 4">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104775</xdr:colOff>
      <xdr:row>18</xdr:row>
      <xdr:rowOff>161925</xdr:rowOff>
    </xdr:from>
    <xdr:to>
      <xdr:col>17</xdr:col>
      <xdr:colOff>457200</xdr:colOff>
      <xdr:row>20</xdr:row>
      <xdr:rowOff>19050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6240125" y="3886200"/>
          <a:ext cx="28670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t>Cost Allocations, Insurance,</a:t>
          </a:r>
          <a:r>
            <a:rPr lang="en-US" sz="1200" b="1" baseline="0"/>
            <a:t> Rialto Bridge</a:t>
          </a:r>
          <a:r>
            <a:rPr lang="en-US" sz="1200" b="1"/>
            <a:t> </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0.49049</cdr:x>
      <cdr:y>0.19499</cdr:y>
    </cdr:from>
    <cdr:to>
      <cdr:x>0.61343</cdr:x>
      <cdr:y>0.25939</cdr:y>
    </cdr:to>
    <cdr:cxnSp macro="">
      <cdr:nvCxnSpPr>
        <cdr:cNvPr id="3" name="Straight Arrow Connector 2">
          <a:extLst xmlns:a="http://schemas.openxmlformats.org/drawingml/2006/main">
            <a:ext uri="{FF2B5EF4-FFF2-40B4-BE49-F238E27FC236}">
              <a16:creationId xmlns:a16="http://schemas.microsoft.com/office/drawing/2014/main" id="{1F1194B9-A64B-4A61-BFD7-34539BCD0C4B}"/>
            </a:ext>
          </a:extLst>
        </cdr:cNvPr>
        <cdr:cNvCxnSpPr/>
      </cdr:nvCxnSpPr>
      <cdr:spPr>
        <a:xfrm xmlns:a="http://schemas.openxmlformats.org/drawingml/2006/main">
          <a:off x="3686175" y="519113"/>
          <a:ext cx="923925" cy="171450"/>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13</xdr:col>
      <xdr:colOff>0</xdr:colOff>
      <xdr:row>1</xdr:row>
      <xdr:rowOff>0</xdr:rowOff>
    </xdr:from>
    <xdr:to>
      <xdr:col>20</xdr:col>
      <xdr:colOff>781050</xdr:colOff>
      <xdr:row>15</xdr:row>
      <xdr:rowOff>19050</xdr:rowOff>
    </xdr:to>
    <xdr:graphicFrame macro="">
      <xdr:nvGraphicFramePr>
        <xdr:cNvPr id="9" name="Chart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19051</xdr:colOff>
      <xdr:row>17</xdr:row>
      <xdr:rowOff>14287</xdr:rowOff>
    </xdr:from>
    <xdr:to>
      <xdr:col>20</xdr:col>
      <xdr:colOff>771526</xdr:colOff>
      <xdr:row>30</xdr:row>
      <xdr:rowOff>19050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9524</xdr:colOff>
      <xdr:row>31</xdr:row>
      <xdr:rowOff>180975</xdr:rowOff>
    </xdr:from>
    <xdr:to>
      <xdr:col>20</xdr:col>
      <xdr:colOff>771524</xdr:colOff>
      <xdr:row>45</xdr:row>
      <xdr:rowOff>123825</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47</xdr:row>
      <xdr:rowOff>133350</xdr:rowOff>
    </xdr:from>
    <xdr:to>
      <xdr:col>20</xdr:col>
      <xdr:colOff>714375</xdr:colOff>
      <xdr:row>61</xdr:row>
      <xdr:rowOff>76200</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57150</xdr:colOff>
      <xdr:row>0</xdr:row>
      <xdr:rowOff>171450</xdr:rowOff>
    </xdr:from>
    <xdr:to>
      <xdr:col>20</xdr:col>
      <xdr:colOff>781050</xdr:colOff>
      <xdr:row>14</xdr:row>
      <xdr:rowOff>0</xdr:rowOff>
    </xdr:to>
    <xdr:graphicFrame macro="">
      <xdr:nvGraphicFramePr>
        <xdr:cNvPr id="7" name="Chart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28574</xdr:colOff>
      <xdr:row>16</xdr:row>
      <xdr:rowOff>23812</xdr:rowOff>
    </xdr:from>
    <xdr:to>
      <xdr:col>20</xdr:col>
      <xdr:colOff>790575</xdr:colOff>
      <xdr:row>29</xdr:row>
      <xdr:rowOff>47625</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9524</xdr:colOff>
      <xdr:row>30</xdr:row>
      <xdr:rowOff>180975</xdr:rowOff>
    </xdr:from>
    <xdr:to>
      <xdr:col>20</xdr:col>
      <xdr:colOff>742949</xdr:colOff>
      <xdr:row>44</xdr:row>
      <xdr:rowOff>123825</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19050</xdr:colOff>
      <xdr:row>46</xdr:row>
      <xdr:rowOff>28575</xdr:rowOff>
    </xdr:from>
    <xdr:to>
      <xdr:col>20</xdr:col>
      <xdr:colOff>723900</xdr:colOff>
      <xdr:row>59</xdr:row>
      <xdr:rowOff>171450</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590549</xdr:colOff>
      <xdr:row>4</xdr:row>
      <xdr:rowOff>133350</xdr:rowOff>
    </xdr:from>
    <xdr:to>
      <xdr:col>16</xdr:col>
      <xdr:colOff>295274</xdr:colOff>
      <xdr:row>5</xdr:row>
      <xdr:rowOff>180975</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6354424" y="971550"/>
          <a:ext cx="13811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t>2014:</a:t>
          </a:r>
          <a:r>
            <a:rPr lang="en-US" sz="1200" b="1" baseline="0"/>
            <a:t> Lodging Tax</a:t>
          </a:r>
          <a:endParaRPr lang="en-US" sz="1200" b="1"/>
        </a:p>
      </xdr:txBody>
    </xdr:sp>
    <xdr:clientData/>
  </xdr:twoCellAnchor>
  <xdr:twoCellAnchor>
    <xdr:from>
      <xdr:col>16</xdr:col>
      <xdr:colOff>342900</xdr:colOff>
      <xdr:row>4</xdr:row>
      <xdr:rowOff>66675</xdr:rowOff>
    </xdr:from>
    <xdr:to>
      <xdr:col>17</xdr:col>
      <xdr:colOff>266700</xdr:colOff>
      <xdr:row>5</xdr:row>
      <xdr:rowOff>76200</xdr:rowOff>
    </xdr:to>
    <xdr:cxnSp macro="">
      <xdr:nvCxnSpPr>
        <xdr:cNvPr id="8" name="Straight Arrow Connector 7">
          <a:extLst>
            <a:ext uri="{FF2B5EF4-FFF2-40B4-BE49-F238E27FC236}">
              <a16:creationId xmlns:a16="http://schemas.microsoft.com/office/drawing/2014/main" id="{00000000-0008-0000-0B00-000008000000}"/>
            </a:ext>
          </a:extLst>
        </xdr:cNvPr>
        <xdr:cNvCxnSpPr/>
      </xdr:nvCxnSpPr>
      <xdr:spPr>
        <a:xfrm flipV="1">
          <a:off x="17783175" y="904875"/>
          <a:ext cx="762000" cy="2476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419099</xdr:colOff>
      <xdr:row>19</xdr:row>
      <xdr:rowOff>104775</xdr:rowOff>
    </xdr:from>
    <xdr:to>
      <xdr:col>16</xdr:col>
      <xdr:colOff>752474</xdr:colOff>
      <xdr:row>20</xdr:row>
      <xdr:rowOff>161925</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16182974" y="4038600"/>
          <a:ext cx="200977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Land Purchases for Foundry</a:t>
          </a:r>
        </a:p>
      </xdr:txBody>
    </xdr:sp>
    <xdr:clientData/>
  </xdr:twoCellAnchor>
  <xdr:twoCellAnchor>
    <xdr:from>
      <xdr:col>16</xdr:col>
      <xdr:colOff>819150</xdr:colOff>
      <xdr:row>19</xdr:row>
      <xdr:rowOff>85725</xdr:rowOff>
    </xdr:from>
    <xdr:to>
      <xdr:col>17</xdr:col>
      <xdr:colOff>628650</xdr:colOff>
      <xdr:row>20</xdr:row>
      <xdr:rowOff>38100</xdr:rowOff>
    </xdr:to>
    <xdr:cxnSp macro="">
      <xdr:nvCxnSpPr>
        <xdr:cNvPr id="11" name="Straight Arrow Connector 10">
          <a:extLst>
            <a:ext uri="{FF2B5EF4-FFF2-40B4-BE49-F238E27FC236}">
              <a16:creationId xmlns:a16="http://schemas.microsoft.com/office/drawing/2014/main" id="{00000000-0008-0000-0B00-00000B000000}"/>
            </a:ext>
          </a:extLst>
        </xdr:cNvPr>
        <xdr:cNvCxnSpPr/>
      </xdr:nvCxnSpPr>
      <xdr:spPr>
        <a:xfrm flipV="1">
          <a:off x="18259425" y="4010025"/>
          <a:ext cx="647700" cy="1524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19050</xdr:colOff>
      <xdr:row>2</xdr:row>
      <xdr:rowOff>0</xdr:rowOff>
    </xdr:from>
    <xdr:to>
      <xdr:col>20</xdr:col>
      <xdr:colOff>828675</xdr:colOff>
      <xdr:row>14</xdr:row>
      <xdr:rowOff>190500</xdr:rowOff>
    </xdr:to>
    <xdr:graphicFrame macro="">
      <xdr:nvGraphicFramePr>
        <xdr:cNvPr id="14" name="Chart 13">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28575</xdr:colOff>
      <xdr:row>17</xdr:row>
      <xdr:rowOff>176212</xdr:rowOff>
    </xdr:from>
    <xdr:to>
      <xdr:col>20</xdr:col>
      <xdr:colOff>800101</xdr:colOff>
      <xdr:row>30</xdr:row>
      <xdr:rowOff>190500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828675</xdr:colOff>
      <xdr:row>33</xdr:row>
      <xdr:rowOff>47625</xdr:rowOff>
    </xdr:from>
    <xdr:to>
      <xdr:col>20</xdr:col>
      <xdr:colOff>752475</xdr:colOff>
      <xdr:row>46</xdr:row>
      <xdr:rowOff>190500</xdr:rowOff>
    </xdr:to>
    <xdr:graphicFrame macro="">
      <xdr:nvGraphicFramePr>
        <xdr:cNvPr id="3" name="Chart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47625</xdr:colOff>
      <xdr:row>49</xdr:row>
      <xdr:rowOff>19050</xdr:rowOff>
    </xdr:from>
    <xdr:to>
      <xdr:col>20</xdr:col>
      <xdr:colOff>723900</xdr:colOff>
      <xdr:row>62</xdr:row>
      <xdr:rowOff>161925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19049</xdr:colOff>
      <xdr:row>15</xdr:row>
      <xdr:rowOff>171450</xdr:rowOff>
    </xdr:from>
    <xdr:to>
      <xdr:col>21</xdr:col>
      <xdr:colOff>47625</xdr:colOff>
      <xdr:row>30</xdr:row>
      <xdr:rowOff>195262</xdr:rowOff>
    </xdr:to>
    <xdr:graphicFrame macro="">
      <xdr:nvGraphicFramePr>
        <xdr:cNvPr id="5" name="Chart 4">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19050</xdr:colOff>
      <xdr:row>0</xdr:row>
      <xdr:rowOff>219075</xdr:rowOff>
    </xdr:from>
    <xdr:to>
      <xdr:col>21</xdr:col>
      <xdr:colOff>104775</xdr:colOff>
      <xdr:row>14</xdr:row>
      <xdr:rowOff>28575</xdr:rowOff>
    </xdr:to>
    <xdr:graphicFrame macro="">
      <xdr:nvGraphicFramePr>
        <xdr:cNvPr id="11" name="Chart 10">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28575</xdr:colOff>
      <xdr:row>16</xdr:row>
      <xdr:rowOff>176211</xdr:rowOff>
    </xdr:from>
    <xdr:to>
      <xdr:col>21</xdr:col>
      <xdr:colOff>19051</xdr:colOff>
      <xdr:row>30</xdr:row>
      <xdr:rowOff>76200</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9524</xdr:colOff>
      <xdr:row>33</xdr:row>
      <xdr:rowOff>19050</xdr:rowOff>
    </xdr:from>
    <xdr:to>
      <xdr:col>21</xdr:col>
      <xdr:colOff>19049</xdr:colOff>
      <xdr:row>46</xdr:row>
      <xdr:rowOff>161925</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47625</xdr:colOff>
      <xdr:row>48</xdr:row>
      <xdr:rowOff>114300</xdr:rowOff>
    </xdr:from>
    <xdr:to>
      <xdr:col>21</xdr:col>
      <xdr:colOff>28575</xdr:colOff>
      <xdr:row>61</xdr:row>
      <xdr:rowOff>104775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314325</xdr:colOff>
      <xdr:row>20</xdr:row>
      <xdr:rowOff>161925</xdr:rowOff>
    </xdr:from>
    <xdr:to>
      <xdr:col>17</xdr:col>
      <xdr:colOff>390525</xdr:colOff>
      <xdr:row>21</xdr:row>
      <xdr:rowOff>190500</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14935200" y="4324350"/>
          <a:ext cx="259080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Performance Mngt, ADA, and Title VI</a:t>
          </a:r>
        </a:p>
      </xdr:txBody>
    </xdr:sp>
    <xdr:clientData/>
  </xdr:twoCellAnchor>
  <xdr:twoCellAnchor>
    <xdr:from>
      <xdr:col>17</xdr:col>
      <xdr:colOff>180975</xdr:colOff>
      <xdr:row>19</xdr:row>
      <xdr:rowOff>28575</xdr:rowOff>
    </xdr:from>
    <xdr:to>
      <xdr:col>18</xdr:col>
      <xdr:colOff>819150</xdr:colOff>
      <xdr:row>20</xdr:row>
      <xdr:rowOff>28575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7316450" y="3952875"/>
          <a:ext cx="14763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t>Employee Benefits</a:t>
          </a:r>
        </a:p>
      </xdr:txBody>
    </xdr:sp>
    <xdr:clientData/>
  </xdr:twoCellAnchor>
  <xdr:twoCellAnchor>
    <xdr:from>
      <xdr:col>17</xdr:col>
      <xdr:colOff>476250</xdr:colOff>
      <xdr:row>21</xdr:row>
      <xdr:rowOff>0</xdr:rowOff>
    </xdr:from>
    <xdr:to>
      <xdr:col>18</xdr:col>
      <xdr:colOff>409575</xdr:colOff>
      <xdr:row>21</xdr:row>
      <xdr:rowOff>85725</xdr:rowOff>
    </xdr:to>
    <xdr:cxnSp macro="">
      <xdr:nvCxnSpPr>
        <xdr:cNvPr id="8" name="Straight Arrow Connector 7">
          <a:extLst>
            <a:ext uri="{FF2B5EF4-FFF2-40B4-BE49-F238E27FC236}">
              <a16:creationId xmlns:a16="http://schemas.microsoft.com/office/drawing/2014/main" id="{00000000-0008-0000-0D00-000008000000}"/>
            </a:ext>
          </a:extLst>
        </xdr:cNvPr>
        <xdr:cNvCxnSpPr/>
      </xdr:nvCxnSpPr>
      <xdr:spPr>
        <a:xfrm flipV="1">
          <a:off x="17611725" y="4362450"/>
          <a:ext cx="771525" cy="857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0</xdr:colOff>
      <xdr:row>19</xdr:row>
      <xdr:rowOff>142875</xdr:rowOff>
    </xdr:from>
    <xdr:to>
      <xdr:col>19</xdr:col>
      <xdr:colOff>704850</xdr:colOff>
      <xdr:row>19</xdr:row>
      <xdr:rowOff>219075</xdr:rowOff>
    </xdr:to>
    <xdr:cxnSp macro="">
      <xdr:nvCxnSpPr>
        <xdr:cNvPr id="10" name="Straight Arrow Connector 9">
          <a:extLst>
            <a:ext uri="{FF2B5EF4-FFF2-40B4-BE49-F238E27FC236}">
              <a16:creationId xmlns:a16="http://schemas.microsoft.com/office/drawing/2014/main" id="{00000000-0008-0000-0D00-00000A000000}"/>
            </a:ext>
          </a:extLst>
        </xdr:cNvPr>
        <xdr:cNvCxnSpPr/>
      </xdr:nvCxnSpPr>
      <xdr:spPr>
        <a:xfrm>
          <a:off x="18811875" y="4067175"/>
          <a:ext cx="704850" cy="762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0</xdr:colOff>
      <xdr:row>1</xdr:row>
      <xdr:rowOff>38101</xdr:rowOff>
    </xdr:from>
    <xdr:to>
      <xdr:col>20</xdr:col>
      <xdr:colOff>828676</xdr:colOff>
      <xdr:row>13</xdr:row>
      <xdr:rowOff>142875</xdr:rowOff>
    </xdr:to>
    <xdr:graphicFrame macro="">
      <xdr:nvGraphicFramePr>
        <xdr:cNvPr id="13" name="Chart 1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15</xdr:row>
      <xdr:rowOff>176212</xdr:rowOff>
    </xdr:from>
    <xdr:to>
      <xdr:col>21</xdr:col>
      <xdr:colOff>0</xdr:colOff>
      <xdr:row>29</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9524</xdr:colOff>
      <xdr:row>31</xdr:row>
      <xdr:rowOff>9525</xdr:rowOff>
    </xdr:from>
    <xdr:to>
      <xdr:col>20</xdr:col>
      <xdr:colOff>838199</xdr:colOff>
      <xdr:row>44</xdr:row>
      <xdr:rowOff>152400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19049</xdr:colOff>
      <xdr:row>47</xdr:row>
      <xdr:rowOff>0</xdr:rowOff>
    </xdr:from>
    <xdr:to>
      <xdr:col>20</xdr:col>
      <xdr:colOff>809624</xdr:colOff>
      <xdr:row>60</xdr:row>
      <xdr:rowOff>142875</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447675</xdr:colOff>
      <xdr:row>18</xdr:row>
      <xdr:rowOff>142875</xdr:rowOff>
    </xdr:from>
    <xdr:to>
      <xdr:col>18</xdr:col>
      <xdr:colOff>542925</xdr:colOff>
      <xdr:row>19</xdr:row>
      <xdr:rowOff>161925</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5906750" y="3829050"/>
          <a:ext cx="260985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Admin Overhead, Equip. Replacement</a:t>
          </a:r>
        </a:p>
      </xdr:txBody>
    </xdr:sp>
    <xdr:clientData/>
  </xdr:twoCellAnchor>
  <xdr:twoCellAnchor>
    <xdr:from>
      <xdr:col>18</xdr:col>
      <xdr:colOff>619125</xdr:colOff>
      <xdr:row>19</xdr:row>
      <xdr:rowOff>19050</xdr:rowOff>
    </xdr:from>
    <xdr:to>
      <xdr:col>19</xdr:col>
      <xdr:colOff>685800</xdr:colOff>
      <xdr:row>19</xdr:row>
      <xdr:rowOff>85725</xdr:rowOff>
    </xdr:to>
    <xdr:cxnSp macro="">
      <xdr:nvCxnSpPr>
        <xdr:cNvPr id="7" name="Straight Arrow Connector 6">
          <a:extLst>
            <a:ext uri="{FF2B5EF4-FFF2-40B4-BE49-F238E27FC236}">
              <a16:creationId xmlns:a16="http://schemas.microsoft.com/office/drawing/2014/main" id="{00000000-0008-0000-0E00-000007000000}"/>
            </a:ext>
          </a:extLst>
        </xdr:cNvPr>
        <xdr:cNvCxnSpPr/>
      </xdr:nvCxnSpPr>
      <xdr:spPr>
        <a:xfrm>
          <a:off x="18592800" y="3943350"/>
          <a:ext cx="904875" cy="666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28575</xdr:colOff>
      <xdr:row>1</xdr:row>
      <xdr:rowOff>9526</xdr:rowOff>
    </xdr:from>
    <xdr:to>
      <xdr:col>20</xdr:col>
      <xdr:colOff>819150</xdr:colOff>
      <xdr:row>14</xdr:row>
      <xdr:rowOff>28576</xdr:rowOff>
    </xdr:to>
    <xdr:graphicFrame macro="">
      <xdr:nvGraphicFramePr>
        <xdr:cNvPr id="12" name="Chart 11">
          <a:extLst>
            <a:ext uri="{FF2B5EF4-FFF2-40B4-BE49-F238E27FC236}">
              <a16:creationId xmlns:a16="http://schemas.microsoft.com/office/drawing/2014/main" id="{00000000-0008-0000-0F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838199</xdr:colOff>
      <xdr:row>16</xdr:row>
      <xdr:rowOff>9525</xdr:rowOff>
    </xdr:from>
    <xdr:to>
      <xdr:col>20</xdr:col>
      <xdr:colOff>819150</xdr:colOff>
      <xdr:row>29</xdr:row>
      <xdr:rowOff>19050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19050</xdr:colOff>
      <xdr:row>31</xdr:row>
      <xdr:rowOff>9525</xdr:rowOff>
    </xdr:from>
    <xdr:to>
      <xdr:col>20</xdr:col>
      <xdr:colOff>828675</xdr:colOff>
      <xdr:row>44</xdr:row>
      <xdr:rowOff>47625</xdr:rowOff>
    </xdr:to>
    <xdr:graphicFrame macro="">
      <xdr:nvGraphicFramePr>
        <xdr:cNvPr id="4" name="Chart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9525</xdr:colOff>
      <xdr:row>45</xdr:row>
      <xdr:rowOff>180975</xdr:rowOff>
    </xdr:from>
    <xdr:to>
      <xdr:col>20</xdr:col>
      <xdr:colOff>809625</xdr:colOff>
      <xdr:row>59</xdr:row>
      <xdr:rowOff>123825</xdr:rowOff>
    </xdr:to>
    <xdr:graphicFrame macro="">
      <xdr:nvGraphicFramePr>
        <xdr:cNvPr id="5" name="Chart 4">
          <a:extLst>
            <a:ext uri="{FF2B5EF4-FFF2-40B4-BE49-F238E27FC236}">
              <a16:creationId xmlns:a16="http://schemas.microsoft.com/office/drawing/2014/main" i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304800</xdr:colOff>
      <xdr:row>18</xdr:row>
      <xdr:rowOff>57150</xdr:rowOff>
    </xdr:from>
    <xdr:to>
      <xdr:col>18</xdr:col>
      <xdr:colOff>628650</xdr:colOff>
      <xdr:row>19</xdr:row>
      <xdr:rowOff>85725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6602075" y="3781425"/>
          <a:ext cx="20002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Flatirons Library Consortium</a:t>
          </a:r>
        </a:p>
      </xdr:txBody>
    </xdr:sp>
    <xdr:clientData/>
  </xdr:twoCellAnchor>
  <xdr:twoCellAnchor>
    <xdr:from>
      <xdr:col>18</xdr:col>
      <xdr:colOff>752475</xdr:colOff>
      <xdr:row>18</xdr:row>
      <xdr:rowOff>161925</xdr:rowOff>
    </xdr:from>
    <xdr:to>
      <xdr:col>19</xdr:col>
      <xdr:colOff>666750</xdr:colOff>
      <xdr:row>19</xdr:row>
      <xdr:rowOff>66675</xdr:rowOff>
    </xdr:to>
    <xdr:cxnSp macro="">
      <xdr:nvCxnSpPr>
        <xdr:cNvPr id="7" name="Straight Arrow Connector 6">
          <a:extLst>
            <a:ext uri="{FF2B5EF4-FFF2-40B4-BE49-F238E27FC236}">
              <a16:creationId xmlns:a16="http://schemas.microsoft.com/office/drawing/2014/main" id="{00000000-0008-0000-0F00-000007000000}"/>
            </a:ext>
          </a:extLst>
        </xdr:cNvPr>
        <xdr:cNvCxnSpPr/>
      </xdr:nvCxnSpPr>
      <xdr:spPr>
        <a:xfrm>
          <a:off x="18726150" y="3886200"/>
          <a:ext cx="752475" cy="1143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9525</xdr:colOff>
      <xdr:row>1</xdr:row>
      <xdr:rowOff>19050</xdr:rowOff>
    </xdr:from>
    <xdr:to>
      <xdr:col>23</xdr:col>
      <xdr:colOff>809625</xdr:colOff>
      <xdr:row>20</xdr:row>
      <xdr:rowOff>190500</xdr:rowOff>
    </xdr:to>
    <xdr:graphicFrame macro="">
      <xdr:nvGraphicFramePr>
        <xdr:cNvPr id="8" name="Chart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75</xdr:row>
      <xdr:rowOff>190500</xdr:rowOff>
    </xdr:from>
    <xdr:to>
      <xdr:col>21</xdr:col>
      <xdr:colOff>9525</xdr:colOff>
      <xdr:row>94</xdr:row>
      <xdr:rowOff>57150</xdr:rowOff>
    </xdr:to>
    <xdr:graphicFrame macro="">
      <xdr:nvGraphicFramePr>
        <xdr:cNvPr id="12" name="Chart 11">
          <a:extLst>
            <a:ext uri="{FF2B5EF4-FFF2-40B4-BE49-F238E27FC236}">
              <a16:creationId xmlns:a16="http://schemas.microsoft.com/office/drawing/2014/main" id="{00000000-0008-0000-1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9525</xdr:colOff>
      <xdr:row>22</xdr:row>
      <xdr:rowOff>14287</xdr:rowOff>
    </xdr:from>
    <xdr:to>
      <xdr:col>24</xdr:col>
      <xdr:colOff>19050</xdr:colOff>
      <xdr:row>43</xdr:row>
      <xdr:rowOff>19050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19049</xdr:colOff>
      <xdr:row>45</xdr:row>
      <xdr:rowOff>0</xdr:rowOff>
    </xdr:from>
    <xdr:to>
      <xdr:col>20</xdr:col>
      <xdr:colOff>828674</xdr:colOff>
      <xdr:row>58</xdr:row>
      <xdr:rowOff>142875</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9524</xdr:colOff>
      <xdr:row>61</xdr:row>
      <xdr:rowOff>0</xdr:rowOff>
    </xdr:from>
    <xdr:to>
      <xdr:col>20</xdr:col>
      <xdr:colOff>819149</xdr:colOff>
      <xdr:row>74</xdr:row>
      <xdr:rowOff>142875</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0.33967</cdr:x>
      <cdr:y>0.16571</cdr:y>
    </cdr:from>
    <cdr:to>
      <cdr:x>0.78834</cdr:x>
      <cdr:y>0.24571</cdr:y>
    </cdr:to>
    <cdr:sp macro="" textlink="">
      <cdr:nvSpPr>
        <cdr:cNvPr id="2" name="TextBox 1"/>
        <cdr:cNvSpPr txBox="1"/>
      </cdr:nvSpPr>
      <cdr:spPr>
        <a:xfrm xmlns:a="http://schemas.openxmlformats.org/drawingml/2006/main">
          <a:off x="2552701" y="690563"/>
          <a:ext cx="3371850" cy="333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0.35868</cdr:x>
      <cdr:y>0.13371</cdr:y>
    </cdr:from>
    <cdr:to>
      <cdr:x>0.69328</cdr:x>
      <cdr:y>0.20457</cdr:y>
    </cdr:to>
    <cdr:sp macro="" textlink="">
      <cdr:nvSpPr>
        <cdr:cNvPr id="3" name="TextBox 2"/>
        <cdr:cNvSpPr txBox="1"/>
      </cdr:nvSpPr>
      <cdr:spPr>
        <a:xfrm xmlns:a="http://schemas.openxmlformats.org/drawingml/2006/main">
          <a:off x="2695576" y="557213"/>
          <a:ext cx="251460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0.41445</cdr:x>
      <cdr:y>0.10629</cdr:y>
    </cdr:from>
    <cdr:to>
      <cdr:x>0.63245</cdr:x>
      <cdr:y>0.17486</cdr:y>
    </cdr:to>
    <cdr:sp macro="" textlink="">
      <cdr:nvSpPr>
        <cdr:cNvPr id="4" name="TextBox 3"/>
        <cdr:cNvSpPr txBox="1"/>
      </cdr:nvSpPr>
      <cdr:spPr>
        <a:xfrm xmlns:a="http://schemas.openxmlformats.org/drawingml/2006/main">
          <a:off x="3114676" y="442913"/>
          <a:ext cx="163830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400" b="0"/>
            <a:t>Foundry Project</a:t>
          </a:r>
        </a:p>
      </cdr:txBody>
    </cdr:sp>
  </cdr:relSizeAnchor>
  <cdr:relSizeAnchor xmlns:cdr="http://schemas.openxmlformats.org/drawingml/2006/chartDrawing">
    <cdr:from>
      <cdr:x>0.63752</cdr:x>
      <cdr:y>0.152</cdr:y>
    </cdr:from>
    <cdr:to>
      <cdr:x>0.84664</cdr:x>
      <cdr:y>0.21143</cdr:y>
    </cdr:to>
    <cdr:cxnSp macro="">
      <cdr:nvCxnSpPr>
        <cdr:cNvPr id="6" name="Straight Arrow Connector 5">
          <a:extLst xmlns:a="http://schemas.openxmlformats.org/drawingml/2006/main">
            <a:ext uri="{FF2B5EF4-FFF2-40B4-BE49-F238E27FC236}">
              <a16:creationId xmlns:a16="http://schemas.microsoft.com/office/drawing/2014/main" id="{9414D770-3A14-4D30-BD8A-9B6033722655}"/>
            </a:ext>
          </a:extLst>
        </cdr:cNvPr>
        <cdr:cNvCxnSpPr/>
      </cdr:nvCxnSpPr>
      <cdr:spPr>
        <a:xfrm xmlns:a="http://schemas.openxmlformats.org/drawingml/2006/main">
          <a:off x="4791076" y="633413"/>
          <a:ext cx="1571625" cy="247650"/>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20.xml><?xml version="1.0" encoding="utf-8"?>
<c:userShapes xmlns:c="http://schemas.openxmlformats.org/drawingml/2006/chart">
  <cdr:relSizeAnchor xmlns:cdr="http://schemas.openxmlformats.org/drawingml/2006/chartDrawing">
    <cdr:from>
      <cdr:x>0.33741</cdr:x>
      <cdr:y>0.12206</cdr:y>
    </cdr:from>
    <cdr:to>
      <cdr:x>0.60245</cdr:x>
      <cdr:y>0.20493</cdr:y>
    </cdr:to>
    <cdr:sp macro="" textlink="">
      <cdr:nvSpPr>
        <cdr:cNvPr id="2" name="TextBox 1"/>
        <cdr:cNvSpPr txBox="1"/>
      </cdr:nvSpPr>
      <cdr:spPr>
        <a:xfrm xmlns:a="http://schemas.openxmlformats.org/drawingml/2006/main">
          <a:off x="3152775" y="519113"/>
          <a:ext cx="247650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Equip Replacement, Capital Projects</a:t>
          </a:r>
        </a:p>
      </cdr:txBody>
    </cdr:sp>
  </cdr:relSizeAnchor>
  <cdr:relSizeAnchor xmlns:cdr="http://schemas.openxmlformats.org/drawingml/2006/chartDrawing">
    <cdr:from>
      <cdr:x>0.61162</cdr:x>
      <cdr:y>0.16237</cdr:y>
    </cdr:from>
    <cdr:to>
      <cdr:x>0.85117</cdr:x>
      <cdr:y>0.22508</cdr:y>
    </cdr:to>
    <cdr:cxnSp macro="">
      <cdr:nvCxnSpPr>
        <cdr:cNvPr id="4" name="Straight Arrow Connector 3">
          <a:extLst xmlns:a="http://schemas.openxmlformats.org/drawingml/2006/main">
            <a:ext uri="{FF2B5EF4-FFF2-40B4-BE49-F238E27FC236}">
              <a16:creationId xmlns:a16="http://schemas.microsoft.com/office/drawing/2014/main" id="{6830BFE0-F3A3-46A8-A181-26028858C855}"/>
            </a:ext>
          </a:extLst>
        </cdr:cNvPr>
        <cdr:cNvCxnSpPr/>
      </cdr:nvCxnSpPr>
      <cdr:spPr>
        <a:xfrm xmlns:a="http://schemas.openxmlformats.org/drawingml/2006/main">
          <a:off x="5715000" y="690563"/>
          <a:ext cx="2238375" cy="266700"/>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21.xml><?xml version="1.0" encoding="utf-8"?>
<xdr:wsDr xmlns:xdr="http://schemas.openxmlformats.org/drawingml/2006/spreadsheetDrawing" xmlns:a="http://schemas.openxmlformats.org/drawingml/2006/main">
  <xdr:twoCellAnchor>
    <xdr:from>
      <xdr:col>13</xdr:col>
      <xdr:colOff>0</xdr:colOff>
      <xdr:row>0</xdr:row>
      <xdr:rowOff>228600</xdr:rowOff>
    </xdr:from>
    <xdr:to>
      <xdr:col>20</xdr:col>
      <xdr:colOff>800100</xdr:colOff>
      <xdr:row>14</xdr:row>
      <xdr:rowOff>0</xdr:rowOff>
    </xdr:to>
    <xdr:graphicFrame macro="">
      <xdr:nvGraphicFramePr>
        <xdr:cNvPr id="13" name="Chart 12">
          <a:extLst>
            <a:ext uri="{FF2B5EF4-FFF2-40B4-BE49-F238E27FC236}">
              <a16:creationId xmlns:a16="http://schemas.microsoft.com/office/drawing/2014/main" id="{00000000-0008-0000-1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9525</xdr:colOff>
      <xdr:row>15</xdr:row>
      <xdr:rowOff>4761</xdr:rowOff>
    </xdr:from>
    <xdr:to>
      <xdr:col>20</xdr:col>
      <xdr:colOff>800100</xdr:colOff>
      <xdr:row>28</xdr:row>
      <xdr:rowOff>180975</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9524</xdr:colOff>
      <xdr:row>30</xdr:row>
      <xdr:rowOff>161925</xdr:rowOff>
    </xdr:from>
    <xdr:to>
      <xdr:col>20</xdr:col>
      <xdr:colOff>781049</xdr:colOff>
      <xdr:row>44</xdr:row>
      <xdr:rowOff>104775</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19050</xdr:colOff>
      <xdr:row>45</xdr:row>
      <xdr:rowOff>152400</xdr:rowOff>
    </xdr:from>
    <xdr:to>
      <xdr:col>20</xdr:col>
      <xdr:colOff>781050</xdr:colOff>
      <xdr:row>59</xdr:row>
      <xdr:rowOff>95250</xdr:rowOff>
    </xdr:to>
    <xdr:graphicFrame macro="">
      <xdr:nvGraphicFramePr>
        <xdr:cNvPr id="4" name="Chart 3">
          <a:extLst>
            <a:ext uri="{FF2B5EF4-FFF2-40B4-BE49-F238E27FC236}">
              <a16:creationId xmlns:a16="http://schemas.microsoft.com/office/drawing/2014/main" id="{00000000-0008-0000-1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0.46638</cdr:x>
      <cdr:y>0.18227</cdr:y>
    </cdr:from>
    <cdr:to>
      <cdr:x>0.64664</cdr:x>
      <cdr:y>0.2775</cdr:y>
    </cdr:to>
    <cdr:sp macro="" textlink="">
      <cdr:nvSpPr>
        <cdr:cNvPr id="2" name="TextBox 1"/>
        <cdr:cNvSpPr txBox="1"/>
      </cdr:nvSpPr>
      <cdr:spPr>
        <a:xfrm xmlns:a="http://schemas.openxmlformats.org/drawingml/2006/main">
          <a:off x="3105150" y="528639"/>
          <a:ext cx="120015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Increased FTEs</a:t>
          </a:r>
        </a:p>
      </cdr:txBody>
    </cdr:sp>
  </cdr:relSizeAnchor>
  <cdr:relSizeAnchor xmlns:cdr="http://schemas.openxmlformats.org/drawingml/2006/chartDrawing">
    <cdr:from>
      <cdr:x>0.65951</cdr:x>
      <cdr:y>0.22824</cdr:y>
    </cdr:from>
    <cdr:to>
      <cdr:x>0.83405</cdr:x>
      <cdr:y>0.23481</cdr:y>
    </cdr:to>
    <cdr:cxnSp macro="">
      <cdr:nvCxnSpPr>
        <cdr:cNvPr id="4" name="Straight Arrow Connector 3">
          <a:extLst xmlns:a="http://schemas.openxmlformats.org/drawingml/2006/main">
            <a:ext uri="{FF2B5EF4-FFF2-40B4-BE49-F238E27FC236}">
              <a16:creationId xmlns:a16="http://schemas.microsoft.com/office/drawing/2014/main" id="{CF285BAE-FA1E-4529-83BE-3E00C1670639}"/>
            </a:ext>
          </a:extLst>
        </cdr:cNvPr>
        <cdr:cNvCxnSpPr/>
      </cdr:nvCxnSpPr>
      <cdr:spPr>
        <a:xfrm xmlns:a="http://schemas.openxmlformats.org/drawingml/2006/main">
          <a:off x="4391001" y="661979"/>
          <a:ext cx="1162074" cy="19060"/>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23.xml><?xml version="1.0" encoding="utf-8"?>
<xdr:wsDr xmlns:xdr="http://schemas.openxmlformats.org/drawingml/2006/spreadsheetDrawing" xmlns:a="http://schemas.openxmlformats.org/drawingml/2006/main">
  <xdr:twoCellAnchor>
    <xdr:from>
      <xdr:col>13</xdr:col>
      <xdr:colOff>28574</xdr:colOff>
      <xdr:row>1</xdr:row>
      <xdr:rowOff>9526</xdr:rowOff>
    </xdr:from>
    <xdr:to>
      <xdr:col>25</xdr:col>
      <xdr:colOff>0</xdr:colOff>
      <xdr:row>17</xdr:row>
      <xdr:rowOff>142875</xdr:rowOff>
    </xdr:to>
    <xdr:graphicFrame macro="">
      <xdr:nvGraphicFramePr>
        <xdr:cNvPr id="12" name="Chart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9525</xdr:colOff>
      <xdr:row>18</xdr:row>
      <xdr:rowOff>195261</xdr:rowOff>
    </xdr:from>
    <xdr:to>
      <xdr:col>24</xdr:col>
      <xdr:colOff>809625</xdr:colOff>
      <xdr:row>35</xdr:row>
      <xdr:rowOff>57150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9524</xdr:colOff>
      <xdr:row>37</xdr:row>
      <xdr:rowOff>47625</xdr:rowOff>
    </xdr:from>
    <xdr:to>
      <xdr:col>20</xdr:col>
      <xdr:colOff>828674</xdr:colOff>
      <xdr:row>49</xdr:row>
      <xdr:rowOff>190500</xdr:rowOff>
    </xdr:to>
    <xdr:graphicFrame macro="">
      <xdr:nvGraphicFramePr>
        <xdr:cNvPr id="3" name="Chart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28575</xdr:colOff>
      <xdr:row>51</xdr:row>
      <xdr:rowOff>47625</xdr:rowOff>
    </xdr:from>
    <xdr:to>
      <xdr:col>20</xdr:col>
      <xdr:colOff>800100</xdr:colOff>
      <xdr:row>64</xdr:row>
      <xdr:rowOff>190500</xdr:rowOff>
    </xdr:to>
    <xdr:graphicFrame macro="">
      <xdr:nvGraphicFramePr>
        <xdr:cNvPr id="4" name="Chart 3">
          <a:extLst>
            <a:ext uri="{FF2B5EF4-FFF2-40B4-BE49-F238E27FC236}">
              <a16:creationId xmlns:a16="http://schemas.microsoft.com/office/drawing/2014/main" id="{00000000-0008-0000-1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0.5615</cdr:x>
      <cdr:y>0.15268</cdr:y>
    </cdr:from>
    <cdr:to>
      <cdr:x>0.77465</cdr:x>
      <cdr:y>0.24897</cdr:y>
    </cdr:to>
    <cdr:sp macro="" textlink="">
      <cdr:nvSpPr>
        <cdr:cNvPr id="2" name="TextBox 1"/>
        <cdr:cNvSpPr txBox="1"/>
      </cdr:nvSpPr>
      <cdr:spPr>
        <a:xfrm xmlns:a="http://schemas.openxmlformats.org/drawingml/2006/main">
          <a:off x="5695950" y="528639"/>
          <a:ext cx="2162175" cy="333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200" b="1"/>
            <a:t>Increase in Fleet Replacement</a:t>
          </a:r>
        </a:p>
      </cdr:txBody>
    </cdr:sp>
  </cdr:relSizeAnchor>
  <cdr:relSizeAnchor xmlns:cdr="http://schemas.openxmlformats.org/drawingml/2006/chartDrawing">
    <cdr:from>
      <cdr:x>0.78404</cdr:x>
      <cdr:y>0.17862</cdr:y>
    </cdr:from>
    <cdr:to>
      <cdr:x>0.84507</cdr:x>
      <cdr:y>0.2022</cdr:y>
    </cdr:to>
    <cdr:cxnSp macro="">
      <cdr:nvCxnSpPr>
        <cdr:cNvPr id="4" name="Straight Arrow Connector 3">
          <a:extLst xmlns:a="http://schemas.openxmlformats.org/drawingml/2006/main">
            <a:ext uri="{FF2B5EF4-FFF2-40B4-BE49-F238E27FC236}">
              <a16:creationId xmlns:a16="http://schemas.microsoft.com/office/drawing/2014/main" id="{C3EC17AA-C45A-4CCC-8591-2645A224DA1B}"/>
            </a:ext>
          </a:extLst>
        </cdr:cNvPr>
        <cdr:cNvCxnSpPr/>
      </cdr:nvCxnSpPr>
      <cdr:spPr>
        <a:xfrm xmlns:a="http://schemas.openxmlformats.org/drawingml/2006/main" flipV="1">
          <a:off x="7953400" y="604839"/>
          <a:ext cx="619100" cy="79838"/>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25.xml><?xml version="1.0" encoding="utf-8"?>
<xdr:wsDr xmlns:xdr="http://schemas.openxmlformats.org/drawingml/2006/spreadsheetDrawing" xmlns:a="http://schemas.openxmlformats.org/drawingml/2006/main">
  <xdr:twoCellAnchor>
    <xdr:from>
      <xdr:col>13</xdr:col>
      <xdr:colOff>457199</xdr:colOff>
      <xdr:row>0</xdr:row>
      <xdr:rowOff>238124</xdr:rowOff>
    </xdr:from>
    <xdr:to>
      <xdr:col>22</xdr:col>
      <xdr:colOff>666750</xdr:colOff>
      <xdr:row>18</xdr:row>
      <xdr:rowOff>209550</xdr:rowOff>
    </xdr:to>
    <xdr:graphicFrame macro="">
      <xdr:nvGraphicFramePr>
        <xdr:cNvPr id="8" name="Chart 7">
          <a:extLst>
            <a:ext uri="{FF2B5EF4-FFF2-40B4-BE49-F238E27FC236}">
              <a16:creationId xmlns:a16="http://schemas.microsoft.com/office/drawing/2014/main" id="{00000000-0008-0000-1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409574</xdr:colOff>
      <xdr:row>20</xdr:row>
      <xdr:rowOff>23812</xdr:rowOff>
    </xdr:from>
    <xdr:to>
      <xdr:col>22</xdr:col>
      <xdr:colOff>695325</xdr:colOff>
      <xdr:row>43</xdr:row>
      <xdr:rowOff>57150</xdr:rowOff>
    </xdr:to>
    <xdr:graphicFrame macro="">
      <xdr:nvGraphicFramePr>
        <xdr:cNvPr id="9" name="Chart 8">
          <a:extLst>
            <a:ext uri="{FF2B5EF4-FFF2-40B4-BE49-F238E27FC236}">
              <a16:creationId xmlns:a16="http://schemas.microsoft.com/office/drawing/2014/main" id="{00000000-0008-0000-1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9524</xdr:colOff>
      <xdr:row>44</xdr:row>
      <xdr:rowOff>190500</xdr:rowOff>
    </xdr:from>
    <xdr:to>
      <xdr:col>22</xdr:col>
      <xdr:colOff>657224</xdr:colOff>
      <xdr:row>58</xdr:row>
      <xdr:rowOff>133350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28575</xdr:colOff>
      <xdr:row>59</xdr:row>
      <xdr:rowOff>142875</xdr:rowOff>
    </xdr:from>
    <xdr:to>
      <xdr:col>22</xdr:col>
      <xdr:colOff>609600</xdr:colOff>
      <xdr:row>73</xdr:row>
      <xdr:rowOff>85725</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200025</xdr:colOff>
      <xdr:row>23</xdr:row>
      <xdr:rowOff>142875</xdr:rowOff>
    </xdr:from>
    <xdr:to>
      <xdr:col>20</xdr:col>
      <xdr:colOff>495300</xdr:colOff>
      <xdr:row>25</xdr:row>
      <xdr:rowOff>47625</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19069050" y="4905375"/>
          <a:ext cx="280987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Wastewater Treatment Plant Expansion</a:t>
          </a:r>
        </a:p>
      </xdr:txBody>
    </xdr:sp>
    <xdr:clientData/>
  </xdr:twoCellAnchor>
  <xdr:twoCellAnchor>
    <xdr:from>
      <xdr:col>15</xdr:col>
      <xdr:colOff>285750</xdr:colOff>
      <xdr:row>27</xdr:row>
      <xdr:rowOff>95250</xdr:rowOff>
    </xdr:from>
    <xdr:to>
      <xdr:col>17</xdr:col>
      <xdr:colOff>609600</xdr:colOff>
      <xdr:row>29</xdr:row>
      <xdr:rowOff>0</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17478375" y="5667375"/>
          <a:ext cx="20002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t>Water Treatment Expansion</a:t>
          </a:r>
        </a:p>
      </xdr:txBody>
    </xdr:sp>
    <xdr:clientData/>
  </xdr:twoCellAnchor>
  <xdr:twoCellAnchor>
    <xdr:from>
      <xdr:col>20</xdr:col>
      <xdr:colOff>542925</xdr:colOff>
      <xdr:row>24</xdr:row>
      <xdr:rowOff>28575</xdr:rowOff>
    </xdr:from>
    <xdr:to>
      <xdr:col>21</xdr:col>
      <xdr:colOff>314325</xdr:colOff>
      <xdr:row>24</xdr:row>
      <xdr:rowOff>104775</xdr:rowOff>
    </xdr:to>
    <xdr:cxnSp macro="">
      <xdr:nvCxnSpPr>
        <xdr:cNvPr id="7" name="Straight Arrow Connector 6">
          <a:extLst>
            <a:ext uri="{FF2B5EF4-FFF2-40B4-BE49-F238E27FC236}">
              <a16:creationId xmlns:a16="http://schemas.microsoft.com/office/drawing/2014/main" id="{00000000-0008-0000-1300-000007000000}"/>
            </a:ext>
          </a:extLst>
        </xdr:cNvPr>
        <xdr:cNvCxnSpPr/>
      </xdr:nvCxnSpPr>
      <xdr:spPr>
        <a:xfrm flipV="1">
          <a:off x="21926550" y="4991100"/>
          <a:ext cx="609600" cy="762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714375</xdr:colOff>
      <xdr:row>28</xdr:row>
      <xdr:rowOff>66675</xdr:rowOff>
    </xdr:from>
    <xdr:to>
      <xdr:col>19</xdr:col>
      <xdr:colOff>38100</xdr:colOff>
      <xdr:row>28</xdr:row>
      <xdr:rowOff>85725</xdr:rowOff>
    </xdr:to>
    <xdr:cxnSp macro="">
      <xdr:nvCxnSpPr>
        <xdr:cNvPr id="11" name="Straight Arrow Connector 10">
          <a:extLst>
            <a:ext uri="{FF2B5EF4-FFF2-40B4-BE49-F238E27FC236}">
              <a16:creationId xmlns:a16="http://schemas.microsoft.com/office/drawing/2014/main" id="{00000000-0008-0000-1300-00000B000000}"/>
            </a:ext>
          </a:extLst>
        </xdr:cNvPr>
        <xdr:cNvCxnSpPr/>
      </xdr:nvCxnSpPr>
      <xdr:spPr>
        <a:xfrm>
          <a:off x="19583400" y="5838825"/>
          <a:ext cx="1000125" cy="190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9525</xdr:colOff>
      <xdr:row>1</xdr:row>
      <xdr:rowOff>90487</xdr:rowOff>
    </xdr:from>
    <xdr:to>
      <xdr:col>21</xdr:col>
      <xdr:colOff>733425</xdr:colOff>
      <xdr:row>15</xdr:row>
      <xdr:rowOff>28576</xdr:rowOff>
    </xdr:to>
    <xdr:graphicFrame macro="">
      <xdr:nvGraphicFramePr>
        <xdr:cNvPr id="3" name="Chart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923924</xdr:colOff>
      <xdr:row>17</xdr:row>
      <xdr:rowOff>4762</xdr:rowOff>
    </xdr:from>
    <xdr:to>
      <xdr:col>21</xdr:col>
      <xdr:colOff>733425</xdr:colOff>
      <xdr:row>30</xdr:row>
      <xdr:rowOff>123825</xdr:rowOff>
    </xdr:to>
    <xdr:graphicFrame macro="">
      <xdr:nvGraphicFramePr>
        <xdr:cNvPr id="4" name="Chart 3">
          <a:extLst>
            <a:ext uri="{FF2B5EF4-FFF2-40B4-BE49-F238E27FC236}">
              <a16:creationId xmlns:a16="http://schemas.microsoft.com/office/drawing/2014/main" id="{00000000-0008-0000-1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923924</xdr:colOff>
      <xdr:row>33</xdr:row>
      <xdr:rowOff>47625</xdr:rowOff>
    </xdr:from>
    <xdr:to>
      <xdr:col>21</xdr:col>
      <xdr:colOff>695324</xdr:colOff>
      <xdr:row>46</xdr:row>
      <xdr:rowOff>190500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28575</xdr:colOff>
      <xdr:row>49</xdr:row>
      <xdr:rowOff>0</xdr:rowOff>
    </xdr:from>
    <xdr:to>
      <xdr:col>21</xdr:col>
      <xdr:colOff>695325</xdr:colOff>
      <xdr:row>62</xdr:row>
      <xdr:rowOff>133350</xdr:rowOff>
    </xdr:to>
    <xdr:graphicFrame macro="">
      <xdr:nvGraphicFramePr>
        <xdr:cNvPr id="5" name="Chart 4">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190500</xdr:colOff>
      <xdr:row>55</xdr:row>
      <xdr:rowOff>25400</xdr:rowOff>
    </xdr:from>
    <xdr:to>
      <xdr:col>11</xdr:col>
      <xdr:colOff>914400</xdr:colOff>
      <xdr:row>86</xdr:row>
      <xdr:rowOff>127000</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90</xdr:row>
      <xdr:rowOff>44450</xdr:rowOff>
    </xdr:from>
    <xdr:to>
      <xdr:col>12</xdr:col>
      <xdr:colOff>0</xdr:colOff>
      <xdr:row>123</xdr:row>
      <xdr:rowOff>38100</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xdr:colOff>
      <xdr:row>127</xdr:row>
      <xdr:rowOff>6350</xdr:rowOff>
    </xdr:from>
    <xdr:to>
      <xdr:col>11</xdr:col>
      <xdr:colOff>1028700</xdr:colOff>
      <xdr:row>154</xdr:row>
      <xdr:rowOff>101600</xdr:rowOff>
    </xdr:to>
    <xdr:graphicFrame macro="">
      <xdr:nvGraphicFramePr>
        <xdr:cNvPr id="4" name="Chart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260350</xdr:colOff>
      <xdr:row>159</xdr:row>
      <xdr:rowOff>19050</xdr:rowOff>
    </xdr:from>
    <xdr:to>
      <xdr:col>11</xdr:col>
      <xdr:colOff>965200</xdr:colOff>
      <xdr:row>193</xdr:row>
      <xdr:rowOff>38100</xdr:rowOff>
    </xdr:to>
    <xdr:graphicFrame macro="">
      <xdr:nvGraphicFramePr>
        <xdr:cNvPr id="5" name="Chart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12706</xdr:colOff>
      <xdr:row>196</xdr:row>
      <xdr:rowOff>57150</xdr:rowOff>
    </xdr:from>
    <xdr:to>
      <xdr:col>11</xdr:col>
      <xdr:colOff>1016000</xdr:colOff>
      <xdr:row>229</xdr:row>
      <xdr:rowOff>76200</xdr:rowOff>
    </xdr:to>
    <xdr:graphicFrame macro="">
      <xdr:nvGraphicFramePr>
        <xdr:cNvPr id="6" name="Chart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190500</xdr:colOff>
      <xdr:row>89</xdr:row>
      <xdr:rowOff>25400</xdr:rowOff>
    </xdr:from>
    <xdr:to>
      <xdr:col>11</xdr:col>
      <xdr:colOff>914400</xdr:colOff>
      <xdr:row>120</xdr:row>
      <xdr:rowOff>127000</xdr:rowOff>
    </xdr:to>
    <xdr:graphicFrame macro="">
      <xdr:nvGraphicFramePr>
        <xdr:cNvPr id="12" name="Chart 11">
          <a:extLst>
            <a:ext uri="{FF2B5EF4-FFF2-40B4-BE49-F238E27FC236}">
              <a16:creationId xmlns:a16="http://schemas.microsoft.com/office/drawing/2014/main" id="{00000000-0008-0000-1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133350</xdr:colOff>
      <xdr:row>124</xdr:row>
      <xdr:rowOff>44450</xdr:rowOff>
    </xdr:from>
    <xdr:to>
      <xdr:col>12</xdr:col>
      <xdr:colOff>0</xdr:colOff>
      <xdr:row>157</xdr:row>
      <xdr:rowOff>38100</xdr:rowOff>
    </xdr:to>
    <xdr:graphicFrame macro="">
      <xdr:nvGraphicFramePr>
        <xdr:cNvPr id="13" name="Chart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6350</xdr:colOff>
      <xdr:row>161</xdr:row>
      <xdr:rowOff>6350</xdr:rowOff>
    </xdr:from>
    <xdr:to>
      <xdr:col>11</xdr:col>
      <xdr:colOff>1028700</xdr:colOff>
      <xdr:row>188</xdr:row>
      <xdr:rowOff>101600</xdr:rowOff>
    </xdr:to>
    <xdr:graphicFrame macro="">
      <xdr:nvGraphicFramePr>
        <xdr:cNvPr id="14" name="Chart 13">
          <a:extLst>
            <a:ext uri="{FF2B5EF4-FFF2-40B4-BE49-F238E27FC236}">
              <a16:creationId xmlns:a16="http://schemas.microsoft.com/office/drawing/2014/main" id="{00000000-0008-0000-1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260350</xdr:colOff>
      <xdr:row>193</xdr:row>
      <xdr:rowOff>19050</xdr:rowOff>
    </xdr:from>
    <xdr:to>
      <xdr:col>11</xdr:col>
      <xdr:colOff>965200</xdr:colOff>
      <xdr:row>227</xdr:row>
      <xdr:rowOff>38100</xdr:rowOff>
    </xdr:to>
    <xdr:graphicFrame macro="">
      <xdr:nvGraphicFramePr>
        <xdr:cNvPr id="15" name="Chart 14">
          <a:extLst>
            <a:ext uri="{FF2B5EF4-FFF2-40B4-BE49-F238E27FC236}">
              <a16:creationId xmlns:a16="http://schemas.microsoft.com/office/drawing/2014/main" id="{00000000-0008-0000-1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12706</xdr:colOff>
      <xdr:row>230</xdr:row>
      <xdr:rowOff>57150</xdr:rowOff>
    </xdr:from>
    <xdr:to>
      <xdr:col>11</xdr:col>
      <xdr:colOff>1016000</xdr:colOff>
      <xdr:row>263</xdr:row>
      <xdr:rowOff>76200</xdr:rowOff>
    </xdr:to>
    <xdr:graphicFrame macro="">
      <xdr:nvGraphicFramePr>
        <xdr:cNvPr id="16" name="Chart 15">
          <a:extLst>
            <a:ext uri="{FF2B5EF4-FFF2-40B4-BE49-F238E27FC236}">
              <a16:creationId xmlns:a16="http://schemas.microsoft.com/office/drawing/2014/main" id="{00000000-0008-0000-1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6</xdr:col>
      <xdr:colOff>57150</xdr:colOff>
      <xdr:row>126</xdr:row>
      <xdr:rowOff>38100</xdr:rowOff>
    </xdr:from>
    <xdr:to>
      <xdr:col>12</xdr:col>
      <xdr:colOff>333375</xdr:colOff>
      <xdr:row>126</xdr:row>
      <xdr:rowOff>66675</xdr:rowOff>
    </xdr:to>
    <xdr:cxnSp macro="">
      <xdr:nvCxnSpPr>
        <xdr:cNvPr id="10" name="Straight Arrow Connector 9">
          <a:extLst>
            <a:ext uri="{FF2B5EF4-FFF2-40B4-BE49-F238E27FC236}">
              <a16:creationId xmlns:a16="http://schemas.microsoft.com/office/drawing/2014/main" id="{00000000-0008-0000-1600-00000A000000}"/>
            </a:ext>
          </a:extLst>
        </xdr:cNvPr>
        <xdr:cNvCxnSpPr/>
      </xdr:nvCxnSpPr>
      <xdr:spPr>
        <a:xfrm flipH="1">
          <a:off x="7600950" y="6524625"/>
          <a:ext cx="6305550" cy="285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2286000</xdr:colOff>
      <xdr:row>0</xdr:row>
      <xdr:rowOff>190500</xdr:rowOff>
    </xdr:from>
    <xdr:to>
      <xdr:col>0</xdr:col>
      <xdr:colOff>2295525</xdr:colOff>
      <xdr:row>1</xdr:row>
      <xdr:rowOff>0</xdr:rowOff>
    </xdr:to>
    <xdr:cxnSp macro="">
      <xdr:nvCxnSpPr>
        <xdr:cNvPr id="41" name="Straight Connector 40">
          <a:extLst>
            <a:ext uri="{FF2B5EF4-FFF2-40B4-BE49-F238E27FC236}">
              <a16:creationId xmlns:a16="http://schemas.microsoft.com/office/drawing/2014/main" id="{00000000-0008-0000-1700-000029000000}"/>
            </a:ext>
          </a:extLst>
        </xdr:cNvPr>
        <xdr:cNvCxnSpPr/>
      </xdr:nvCxnSpPr>
      <xdr:spPr>
        <a:xfrm>
          <a:off x="2286000" y="190500"/>
          <a:ext cx="9525" cy="962025"/>
        </a:xfrm>
        <a:prstGeom prst="line">
          <a:avLst/>
        </a:prstGeom>
        <a:ln>
          <a:solidFill>
            <a:srgbClr val="FFFF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90</xdr:row>
      <xdr:rowOff>25400</xdr:rowOff>
    </xdr:from>
    <xdr:to>
      <xdr:col>11</xdr:col>
      <xdr:colOff>914400</xdr:colOff>
      <xdr:row>121</xdr:row>
      <xdr:rowOff>127000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125</xdr:row>
      <xdr:rowOff>44450</xdr:rowOff>
    </xdr:from>
    <xdr:to>
      <xdr:col>12</xdr:col>
      <xdr:colOff>0</xdr:colOff>
      <xdr:row>158</xdr:row>
      <xdr:rowOff>38100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xdr:colOff>
      <xdr:row>162</xdr:row>
      <xdr:rowOff>6350</xdr:rowOff>
    </xdr:from>
    <xdr:to>
      <xdr:col>11</xdr:col>
      <xdr:colOff>1028700</xdr:colOff>
      <xdr:row>189</xdr:row>
      <xdr:rowOff>101600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260350</xdr:colOff>
      <xdr:row>194</xdr:row>
      <xdr:rowOff>19050</xdr:rowOff>
    </xdr:from>
    <xdr:to>
      <xdr:col>11</xdr:col>
      <xdr:colOff>965200</xdr:colOff>
      <xdr:row>228</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12706</xdr:colOff>
      <xdr:row>231</xdr:row>
      <xdr:rowOff>57150</xdr:rowOff>
    </xdr:from>
    <xdr:to>
      <xdr:col>11</xdr:col>
      <xdr:colOff>1016000</xdr:colOff>
      <xdr:row>264</xdr:row>
      <xdr:rowOff>76200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133350</xdr:colOff>
      <xdr:row>117</xdr:row>
      <xdr:rowOff>44450</xdr:rowOff>
    </xdr:from>
    <xdr:to>
      <xdr:col>12</xdr:col>
      <xdr:colOff>0</xdr:colOff>
      <xdr:row>150</xdr:row>
      <xdr:rowOff>38100</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xdr:colOff>
      <xdr:row>154</xdr:row>
      <xdr:rowOff>6350</xdr:rowOff>
    </xdr:from>
    <xdr:to>
      <xdr:col>11</xdr:col>
      <xdr:colOff>1028700</xdr:colOff>
      <xdr:row>181</xdr:row>
      <xdr:rowOff>101600</xdr:rowOff>
    </xdr:to>
    <xdr:graphicFrame macro="">
      <xdr:nvGraphicFramePr>
        <xdr:cNvPr id="4" name="Chart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260350</xdr:colOff>
      <xdr:row>186</xdr:row>
      <xdr:rowOff>19050</xdr:rowOff>
    </xdr:from>
    <xdr:to>
      <xdr:col>11</xdr:col>
      <xdr:colOff>965200</xdr:colOff>
      <xdr:row>220</xdr:row>
      <xdr:rowOff>38100</xdr:rowOff>
    </xdr:to>
    <xdr:graphicFrame macro="">
      <xdr:nvGraphicFramePr>
        <xdr:cNvPr id="5" name="Chart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12706</xdr:colOff>
      <xdr:row>223</xdr:row>
      <xdr:rowOff>57150</xdr:rowOff>
    </xdr:from>
    <xdr:to>
      <xdr:col>11</xdr:col>
      <xdr:colOff>1016000</xdr:colOff>
      <xdr:row>256</xdr:row>
      <xdr:rowOff>76200</xdr:rowOff>
    </xdr:to>
    <xdr:graphicFrame macro="">
      <xdr:nvGraphicFramePr>
        <xdr:cNvPr id="6" name="Chart 5">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190500</xdr:colOff>
      <xdr:row>76</xdr:row>
      <xdr:rowOff>25400</xdr:rowOff>
    </xdr:from>
    <xdr:to>
      <xdr:col>11</xdr:col>
      <xdr:colOff>914400</xdr:colOff>
      <xdr:row>107</xdr:row>
      <xdr:rowOff>127000</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111</xdr:row>
      <xdr:rowOff>44450</xdr:rowOff>
    </xdr:from>
    <xdr:to>
      <xdr:col>12</xdr:col>
      <xdr:colOff>0</xdr:colOff>
      <xdr:row>144</xdr:row>
      <xdr:rowOff>38100</xdr:rowOff>
    </xdr:to>
    <xdr:graphicFrame macro="">
      <xdr:nvGraphicFramePr>
        <xdr:cNvPr id="3" name="Chart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xdr:colOff>
      <xdr:row>148</xdr:row>
      <xdr:rowOff>6350</xdr:rowOff>
    </xdr:from>
    <xdr:to>
      <xdr:col>11</xdr:col>
      <xdr:colOff>1028700</xdr:colOff>
      <xdr:row>175</xdr:row>
      <xdr:rowOff>101600</xdr:rowOff>
    </xdr:to>
    <xdr:graphicFrame macro="">
      <xdr:nvGraphicFramePr>
        <xdr:cNvPr id="4" name="Chart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260350</xdr:colOff>
      <xdr:row>180</xdr:row>
      <xdr:rowOff>19050</xdr:rowOff>
    </xdr:from>
    <xdr:to>
      <xdr:col>11</xdr:col>
      <xdr:colOff>965200</xdr:colOff>
      <xdr:row>214</xdr:row>
      <xdr:rowOff>38100</xdr:rowOff>
    </xdr:to>
    <xdr:graphicFrame macro="">
      <xdr:nvGraphicFramePr>
        <xdr:cNvPr id="5" name="Chart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12706</xdr:colOff>
      <xdr:row>217</xdr:row>
      <xdr:rowOff>57150</xdr:rowOff>
    </xdr:from>
    <xdr:to>
      <xdr:col>11</xdr:col>
      <xdr:colOff>1016000</xdr:colOff>
      <xdr:row>250</xdr:row>
      <xdr:rowOff>76200</xdr:rowOff>
    </xdr:to>
    <xdr:graphicFrame macro="">
      <xdr:nvGraphicFramePr>
        <xdr:cNvPr id="6" name="Chart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6350</xdr:colOff>
      <xdr:row>131</xdr:row>
      <xdr:rowOff>6350</xdr:rowOff>
    </xdr:from>
    <xdr:to>
      <xdr:col>11</xdr:col>
      <xdr:colOff>1028700</xdr:colOff>
      <xdr:row>158</xdr:row>
      <xdr:rowOff>101600</xdr:rowOff>
    </xdr:to>
    <xdr:graphicFrame macro="">
      <xdr:nvGraphicFramePr>
        <xdr:cNvPr id="4" name="Chart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260350</xdr:colOff>
      <xdr:row>163</xdr:row>
      <xdr:rowOff>19050</xdr:rowOff>
    </xdr:from>
    <xdr:to>
      <xdr:col>11</xdr:col>
      <xdr:colOff>965200</xdr:colOff>
      <xdr:row>197</xdr:row>
      <xdr:rowOff>38100</xdr:rowOff>
    </xdr:to>
    <xdr:graphicFrame macro="">
      <xdr:nvGraphicFramePr>
        <xdr:cNvPr id="5" name="Chart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12706</xdr:colOff>
      <xdr:row>200</xdr:row>
      <xdr:rowOff>57150</xdr:rowOff>
    </xdr:from>
    <xdr:to>
      <xdr:col>11</xdr:col>
      <xdr:colOff>1016000</xdr:colOff>
      <xdr:row>233</xdr:row>
      <xdr:rowOff>76200</xdr:rowOff>
    </xdr:to>
    <xdr:graphicFrame macro="">
      <xdr:nvGraphicFramePr>
        <xdr:cNvPr id="6" name="Chart 5">
          <a:extLst>
            <a:ext uri="{FF2B5EF4-FFF2-40B4-BE49-F238E27FC236}">
              <a16:creationId xmlns:a16="http://schemas.microsoft.com/office/drawing/2014/main" id="{00000000-0008-0000-1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133350</xdr:colOff>
      <xdr:row>128</xdr:row>
      <xdr:rowOff>44450</xdr:rowOff>
    </xdr:from>
    <xdr:to>
      <xdr:col>12</xdr:col>
      <xdr:colOff>0</xdr:colOff>
      <xdr:row>161</xdr:row>
      <xdr:rowOff>38100</xdr:rowOff>
    </xdr:to>
    <xdr:graphicFrame macro="">
      <xdr:nvGraphicFramePr>
        <xdr:cNvPr id="13" name="Chart 12">
          <a:extLst>
            <a:ext uri="{FF2B5EF4-FFF2-40B4-BE49-F238E27FC236}">
              <a16:creationId xmlns:a16="http://schemas.microsoft.com/office/drawing/2014/main" id="{00000000-0008-0000-1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6350</xdr:colOff>
      <xdr:row>165</xdr:row>
      <xdr:rowOff>6350</xdr:rowOff>
    </xdr:from>
    <xdr:to>
      <xdr:col>11</xdr:col>
      <xdr:colOff>1028700</xdr:colOff>
      <xdr:row>192</xdr:row>
      <xdr:rowOff>101600</xdr:rowOff>
    </xdr:to>
    <xdr:graphicFrame macro="">
      <xdr:nvGraphicFramePr>
        <xdr:cNvPr id="14" name="Chart 13">
          <a:extLst>
            <a:ext uri="{FF2B5EF4-FFF2-40B4-BE49-F238E27FC236}">
              <a16:creationId xmlns:a16="http://schemas.microsoft.com/office/drawing/2014/main" id="{00000000-0008-0000-1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260350</xdr:colOff>
      <xdr:row>197</xdr:row>
      <xdr:rowOff>19050</xdr:rowOff>
    </xdr:from>
    <xdr:to>
      <xdr:col>11</xdr:col>
      <xdr:colOff>965200</xdr:colOff>
      <xdr:row>231</xdr:row>
      <xdr:rowOff>38100</xdr:rowOff>
    </xdr:to>
    <xdr:graphicFrame macro="">
      <xdr:nvGraphicFramePr>
        <xdr:cNvPr id="15" name="Chart 14">
          <a:extLst>
            <a:ext uri="{FF2B5EF4-FFF2-40B4-BE49-F238E27FC236}">
              <a16:creationId xmlns:a16="http://schemas.microsoft.com/office/drawing/2014/main" id="{00000000-0008-0000-1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12706</xdr:colOff>
      <xdr:row>234</xdr:row>
      <xdr:rowOff>57150</xdr:rowOff>
    </xdr:from>
    <xdr:to>
      <xdr:col>11</xdr:col>
      <xdr:colOff>1016000</xdr:colOff>
      <xdr:row>267</xdr:row>
      <xdr:rowOff>76200</xdr:rowOff>
    </xdr:to>
    <xdr:graphicFrame macro="">
      <xdr:nvGraphicFramePr>
        <xdr:cNvPr id="16" name="Chart 15">
          <a:extLst>
            <a:ext uri="{FF2B5EF4-FFF2-40B4-BE49-F238E27FC236}">
              <a16:creationId xmlns:a16="http://schemas.microsoft.com/office/drawing/2014/main" id="{00000000-0008-0000-1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6350</xdr:colOff>
      <xdr:row>142</xdr:row>
      <xdr:rowOff>6350</xdr:rowOff>
    </xdr:from>
    <xdr:to>
      <xdr:col>11</xdr:col>
      <xdr:colOff>1028700</xdr:colOff>
      <xdr:row>169</xdr:row>
      <xdr:rowOff>101600</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260350</xdr:colOff>
      <xdr:row>174</xdr:row>
      <xdr:rowOff>19050</xdr:rowOff>
    </xdr:from>
    <xdr:to>
      <xdr:col>11</xdr:col>
      <xdr:colOff>965200</xdr:colOff>
      <xdr:row>208</xdr:row>
      <xdr:rowOff>38100</xdr:rowOff>
    </xdr:to>
    <xdr:graphicFrame macro="">
      <xdr:nvGraphicFramePr>
        <xdr:cNvPr id="3" name="Chart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12706</xdr:colOff>
      <xdr:row>211</xdr:row>
      <xdr:rowOff>57150</xdr:rowOff>
    </xdr:from>
    <xdr:to>
      <xdr:col>11</xdr:col>
      <xdr:colOff>1016000</xdr:colOff>
      <xdr:row>244</xdr:row>
      <xdr:rowOff>76200</xdr:rowOff>
    </xdr:to>
    <xdr:graphicFrame macro="">
      <xdr:nvGraphicFramePr>
        <xdr:cNvPr id="4" name="Chart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133350</xdr:colOff>
      <xdr:row>139</xdr:row>
      <xdr:rowOff>44450</xdr:rowOff>
    </xdr:from>
    <xdr:to>
      <xdr:col>12</xdr:col>
      <xdr:colOff>0</xdr:colOff>
      <xdr:row>172</xdr:row>
      <xdr:rowOff>38100</xdr:rowOff>
    </xdr:to>
    <xdr:graphicFrame macro="">
      <xdr:nvGraphicFramePr>
        <xdr:cNvPr id="5" name="Chart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6350</xdr:colOff>
      <xdr:row>176</xdr:row>
      <xdr:rowOff>6350</xdr:rowOff>
    </xdr:from>
    <xdr:to>
      <xdr:col>11</xdr:col>
      <xdr:colOff>1028700</xdr:colOff>
      <xdr:row>203</xdr:row>
      <xdr:rowOff>101600</xdr:rowOff>
    </xdr:to>
    <xdr:graphicFrame macro="">
      <xdr:nvGraphicFramePr>
        <xdr:cNvPr id="6" name="Chart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260350</xdr:colOff>
      <xdr:row>208</xdr:row>
      <xdr:rowOff>19050</xdr:rowOff>
    </xdr:from>
    <xdr:to>
      <xdr:col>11</xdr:col>
      <xdr:colOff>965200</xdr:colOff>
      <xdr:row>242</xdr:row>
      <xdr:rowOff>38100</xdr:rowOff>
    </xdr:to>
    <xdr:graphicFrame macro="">
      <xdr:nvGraphicFramePr>
        <xdr:cNvPr id="7" name="Chart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12706</xdr:colOff>
      <xdr:row>245</xdr:row>
      <xdr:rowOff>57150</xdr:rowOff>
    </xdr:from>
    <xdr:to>
      <xdr:col>11</xdr:col>
      <xdr:colOff>1016000</xdr:colOff>
      <xdr:row>278</xdr:row>
      <xdr:rowOff>76200</xdr:rowOff>
    </xdr:to>
    <xdr:graphicFrame macro="">
      <xdr:nvGraphicFramePr>
        <xdr:cNvPr id="8" name="Chart 7">
          <a:extLst>
            <a:ext uri="{FF2B5EF4-FFF2-40B4-BE49-F238E27FC236}">
              <a16:creationId xmlns:a16="http://schemas.microsoft.com/office/drawing/2014/main" id="{00000000-0008-0000-1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xdr:colOff>
      <xdr:row>0</xdr:row>
      <xdr:rowOff>219075</xdr:rowOff>
    </xdr:from>
    <xdr:to>
      <xdr:col>21</xdr:col>
      <xdr:colOff>19050</xdr:colOff>
      <xdr:row>23</xdr:row>
      <xdr:rowOff>9525</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19049</xdr:colOff>
      <xdr:row>25</xdr:row>
      <xdr:rowOff>1</xdr:rowOff>
    </xdr:from>
    <xdr:to>
      <xdr:col>21</xdr:col>
      <xdr:colOff>1</xdr:colOff>
      <xdr:row>38</xdr:row>
      <xdr:rowOff>1</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9524</xdr:colOff>
      <xdr:row>39</xdr:row>
      <xdr:rowOff>95250</xdr:rowOff>
    </xdr:from>
    <xdr:to>
      <xdr:col>21</xdr:col>
      <xdr:colOff>19049</xdr:colOff>
      <xdr:row>53</xdr:row>
      <xdr:rowOff>38100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38100</xdr:colOff>
      <xdr:row>32</xdr:row>
      <xdr:rowOff>104775</xdr:rowOff>
    </xdr:from>
    <xdr:to>
      <xdr:col>17</xdr:col>
      <xdr:colOff>819149</xdr:colOff>
      <xdr:row>33</xdr:row>
      <xdr:rowOff>152400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6897350" y="6657975"/>
          <a:ext cx="2457449"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New computers; recruiting services</a:t>
          </a:r>
        </a:p>
      </xdr:txBody>
    </xdr:sp>
    <xdr:clientData/>
  </xdr:twoCellAnchor>
  <xdr:twoCellAnchor>
    <xdr:from>
      <xdr:col>17</xdr:col>
      <xdr:colOff>733425</xdr:colOff>
      <xdr:row>28</xdr:row>
      <xdr:rowOff>142875</xdr:rowOff>
    </xdr:from>
    <xdr:to>
      <xdr:col>17</xdr:col>
      <xdr:colOff>819149</xdr:colOff>
      <xdr:row>33</xdr:row>
      <xdr:rowOff>28575</xdr:rowOff>
    </xdr:to>
    <xdr:cxnSp macro="">
      <xdr:nvCxnSpPr>
        <xdr:cNvPr id="5" name="Straight Arrow Connector 4">
          <a:extLst>
            <a:ext uri="{FF2B5EF4-FFF2-40B4-BE49-F238E27FC236}">
              <a16:creationId xmlns:a16="http://schemas.microsoft.com/office/drawing/2014/main" id="{00000000-0008-0000-0300-000005000000}"/>
            </a:ext>
          </a:extLst>
        </xdr:cNvPr>
        <xdr:cNvCxnSpPr>
          <a:stCxn id="3" idx="3"/>
        </xdr:cNvCxnSpPr>
      </xdr:nvCxnSpPr>
      <xdr:spPr>
        <a:xfrm flipH="1" flipV="1">
          <a:off x="19269075" y="5895975"/>
          <a:ext cx="85724" cy="8858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xdr:row>
      <xdr:rowOff>0</xdr:rowOff>
    </xdr:from>
    <xdr:to>
      <xdr:col>21</xdr:col>
      <xdr:colOff>0</xdr:colOff>
      <xdr:row>15</xdr:row>
      <xdr:rowOff>66675</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9525</xdr:colOff>
      <xdr:row>16</xdr:row>
      <xdr:rowOff>185738</xdr:rowOff>
    </xdr:from>
    <xdr:to>
      <xdr:col>21</xdr:col>
      <xdr:colOff>0</xdr:colOff>
      <xdr:row>30</xdr:row>
      <xdr:rowOff>76200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828675</xdr:colOff>
      <xdr:row>31</xdr:row>
      <xdr:rowOff>180975</xdr:rowOff>
    </xdr:from>
    <xdr:to>
      <xdr:col>21</xdr:col>
      <xdr:colOff>0</xdr:colOff>
      <xdr:row>45</xdr:row>
      <xdr:rowOff>123825</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9525</xdr:colOff>
      <xdr:row>47</xdr:row>
      <xdr:rowOff>9525</xdr:rowOff>
    </xdr:from>
    <xdr:to>
      <xdr:col>21</xdr:col>
      <xdr:colOff>0</xdr:colOff>
      <xdr:row>60</xdr:row>
      <xdr:rowOff>152400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200026</xdr:colOff>
      <xdr:row>4</xdr:row>
      <xdr:rowOff>142875</xdr:rowOff>
    </xdr:from>
    <xdr:to>
      <xdr:col>18</xdr:col>
      <xdr:colOff>600076</xdr:colOff>
      <xdr:row>5</xdr:row>
      <xdr:rowOff>161925</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8173701" y="981075"/>
          <a:ext cx="207645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a:solidFill>
                <a:schemeClr val="dk1"/>
              </a:solidFill>
              <a:effectLst/>
              <a:latin typeface="+mn-lt"/>
              <a:ea typeface="+mn-ea"/>
              <a:cs typeface="+mn-cs"/>
            </a:rPr>
            <a:t>2017 - 2018: Additional</a:t>
          </a:r>
          <a:r>
            <a:rPr lang="en-US" sz="1200" b="1" i="0" u="none" strike="noStrike" baseline="0">
              <a:solidFill>
                <a:schemeClr val="dk1"/>
              </a:solidFill>
              <a:effectLst/>
              <a:latin typeface="+mn-lt"/>
              <a:ea typeface="+mn-ea"/>
              <a:cs typeface="+mn-cs"/>
            </a:rPr>
            <a:t> FTEs</a:t>
          </a:r>
          <a:r>
            <a:rPr lang="en-US" sz="1200" b="1"/>
            <a:t> </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0.68994</cdr:x>
      <cdr:y>0.21338</cdr:y>
    </cdr:from>
    <cdr:to>
      <cdr:x>0.84253</cdr:x>
      <cdr:y>0.22611</cdr:y>
    </cdr:to>
    <cdr:cxnSp macro="">
      <cdr:nvCxnSpPr>
        <cdr:cNvPr id="3" name="Straight Arrow Connector 2">
          <a:extLst xmlns:a="http://schemas.openxmlformats.org/drawingml/2006/main">
            <a:ext uri="{FF2B5EF4-FFF2-40B4-BE49-F238E27FC236}">
              <a16:creationId xmlns:a16="http://schemas.microsoft.com/office/drawing/2014/main" id="{457A52C0-0E16-4342-B60E-9F3F65D186CF}"/>
            </a:ext>
          </a:extLst>
        </cdr:cNvPr>
        <cdr:cNvCxnSpPr/>
      </cdr:nvCxnSpPr>
      <cdr:spPr>
        <a:xfrm xmlns:a="http://schemas.openxmlformats.org/drawingml/2006/main" flipV="1">
          <a:off x="4048125" y="638175"/>
          <a:ext cx="895350" cy="38100"/>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13</xdr:col>
      <xdr:colOff>0</xdr:colOff>
      <xdr:row>21</xdr:row>
      <xdr:rowOff>171450</xdr:rowOff>
    </xdr:from>
    <xdr:to>
      <xdr:col>20</xdr:col>
      <xdr:colOff>828676</xdr:colOff>
      <xdr:row>40</xdr:row>
      <xdr:rowOff>190500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19049</xdr:colOff>
      <xdr:row>0</xdr:row>
      <xdr:rowOff>171450</xdr:rowOff>
    </xdr:from>
    <xdr:to>
      <xdr:col>20</xdr:col>
      <xdr:colOff>828674</xdr:colOff>
      <xdr:row>20</xdr:row>
      <xdr:rowOff>57150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9524</xdr:colOff>
      <xdr:row>43</xdr:row>
      <xdr:rowOff>95250</xdr:rowOff>
    </xdr:from>
    <xdr:to>
      <xdr:col>21</xdr:col>
      <xdr:colOff>38099</xdr:colOff>
      <xdr:row>57</xdr:row>
      <xdr:rowOff>28575</xdr:rowOff>
    </xdr:to>
    <xdr:graphicFrame macro="">
      <xdr:nvGraphicFramePr>
        <xdr:cNvPr id="6" name="Chart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1057274</xdr:colOff>
      <xdr:row>58</xdr:row>
      <xdr:rowOff>180975</xdr:rowOff>
    </xdr:from>
    <xdr:to>
      <xdr:col>20</xdr:col>
      <xdr:colOff>828674</xdr:colOff>
      <xdr:row>72</xdr:row>
      <xdr:rowOff>123825</xdr:rowOff>
    </xdr:to>
    <xdr:graphicFrame macro="">
      <xdr:nvGraphicFramePr>
        <xdr:cNvPr id="7" name="Chart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9526</xdr:colOff>
      <xdr:row>2</xdr:row>
      <xdr:rowOff>190500</xdr:rowOff>
    </xdr:from>
    <xdr:to>
      <xdr:col>18</xdr:col>
      <xdr:colOff>152400</xdr:colOff>
      <xdr:row>4</xdr:row>
      <xdr:rowOff>114300</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7145001" y="628650"/>
          <a:ext cx="2657474"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Community Engagement move to CMO</a:t>
          </a:r>
        </a:p>
      </xdr:txBody>
    </xdr:sp>
    <xdr:clientData/>
  </xdr:twoCellAnchor>
  <xdr:twoCellAnchor>
    <xdr:from>
      <xdr:col>18</xdr:col>
      <xdr:colOff>219075</xdr:colOff>
      <xdr:row>3</xdr:row>
      <xdr:rowOff>171450</xdr:rowOff>
    </xdr:from>
    <xdr:to>
      <xdr:col>19</xdr:col>
      <xdr:colOff>561975</xdr:colOff>
      <xdr:row>5</xdr:row>
      <xdr:rowOff>95250</xdr:rowOff>
    </xdr:to>
    <xdr:cxnSp macro="">
      <xdr:nvCxnSpPr>
        <xdr:cNvPr id="10" name="Straight Arrow Connector 9">
          <a:extLst>
            <a:ext uri="{FF2B5EF4-FFF2-40B4-BE49-F238E27FC236}">
              <a16:creationId xmlns:a16="http://schemas.microsoft.com/office/drawing/2014/main" id="{00000000-0008-0000-0500-00000A000000}"/>
            </a:ext>
          </a:extLst>
        </xdr:cNvPr>
        <xdr:cNvCxnSpPr/>
      </xdr:nvCxnSpPr>
      <xdr:spPr>
        <a:xfrm>
          <a:off x="19869150" y="809625"/>
          <a:ext cx="1181100" cy="3619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28574</xdr:colOff>
      <xdr:row>0</xdr:row>
      <xdr:rowOff>142876</xdr:rowOff>
    </xdr:from>
    <xdr:to>
      <xdr:col>20</xdr:col>
      <xdr:colOff>838199</xdr:colOff>
      <xdr:row>14</xdr:row>
      <xdr:rowOff>1</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9525</xdr:colOff>
      <xdr:row>30</xdr:row>
      <xdr:rowOff>47625</xdr:rowOff>
    </xdr:from>
    <xdr:to>
      <xdr:col>20</xdr:col>
      <xdr:colOff>828675</xdr:colOff>
      <xdr:row>44</xdr:row>
      <xdr:rowOff>142875</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19049</xdr:colOff>
      <xdr:row>46</xdr:row>
      <xdr:rowOff>76200</xdr:rowOff>
    </xdr:from>
    <xdr:to>
      <xdr:col>21</xdr:col>
      <xdr:colOff>19050</xdr:colOff>
      <xdr:row>60</xdr:row>
      <xdr:rowOff>142875</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9524</xdr:colOff>
      <xdr:row>15</xdr:row>
      <xdr:rowOff>38100</xdr:rowOff>
    </xdr:from>
    <xdr:to>
      <xdr:col>20</xdr:col>
      <xdr:colOff>828675</xdr:colOff>
      <xdr:row>29</xdr:row>
      <xdr:rowOff>19050</xdr:rowOff>
    </xdr:to>
    <xdr:graphicFrame macro="">
      <xdr:nvGraphicFramePr>
        <xdr:cNvPr id="10" name="Chart 9">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19049</xdr:colOff>
      <xdr:row>0</xdr:row>
      <xdr:rowOff>66675</xdr:rowOff>
    </xdr:from>
    <xdr:to>
      <xdr:col>21</xdr:col>
      <xdr:colOff>38100</xdr:colOff>
      <xdr:row>13</xdr:row>
      <xdr:rowOff>171451</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1057274</xdr:colOff>
      <xdr:row>15</xdr:row>
      <xdr:rowOff>0</xdr:rowOff>
    </xdr:from>
    <xdr:to>
      <xdr:col>21</xdr:col>
      <xdr:colOff>47625</xdr:colOff>
      <xdr:row>33</xdr:row>
      <xdr:rowOff>9525</xdr:rowOff>
    </xdr:to>
    <xdr:graphicFrame macro="">
      <xdr:nvGraphicFramePr>
        <xdr:cNvPr id="6" name="Chart 5">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38100</xdr:colOff>
      <xdr:row>33</xdr:row>
      <xdr:rowOff>123825</xdr:rowOff>
    </xdr:from>
    <xdr:to>
      <xdr:col>21</xdr:col>
      <xdr:colOff>19050</xdr:colOff>
      <xdr:row>47</xdr:row>
      <xdr:rowOff>19050</xdr:rowOff>
    </xdr:to>
    <xdr:graphicFrame macro="">
      <xdr:nvGraphicFramePr>
        <xdr:cNvPr id="7" name="Chart 6">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66674</xdr:colOff>
      <xdr:row>48</xdr:row>
      <xdr:rowOff>76200</xdr:rowOff>
    </xdr:from>
    <xdr:to>
      <xdr:col>21</xdr:col>
      <xdr:colOff>57149</xdr:colOff>
      <xdr:row>62</xdr:row>
      <xdr:rowOff>9525</xdr:rowOff>
    </xdr:to>
    <xdr:graphicFrame macro="">
      <xdr:nvGraphicFramePr>
        <xdr:cNvPr id="8" name="Chart 7">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orthb\AppData\Local\Microsoft\Windows\INetCache\Content.Outlook\SBTL232F\2019%20Budget%20Dashboard%20Full%2009042018%20JR%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udget%20Dashboard%20for%205-23-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orthb\AppData\Local\Microsoft\Windows\INetCache\Content.Outlook\SBTL232F\2019%20Budget%20Dashboard%20Full%2009042018%20JR%20(002).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ity%20Dept%20FinAnalysis%20%202017.10%20Ver%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Depts"/>
      <sheetName val="Stats"/>
      <sheetName val="Template"/>
      <sheetName val="Legis"/>
      <sheetName val="Exec-Legal"/>
      <sheetName val="City Manager only"/>
      <sheetName val="City Attorney only"/>
      <sheetName val="Municipal Court only"/>
      <sheetName val="CClerk"/>
      <sheetName val="CS"/>
      <sheetName val="DS"/>
      <sheetName val="ED"/>
      <sheetName val="FIN"/>
      <sheetName val="HR"/>
      <sheetName val="IT"/>
      <sheetName val="LIB"/>
      <sheetName val="P&amp;R"/>
      <sheetName val="POL"/>
      <sheetName val="PW"/>
      <sheetName val="W&amp;P"/>
      <sheetName val="LFRA"/>
      <sheetName val="Airport"/>
      <sheetName val="Page 50-53 Reconciliation"/>
      <sheetName val="Non Dept 45"/>
      <sheetName val="Contrib"/>
      <sheetName val="Transfers"/>
      <sheetName val="Cap Proj"/>
      <sheetName val="Other Spec Revenue"/>
      <sheetName val="Undistributed GF Rev"/>
      <sheetName val="Bud Diff"/>
      <sheetName val="City Net"/>
      <sheetName val="Old Fund Summary"/>
      <sheetName val="Sheet3"/>
    </sheetNames>
    <sheetDataSet>
      <sheetData sheetId="0" refreshError="1"/>
      <sheetData sheetId="1" refreshError="1"/>
      <sheetData sheetId="2" refreshError="1"/>
      <sheetData sheetId="3">
        <row r="24">
          <cell r="J24">
            <v>159913</v>
          </cell>
        </row>
        <row r="28">
          <cell r="J28">
            <v>0</v>
          </cell>
          <cell r="K28">
            <v>0</v>
          </cell>
          <cell r="L28">
            <v>0</v>
          </cell>
        </row>
      </sheetData>
      <sheetData sheetId="4">
        <row r="16">
          <cell r="J16">
            <v>4565818</v>
          </cell>
        </row>
        <row r="51">
          <cell r="J51">
            <v>393939</v>
          </cell>
          <cell r="K51">
            <v>1762003</v>
          </cell>
          <cell r="L51">
            <v>883133</v>
          </cell>
        </row>
      </sheetData>
      <sheetData sheetId="5" refreshError="1"/>
      <sheetData sheetId="6" refreshError="1"/>
      <sheetData sheetId="7" refreshError="1"/>
      <sheetData sheetId="8">
        <row r="17">
          <cell r="J17">
            <v>745450</v>
          </cell>
        </row>
        <row r="20">
          <cell r="J20">
            <v>0</v>
          </cell>
          <cell r="K20">
            <v>0</v>
          </cell>
          <cell r="L20">
            <v>0</v>
          </cell>
        </row>
      </sheetData>
      <sheetData sheetId="9">
        <row r="15">
          <cell r="J15">
            <v>2333239</v>
          </cell>
        </row>
        <row r="18">
          <cell r="J18">
            <v>297275</v>
          </cell>
          <cell r="K18">
            <v>903064</v>
          </cell>
          <cell r="L18">
            <v>377489</v>
          </cell>
        </row>
      </sheetData>
      <sheetData sheetId="10">
        <row r="19">
          <cell r="J19">
            <v>3632285</v>
          </cell>
        </row>
        <row r="22">
          <cell r="K22">
            <v>0</v>
          </cell>
          <cell r="L22">
            <v>0</v>
          </cell>
        </row>
      </sheetData>
      <sheetData sheetId="11">
        <row r="15">
          <cell r="J15">
            <v>1766951</v>
          </cell>
        </row>
        <row r="18">
          <cell r="J18">
            <v>1337481</v>
          </cell>
          <cell r="K18">
            <v>1117488</v>
          </cell>
          <cell r="L18">
            <v>997524</v>
          </cell>
        </row>
      </sheetData>
      <sheetData sheetId="12">
        <row r="15">
          <cell r="J15">
            <v>5963225</v>
          </cell>
        </row>
        <row r="18">
          <cell r="J18">
            <v>0</v>
          </cell>
          <cell r="K18">
            <v>0</v>
          </cell>
          <cell r="L18">
            <v>0</v>
          </cell>
        </row>
      </sheetData>
      <sheetData sheetId="13">
        <row r="16">
          <cell r="J16">
            <v>1414939</v>
          </cell>
        </row>
        <row r="19">
          <cell r="J19">
            <v>0</v>
          </cell>
          <cell r="K19">
            <v>0</v>
          </cell>
          <cell r="L19">
            <v>0</v>
          </cell>
        </row>
      </sheetData>
      <sheetData sheetId="14">
        <row r="15">
          <cell r="J15">
            <v>4665671</v>
          </cell>
        </row>
        <row r="18">
          <cell r="J18">
            <v>324471</v>
          </cell>
          <cell r="K18">
            <v>404435</v>
          </cell>
          <cell r="L18">
            <v>389000</v>
          </cell>
        </row>
      </sheetData>
      <sheetData sheetId="15">
        <row r="15">
          <cell r="J15">
            <v>3762506</v>
          </cell>
        </row>
        <row r="18">
          <cell r="J18">
            <v>0</v>
          </cell>
          <cell r="K18">
            <v>75000</v>
          </cell>
          <cell r="L18">
            <v>0</v>
          </cell>
        </row>
      </sheetData>
      <sheetData sheetId="16">
        <row r="15">
          <cell r="J15">
            <v>11803103</v>
          </cell>
        </row>
        <row r="18">
          <cell r="J18">
            <v>7121667</v>
          </cell>
          <cell r="K18">
            <v>14925815</v>
          </cell>
          <cell r="L18">
            <v>12193175</v>
          </cell>
        </row>
      </sheetData>
      <sheetData sheetId="17">
        <row r="15">
          <cell r="J15">
            <v>24480952</v>
          </cell>
        </row>
        <row r="18">
          <cell r="J18">
            <v>177320</v>
          </cell>
          <cell r="K18">
            <v>6804669</v>
          </cell>
          <cell r="L18">
            <v>0</v>
          </cell>
        </row>
      </sheetData>
      <sheetData sheetId="18">
        <row r="15">
          <cell r="J15">
            <v>7576956</v>
          </cell>
        </row>
        <row r="18">
          <cell r="J18">
            <v>23347606</v>
          </cell>
          <cell r="K18">
            <v>51732153</v>
          </cell>
          <cell r="L18">
            <v>35153556</v>
          </cell>
        </row>
      </sheetData>
      <sheetData sheetId="19">
        <row r="15">
          <cell r="J15">
            <v>0</v>
          </cell>
        </row>
        <row r="18">
          <cell r="J18">
            <v>0</v>
          </cell>
          <cell r="K18">
            <v>0</v>
          </cell>
          <cell r="L18">
            <v>0</v>
          </cell>
        </row>
      </sheetData>
      <sheetData sheetId="20">
        <row r="15">
          <cell r="J15">
            <v>0</v>
          </cell>
        </row>
        <row r="42">
          <cell r="J42">
            <v>36822</v>
          </cell>
          <cell r="K42">
            <v>1966572</v>
          </cell>
        </row>
      </sheetData>
      <sheetData sheetId="21">
        <row r="26">
          <cell r="J26">
            <v>0</v>
          </cell>
        </row>
      </sheetData>
      <sheetData sheetId="22" refreshError="1"/>
      <sheetData sheetId="23">
        <row r="37">
          <cell r="J37">
            <v>21519798</v>
          </cell>
        </row>
      </sheetData>
      <sheetData sheetId="24" refreshError="1"/>
      <sheetData sheetId="25" refreshError="1"/>
      <sheetData sheetId="26">
        <row r="38">
          <cell r="J38">
            <v>9599330</v>
          </cell>
        </row>
        <row r="45">
          <cell r="J45">
            <v>0</v>
          </cell>
          <cell r="K45">
            <v>0</v>
          </cell>
          <cell r="L45">
            <v>0</v>
          </cell>
        </row>
      </sheetData>
      <sheetData sheetId="27">
        <row r="53">
          <cell r="J53">
            <v>0</v>
          </cell>
          <cell r="K53">
            <v>2188074</v>
          </cell>
          <cell r="L53">
            <v>0</v>
          </cell>
        </row>
      </sheetData>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Depts"/>
      <sheetName val="Stats"/>
      <sheetName val="Template"/>
      <sheetName val="Legis"/>
      <sheetName val="Exec-Legal"/>
      <sheetName val="City Manager only"/>
      <sheetName val="City Attorney only"/>
      <sheetName val="Municipal Court only"/>
      <sheetName val="CClerk"/>
      <sheetName val="CS"/>
      <sheetName val="DS"/>
      <sheetName val="ED"/>
      <sheetName val="FIN"/>
      <sheetName val="HR"/>
      <sheetName val="IT"/>
      <sheetName val="LIB"/>
      <sheetName val="P&amp;R"/>
      <sheetName val="POL"/>
      <sheetName val="PW"/>
      <sheetName val="W&amp;P"/>
      <sheetName val="Non Dept 45"/>
      <sheetName val="Contrib"/>
      <sheetName val="Transfers"/>
      <sheetName val="Airport"/>
      <sheetName val="Cap Proj"/>
      <sheetName val="LFRA"/>
      <sheetName val="Undistributed GF Rev"/>
      <sheetName val="Bud Diff"/>
      <sheetName val="City Net"/>
      <sheetName val="Old Fund Summary"/>
      <sheetName val="Sheet3"/>
    </sheetNames>
    <sheetDataSet>
      <sheetData sheetId="0"/>
      <sheetData sheetId="1"/>
      <sheetData sheetId="2"/>
      <sheetData sheetId="3">
        <row r="28">
          <cell r="L28">
            <v>143523</v>
          </cell>
        </row>
      </sheetData>
      <sheetData sheetId="4">
        <row r="21">
          <cell r="L21">
            <v>4799183</v>
          </cell>
        </row>
        <row r="22">
          <cell r="L22">
            <v>0</v>
          </cell>
        </row>
        <row r="23">
          <cell r="L23">
            <v>0</v>
          </cell>
        </row>
        <row r="25">
          <cell r="L25">
            <v>0</v>
          </cell>
        </row>
      </sheetData>
      <sheetData sheetId="5"/>
      <sheetData sheetId="6"/>
      <sheetData sheetId="7"/>
      <sheetData sheetId="8">
        <row r="21">
          <cell r="L21">
            <v>921108</v>
          </cell>
        </row>
        <row r="22">
          <cell r="L22">
            <v>0</v>
          </cell>
        </row>
        <row r="23">
          <cell r="L23">
            <v>0</v>
          </cell>
        </row>
        <row r="24">
          <cell r="L24">
            <v>0</v>
          </cell>
        </row>
        <row r="25">
          <cell r="L25">
            <v>0</v>
          </cell>
        </row>
      </sheetData>
      <sheetData sheetId="9">
        <row r="18">
          <cell r="L18">
            <v>2586626</v>
          </cell>
        </row>
        <row r="19">
          <cell r="L19">
            <v>0</v>
          </cell>
        </row>
        <row r="20">
          <cell r="L20">
            <v>0</v>
          </cell>
        </row>
        <row r="22">
          <cell r="L22"/>
        </row>
      </sheetData>
      <sheetData sheetId="10">
        <row r="19">
          <cell r="L19">
            <v>3878480</v>
          </cell>
        </row>
        <row r="20">
          <cell r="L20">
            <v>0</v>
          </cell>
        </row>
        <row r="21">
          <cell r="L21">
            <v>0</v>
          </cell>
        </row>
        <row r="22">
          <cell r="L22">
            <v>0</v>
          </cell>
        </row>
        <row r="23">
          <cell r="L23"/>
        </row>
      </sheetData>
      <sheetData sheetId="11">
        <row r="18">
          <cell r="L18">
            <v>1301029</v>
          </cell>
        </row>
        <row r="19">
          <cell r="L19">
            <v>0</v>
          </cell>
        </row>
        <row r="20">
          <cell r="L20">
            <v>0</v>
          </cell>
        </row>
        <row r="22">
          <cell r="L22"/>
        </row>
        <row r="66">
          <cell r="L66">
            <v>8</v>
          </cell>
        </row>
      </sheetData>
      <sheetData sheetId="12">
        <row r="21">
          <cell r="L21">
            <v>6913073</v>
          </cell>
        </row>
        <row r="22">
          <cell r="L22">
            <v>0</v>
          </cell>
        </row>
        <row r="23">
          <cell r="L23">
            <v>0</v>
          </cell>
        </row>
        <row r="24">
          <cell r="L24">
            <v>0</v>
          </cell>
        </row>
        <row r="25">
          <cell r="L25"/>
        </row>
      </sheetData>
      <sheetData sheetId="13">
        <row r="21">
          <cell r="L21">
            <v>1813328</v>
          </cell>
        </row>
        <row r="23">
          <cell r="L23">
            <v>0</v>
          </cell>
        </row>
        <row r="24">
          <cell r="L24">
            <v>0</v>
          </cell>
        </row>
        <row r="25">
          <cell r="L25"/>
        </row>
      </sheetData>
      <sheetData sheetId="14">
        <row r="21">
          <cell r="L21">
            <v>5416696</v>
          </cell>
        </row>
        <row r="22">
          <cell r="L22">
            <v>0</v>
          </cell>
        </row>
        <row r="23">
          <cell r="L23">
            <v>0</v>
          </cell>
        </row>
        <row r="25">
          <cell r="L25"/>
        </row>
        <row r="69">
          <cell r="L69">
            <v>23</v>
          </cell>
        </row>
      </sheetData>
      <sheetData sheetId="15">
        <row r="21">
          <cell r="L21">
            <v>4278817</v>
          </cell>
        </row>
        <row r="22">
          <cell r="L22">
            <v>0</v>
          </cell>
        </row>
        <row r="23">
          <cell r="L23">
            <v>0</v>
          </cell>
        </row>
        <row r="25">
          <cell r="L25"/>
        </row>
      </sheetData>
      <sheetData sheetId="16">
        <row r="21">
          <cell r="L21">
            <v>12864910</v>
          </cell>
        </row>
        <row r="22">
          <cell r="L22">
            <v>0</v>
          </cell>
        </row>
        <row r="25">
          <cell r="L25"/>
        </row>
      </sheetData>
      <sheetData sheetId="17">
        <row r="21">
          <cell r="L21">
            <v>26198103</v>
          </cell>
        </row>
        <row r="22">
          <cell r="L22">
            <v>0</v>
          </cell>
        </row>
        <row r="23">
          <cell r="L23">
            <v>0</v>
          </cell>
        </row>
        <row r="25">
          <cell r="L25"/>
        </row>
      </sheetData>
      <sheetData sheetId="18">
        <row r="22">
          <cell r="L22">
            <v>6967532</v>
          </cell>
        </row>
        <row r="26">
          <cell r="L26"/>
        </row>
      </sheetData>
      <sheetData sheetId="19">
        <row r="21">
          <cell r="L21">
            <v>751236</v>
          </cell>
        </row>
        <row r="22">
          <cell r="L22">
            <v>0</v>
          </cell>
        </row>
        <row r="24">
          <cell r="L24">
            <v>0</v>
          </cell>
        </row>
        <row r="25">
          <cell r="L25"/>
        </row>
      </sheetData>
      <sheetData sheetId="20">
        <row r="21">
          <cell r="L21">
            <v>12665707</v>
          </cell>
        </row>
      </sheetData>
      <sheetData sheetId="21">
        <row r="25">
          <cell r="L25">
            <v>0</v>
          </cell>
        </row>
      </sheetData>
      <sheetData sheetId="22">
        <row r="23">
          <cell r="L23">
            <v>0</v>
          </cell>
        </row>
        <row r="24">
          <cell r="L24"/>
        </row>
        <row r="25">
          <cell r="L25"/>
        </row>
        <row r="26">
          <cell r="L26"/>
        </row>
        <row r="27">
          <cell r="L27"/>
        </row>
      </sheetData>
      <sheetData sheetId="23">
        <row r="20">
          <cell r="L20">
            <v>177500</v>
          </cell>
        </row>
        <row r="21">
          <cell r="L21"/>
        </row>
        <row r="22">
          <cell r="L22"/>
        </row>
        <row r="23">
          <cell r="L23"/>
        </row>
      </sheetData>
      <sheetData sheetId="24">
        <row r="21">
          <cell r="L21">
            <v>9588936</v>
          </cell>
        </row>
        <row r="22">
          <cell r="L22"/>
        </row>
        <row r="23">
          <cell r="L23"/>
        </row>
        <row r="25">
          <cell r="L25"/>
        </row>
      </sheetData>
      <sheetData sheetId="25">
        <row r="22">
          <cell r="L22">
            <v>12049817</v>
          </cell>
        </row>
        <row r="45">
          <cell r="L45">
            <v>0</v>
          </cell>
        </row>
        <row r="46">
          <cell r="L46"/>
        </row>
      </sheetData>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Depts"/>
      <sheetName val="Stats"/>
      <sheetName val="Template"/>
      <sheetName val="Legis"/>
      <sheetName val="Exec-Legal"/>
      <sheetName val="City Manager only"/>
      <sheetName val="City Attorney only"/>
      <sheetName val="Municipal Court only"/>
      <sheetName val="CClerk"/>
      <sheetName val="CS"/>
      <sheetName val="DS"/>
      <sheetName val="ED"/>
      <sheetName val="FIN"/>
      <sheetName val="HR"/>
      <sheetName val="IT"/>
      <sheetName val="LIB"/>
      <sheetName val="P&amp;R"/>
      <sheetName val="POL"/>
      <sheetName val="PW"/>
      <sheetName val="W&amp;P"/>
      <sheetName val="LFRA"/>
      <sheetName val="Airport"/>
      <sheetName val="Page 50-53 Reconciliation"/>
      <sheetName val="Non Dept 45"/>
      <sheetName val="Contrib"/>
      <sheetName val="Transfers"/>
      <sheetName val="Cap Proj"/>
      <sheetName val="Other Spec Revenue"/>
      <sheetName val="Undistributed GF Rev"/>
      <sheetName val="Bud Diff"/>
      <sheetName val="City Net"/>
      <sheetName val="Old Fund Summary"/>
      <sheetName val="Sheet3"/>
    </sheetNames>
    <sheetDataSet>
      <sheetData sheetId="0">
        <row r="93">
          <cell r="O93">
            <v>4858236</v>
          </cell>
        </row>
        <row r="174">
          <cell r="M174">
            <v>23110407</v>
          </cell>
          <cell r="N174">
            <v>32674705</v>
          </cell>
          <cell r="O174">
            <v>28087517</v>
          </cell>
        </row>
        <row r="183">
          <cell r="M183">
            <v>24658272</v>
          </cell>
          <cell r="N183">
            <v>33570313</v>
          </cell>
          <cell r="O183">
            <v>24457482</v>
          </cell>
        </row>
        <row r="192">
          <cell r="M192">
            <v>53862100</v>
          </cell>
          <cell r="N192">
            <v>91892560</v>
          </cell>
          <cell r="O192">
            <v>69831376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ty Net"/>
      <sheetName val="All Depts"/>
      <sheetName val="Stats"/>
      <sheetName val="Template"/>
      <sheetName val="Legis"/>
      <sheetName val="Exec-Legal"/>
      <sheetName val="CClerk"/>
      <sheetName val="Com-Bus Rel"/>
      <sheetName val="CS"/>
      <sheetName val="DS"/>
      <sheetName val="ED"/>
      <sheetName val="FIN"/>
      <sheetName val="HR"/>
      <sheetName val="IT"/>
      <sheetName val="LIB"/>
      <sheetName val="P&amp;R"/>
      <sheetName val="POL"/>
      <sheetName val="PW"/>
      <sheetName val="Non-Dept 45"/>
      <sheetName val="Contrib"/>
      <sheetName val="Transfers"/>
      <sheetName val="NonDept 42"/>
      <sheetName val="W&amp;P"/>
      <sheetName val="Airport"/>
      <sheetName val="CapProj"/>
      <sheetName val="LFRA"/>
    </sheetNames>
    <sheetDataSet>
      <sheetData sheetId="0"/>
      <sheetData sheetId="1"/>
      <sheetData sheetId="2">
        <row r="4">
          <cell r="C4">
            <v>64690</v>
          </cell>
          <cell r="D4">
            <v>63162</v>
          </cell>
          <cell r="E4">
            <v>67742</v>
          </cell>
          <cell r="F4">
            <v>68761</v>
          </cell>
          <cell r="G4">
            <v>69341</v>
          </cell>
          <cell r="H4">
            <v>70370</v>
          </cell>
          <cell r="I4">
            <v>71027</v>
          </cell>
          <cell r="J4">
            <v>73420</v>
          </cell>
          <cell r="K4">
            <v>74385</v>
          </cell>
          <cell r="L4">
            <v>75655</v>
          </cell>
          <cell r="M4">
            <v>76899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B2">
            <v>2008</v>
          </cell>
          <cell r="C2">
            <v>2009</v>
          </cell>
          <cell r="D2">
            <v>2010</v>
          </cell>
          <cell r="E2">
            <v>2011</v>
          </cell>
          <cell r="F2">
            <v>2012</v>
          </cell>
          <cell r="G2">
            <v>2013</v>
          </cell>
          <cell r="H2">
            <v>2014</v>
          </cell>
          <cell r="I2">
            <v>2015</v>
          </cell>
          <cell r="J2">
            <v>2016</v>
          </cell>
          <cell r="K2">
            <v>2017</v>
          </cell>
          <cell r="L2">
            <v>2018</v>
          </cell>
        </row>
        <row r="7">
          <cell r="A7" t="str">
            <v>Administration</v>
          </cell>
          <cell r="B7">
            <v>1428264</v>
          </cell>
          <cell r="C7">
            <v>1494967</v>
          </cell>
          <cell r="D7">
            <v>1433874</v>
          </cell>
          <cell r="E7">
            <v>1397725</v>
          </cell>
          <cell r="F7">
            <v>1351573</v>
          </cell>
          <cell r="G7">
            <v>2001631</v>
          </cell>
          <cell r="H7">
            <v>2776005</v>
          </cell>
          <cell r="I7">
            <v>3057776</v>
          </cell>
          <cell r="J7">
            <v>3028287</v>
          </cell>
          <cell r="K7">
            <v>3712280</v>
          </cell>
          <cell r="L7">
            <v>3899275</v>
          </cell>
        </row>
        <row r="8">
          <cell r="A8" t="str">
            <v>Information Services</v>
          </cell>
          <cell r="B8">
            <v>2812749</v>
          </cell>
          <cell r="C8">
            <v>2848998</v>
          </cell>
          <cell r="D8">
            <v>2770553</v>
          </cell>
          <cell r="E8">
            <v>2999095</v>
          </cell>
          <cell r="F8">
            <v>2953315</v>
          </cell>
          <cell r="G8">
            <v>2902734</v>
          </cell>
          <cell r="H8">
            <v>3034149</v>
          </cell>
          <cell r="I8">
            <v>3356442</v>
          </cell>
          <cell r="J8">
            <v>3504780</v>
          </cell>
          <cell r="K8">
            <v>4117918</v>
          </cell>
          <cell r="L8">
            <v>4171986</v>
          </cell>
        </row>
        <row r="9">
          <cell r="A9" t="str">
            <v>Operations</v>
          </cell>
          <cell r="B9">
            <v>7647896</v>
          </cell>
          <cell r="C9">
            <v>8071452</v>
          </cell>
          <cell r="D9">
            <v>8526337</v>
          </cell>
          <cell r="E9">
            <v>9110775</v>
          </cell>
          <cell r="F9">
            <v>8935214</v>
          </cell>
          <cell r="G9">
            <v>9263062</v>
          </cell>
          <cell r="H9">
            <v>9440500</v>
          </cell>
          <cell r="I9">
            <v>10051178</v>
          </cell>
          <cell r="J9">
            <v>10575018</v>
          </cell>
          <cell r="K9">
            <v>12821369</v>
          </cell>
          <cell r="L9">
            <v>13640634</v>
          </cell>
        </row>
        <row r="10">
          <cell r="A10" t="str">
            <v>Support Services</v>
          </cell>
          <cell r="B10">
            <v>2473999</v>
          </cell>
          <cell r="C10">
            <v>2866219</v>
          </cell>
          <cell r="D10">
            <v>2976469</v>
          </cell>
          <cell r="E10">
            <v>2989310</v>
          </cell>
          <cell r="F10">
            <v>2934883</v>
          </cell>
          <cell r="G10">
            <v>2930303</v>
          </cell>
          <cell r="H10">
            <v>3194110</v>
          </cell>
          <cell r="I10">
            <v>3293442</v>
          </cell>
          <cell r="J10">
            <v>3721036</v>
          </cell>
          <cell r="K10">
            <v>4420147</v>
          </cell>
          <cell r="L10">
            <v>4486208</v>
          </cell>
        </row>
        <row r="12">
          <cell r="A12" t="str">
            <v xml:space="preserve">     Total Expenses</v>
          </cell>
          <cell r="B12">
            <v>14362908</v>
          </cell>
          <cell r="C12">
            <v>15281636</v>
          </cell>
          <cell r="D12">
            <v>15707233</v>
          </cell>
          <cell r="E12">
            <v>16496905</v>
          </cell>
          <cell r="F12">
            <v>16174985</v>
          </cell>
          <cell r="G12">
            <v>17097730</v>
          </cell>
          <cell r="H12">
            <v>18444764</v>
          </cell>
        </row>
        <row r="20">
          <cell r="B20">
            <v>6</v>
          </cell>
          <cell r="C20">
            <v>6</v>
          </cell>
          <cell r="D20">
            <v>5</v>
          </cell>
          <cell r="E20">
            <v>5</v>
          </cell>
          <cell r="F20">
            <v>5</v>
          </cell>
          <cell r="G20">
            <v>5</v>
          </cell>
          <cell r="H20">
            <v>5</v>
          </cell>
          <cell r="I20">
            <v>7</v>
          </cell>
          <cell r="J20">
            <v>7</v>
          </cell>
          <cell r="K20">
            <v>7</v>
          </cell>
          <cell r="L20">
            <v>6</v>
          </cell>
        </row>
        <row r="21">
          <cell r="B21">
            <v>33</v>
          </cell>
          <cell r="C21">
            <v>33</v>
          </cell>
          <cell r="D21">
            <v>31</v>
          </cell>
          <cell r="E21">
            <v>31</v>
          </cell>
          <cell r="F21">
            <v>31</v>
          </cell>
          <cell r="G21">
            <v>31</v>
          </cell>
          <cell r="H21">
            <v>33</v>
          </cell>
          <cell r="I21">
            <v>34</v>
          </cell>
          <cell r="J21">
            <v>35</v>
          </cell>
          <cell r="K21">
            <v>38</v>
          </cell>
          <cell r="L21">
            <v>37</v>
          </cell>
        </row>
        <row r="22">
          <cell r="B22">
            <v>72</v>
          </cell>
          <cell r="C22">
            <v>72</v>
          </cell>
          <cell r="D22">
            <v>71</v>
          </cell>
          <cell r="E22">
            <v>69</v>
          </cell>
          <cell r="F22">
            <v>69</v>
          </cell>
          <cell r="G22">
            <v>71</v>
          </cell>
          <cell r="H22">
            <v>73</v>
          </cell>
          <cell r="I22">
            <v>75</v>
          </cell>
          <cell r="J22">
            <v>79</v>
          </cell>
          <cell r="K22">
            <v>80</v>
          </cell>
          <cell r="L22">
            <v>84</v>
          </cell>
        </row>
        <row r="23">
          <cell r="B23">
            <v>25</v>
          </cell>
          <cell r="C23">
            <v>25</v>
          </cell>
          <cell r="D23">
            <v>27</v>
          </cell>
          <cell r="E23">
            <v>29</v>
          </cell>
          <cell r="F23">
            <v>28.75</v>
          </cell>
          <cell r="G23">
            <v>27.5</v>
          </cell>
          <cell r="H23">
            <v>29</v>
          </cell>
          <cell r="I23">
            <v>30</v>
          </cell>
          <cell r="J23">
            <v>33</v>
          </cell>
          <cell r="K23">
            <v>33.5</v>
          </cell>
          <cell r="L23">
            <v>33.5</v>
          </cell>
        </row>
        <row r="24">
          <cell r="A24" t="str">
            <v>FTE Total</v>
          </cell>
          <cell r="B24">
            <v>136</v>
          </cell>
          <cell r="C24">
            <v>136</v>
          </cell>
          <cell r="D24">
            <v>134</v>
          </cell>
          <cell r="E24">
            <v>134</v>
          </cell>
          <cell r="F24">
            <v>133.75</v>
          </cell>
          <cell r="G24">
            <v>134.5</v>
          </cell>
          <cell r="H24">
            <v>140</v>
          </cell>
          <cell r="I24">
            <v>146</v>
          </cell>
          <cell r="J24">
            <v>154</v>
          </cell>
          <cell r="K24">
            <v>158.5</v>
          </cell>
          <cell r="L24">
            <v>160.5</v>
          </cell>
        </row>
        <row r="34">
          <cell r="B34">
            <v>106220.77777777778</v>
          </cell>
          <cell r="C34">
            <v>112103.5</v>
          </cell>
          <cell r="D34">
            <v>120089.25352112677</v>
          </cell>
          <cell r="E34">
            <v>132040.21739130435</v>
          </cell>
          <cell r="F34">
            <v>129495.85507246378</v>
          </cell>
          <cell r="G34">
            <v>130465.66197183098</v>
          </cell>
          <cell r="H34">
            <v>129321.91780821918</v>
          </cell>
          <cell r="I34">
            <v>134015.70666666667</v>
          </cell>
          <cell r="J34">
            <v>133860.98734177215</v>
          </cell>
          <cell r="K34">
            <v>160267.11249999999</v>
          </cell>
          <cell r="L34">
            <v>162388.5</v>
          </cell>
        </row>
        <row r="36">
          <cell r="B36">
            <v>105609.61764705883</v>
          </cell>
          <cell r="C36">
            <v>112364.9705882353</v>
          </cell>
          <cell r="D36">
            <v>117218.15671641791</v>
          </cell>
          <cell r="E36">
            <v>123111.23134328358</v>
          </cell>
          <cell r="F36">
            <v>120934.46728971963</v>
          </cell>
          <cell r="G36">
            <v>127120.66914498141</v>
          </cell>
          <cell r="H36">
            <v>131748.3142857143</v>
          </cell>
          <cell r="I36">
            <v>135334.50684931508</v>
          </cell>
          <cell r="J36">
            <v>135254.03246753247</v>
          </cell>
          <cell r="K36">
            <v>158181.16088328077</v>
          </cell>
          <cell r="L36">
            <v>163228.05607476635</v>
          </cell>
        </row>
      </sheetData>
      <sheetData sheetId="17"/>
      <sheetData sheetId="18">
        <row r="21">
          <cell r="B21">
            <v>0</v>
          </cell>
        </row>
      </sheetData>
      <sheetData sheetId="19"/>
      <sheetData sheetId="20">
        <row r="21">
          <cell r="B21">
            <v>0</v>
          </cell>
        </row>
      </sheetData>
      <sheetData sheetId="21"/>
      <sheetData sheetId="22"/>
      <sheetData sheetId="23"/>
      <sheetData sheetId="24"/>
      <sheetData sheetId="25">
        <row r="21">
          <cell r="B21">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6.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7.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8.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9.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2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6.xml"/><Relationship Id="rId1" Type="http://schemas.openxmlformats.org/officeDocument/2006/relationships/printerSettings" Target="../printerSettings/printerSettings6.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drawing" Target="../drawings/drawing2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8.xml"/><Relationship Id="rId1" Type="http://schemas.openxmlformats.org/officeDocument/2006/relationships/printerSettings" Target="../printerSettings/printerSettings7.bin"/><Relationship Id="rId4" Type="http://schemas.openxmlformats.org/officeDocument/2006/relationships/comments" Target="../comments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0.xml"/><Relationship Id="rId1" Type="http://schemas.openxmlformats.org/officeDocument/2006/relationships/printerSettings" Target="../printerSettings/printerSettings9.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1.xml"/><Relationship Id="rId1" Type="http://schemas.openxmlformats.org/officeDocument/2006/relationships/printerSettings" Target="../printerSettings/printerSettings10.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2.xml"/><Relationship Id="rId1" Type="http://schemas.openxmlformats.org/officeDocument/2006/relationships/printerSettings" Target="../printerSettings/printerSettings11.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3.xml"/><Relationship Id="rId1" Type="http://schemas.openxmlformats.org/officeDocument/2006/relationships/printerSettings" Target="../printerSettings/printerSettings12.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L793"/>
  <sheetViews>
    <sheetView tabSelected="1" topLeftCell="AC1" zoomScaleNormal="100" workbookViewId="0">
      <selection activeCell="AM2" sqref="AM2"/>
    </sheetView>
  </sheetViews>
  <sheetFormatPr defaultColWidth="11" defaultRowHeight="15.75"/>
  <cols>
    <col min="1" max="1" width="44.125" customWidth="1"/>
    <col min="2" max="2" width="13.875" customWidth="1"/>
    <col min="3" max="3" width="14.5" customWidth="1"/>
    <col min="4" max="4" width="13.875" customWidth="1"/>
    <col min="5" max="5" width="13.875" style="19" customWidth="1"/>
    <col min="6" max="6" width="13.875" customWidth="1"/>
    <col min="7" max="8" width="14.75" bestFit="1" customWidth="1"/>
    <col min="9" max="9" width="16.125" customWidth="1"/>
    <col min="10" max="10" width="14.75" style="19" bestFit="1" customWidth="1"/>
    <col min="11" max="12" width="14.75" bestFit="1" customWidth="1"/>
    <col min="13" max="13" width="5.875" style="132" customWidth="1"/>
    <col min="14" max="15" width="13.875" style="132" customWidth="1"/>
    <col min="16" max="16" width="15.75" style="132" bestFit="1" customWidth="1"/>
    <col min="17" max="18" width="13.875" hidden="1" customWidth="1"/>
    <col min="19" max="19" width="14.75" hidden="1" customWidth="1"/>
    <col min="20" max="20" width="4.875" style="113" hidden="1" customWidth="1"/>
    <col min="21" max="21" width="13.5" hidden="1" customWidth="1"/>
    <col min="22" max="22" width="3.875" style="171" hidden="1" customWidth="1"/>
    <col min="23" max="25" width="12.75" style="183" hidden="1" customWidth="1"/>
    <col min="26" max="26" width="0" hidden="1" customWidth="1"/>
    <col min="27" max="27" width="1.5" style="190" hidden="1" customWidth="1"/>
    <col min="28" max="28" width="11" style="245" customWidth="1"/>
    <col min="38" max="38" width="11" style="19"/>
    <col min="39" max="39" width="27.125" customWidth="1"/>
  </cols>
  <sheetData>
    <row r="1" spans="1:33">
      <c r="A1" s="263"/>
      <c r="B1" s="264"/>
      <c r="C1" s="264"/>
      <c r="D1" s="264"/>
      <c r="E1" s="265"/>
      <c r="F1" s="264"/>
      <c r="G1" s="264"/>
      <c r="H1" s="264"/>
      <c r="I1" s="264"/>
      <c r="J1" s="265"/>
      <c r="K1" s="265"/>
      <c r="L1" s="265"/>
      <c r="M1" s="336"/>
      <c r="N1" s="266"/>
      <c r="O1" s="266"/>
      <c r="P1" s="267"/>
      <c r="Q1" s="19"/>
    </row>
    <row r="2" spans="1:33">
      <c r="A2" s="268"/>
      <c r="B2" s="52"/>
      <c r="C2" s="52"/>
      <c r="D2" s="52"/>
      <c r="E2" s="163"/>
      <c r="F2" s="52"/>
      <c r="G2" s="52"/>
      <c r="H2" s="52"/>
      <c r="I2" s="52"/>
      <c r="J2" s="163"/>
      <c r="K2" s="163"/>
      <c r="L2" s="163"/>
      <c r="M2" s="274"/>
      <c r="N2" s="269"/>
      <c r="O2" s="269"/>
      <c r="P2" s="270"/>
      <c r="Q2" s="19"/>
    </row>
    <row r="3" spans="1:33" ht="18" customHeight="1">
      <c r="A3" s="271"/>
      <c r="B3" s="129">
        <v>2009</v>
      </c>
      <c r="C3" s="129">
        <v>2010</v>
      </c>
      <c r="D3" s="129">
        <v>2011</v>
      </c>
      <c r="E3" s="129">
        <v>2012</v>
      </c>
      <c r="F3" s="240">
        <v>2013</v>
      </c>
      <c r="G3" s="241">
        <v>2014</v>
      </c>
      <c r="H3" s="241">
        <v>2015</v>
      </c>
      <c r="I3" s="129">
        <v>2016</v>
      </c>
      <c r="J3" s="240">
        <v>2017</v>
      </c>
      <c r="K3" s="241">
        <v>2018</v>
      </c>
      <c r="L3" s="241">
        <v>2019</v>
      </c>
      <c r="M3" s="272"/>
      <c r="N3" s="242"/>
      <c r="O3" s="211"/>
      <c r="P3" s="212"/>
      <c r="T3" s="113" t="s">
        <v>150</v>
      </c>
      <c r="U3" s="127">
        <v>2018</v>
      </c>
      <c r="W3" s="100">
        <v>2016</v>
      </c>
      <c r="X3" s="83">
        <v>2017</v>
      </c>
      <c r="Y3" s="83">
        <v>2018</v>
      </c>
    </row>
    <row r="4" spans="1:33" ht="18.75">
      <c r="A4" s="150" t="s">
        <v>42</v>
      </c>
      <c r="B4" s="273">
        <f>Stats!D4</f>
        <v>63162</v>
      </c>
      <c r="C4" s="273">
        <f>Stats!E4</f>
        <v>67742</v>
      </c>
      <c r="D4" s="273">
        <f>Stats!F4</f>
        <v>68761</v>
      </c>
      <c r="E4" s="273">
        <f>Stats!G4</f>
        <v>69341</v>
      </c>
      <c r="F4" s="273">
        <f>Stats!H4</f>
        <v>70370</v>
      </c>
      <c r="G4" s="273">
        <f>Stats!I4</f>
        <v>71027</v>
      </c>
      <c r="H4" s="273">
        <f>Stats!J4</f>
        <v>73420</v>
      </c>
      <c r="I4" s="273">
        <f>Stats!K4</f>
        <v>74385</v>
      </c>
      <c r="J4" s="273">
        <f>Stats!L4</f>
        <v>75840</v>
      </c>
      <c r="K4" s="273">
        <f>Stats!M4</f>
        <v>77262</v>
      </c>
      <c r="L4" s="273">
        <f>Stats!N4</f>
        <v>78980</v>
      </c>
      <c r="M4" s="274"/>
      <c r="N4" s="273"/>
      <c r="O4" s="273"/>
      <c r="P4" s="275"/>
      <c r="U4" s="93" t="s">
        <v>152</v>
      </c>
    </row>
    <row r="5" spans="1:33">
      <c r="A5" s="268" t="s">
        <v>60</v>
      </c>
      <c r="B5" s="276"/>
      <c r="C5" s="276">
        <f>(C4/B4)-1</f>
        <v>7.2511953389696293E-2</v>
      </c>
      <c r="D5" s="276">
        <f t="shared" ref="D5:L5" si="0">(D4/C4)-1</f>
        <v>1.5042366626317527E-2</v>
      </c>
      <c r="E5" s="276">
        <f t="shared" si="0"/>
        <v>8.4350140341182822E-3</v>
      </c>
      <c r="F5" s="276">
        <f t="shared" si="0"/>
        <v>1.4839705224902966E-2</v>
      </c>
      <c r="G5" s="276">
        <f t="shared" si="0"/>
        <v>9.3363649282365291E-3</v>
      </c>
      <c r="H5" s="276">
        <f t="shared" si="0"/>
        <v>3.3691413124586456E-2</v>
      </c>
      <c r="I5" s="276">
        <f t="shared" si="0"/>
        <v>1.3143557613729318E-2</v>
      </c>
      <c r="J5" s="277">
        <f t="shared" si="0"/>
        <v>1.956039524097597E-2</v>
      </c>
      <c r="K5" s="277">
        <f t="shared" si="0"/>
        <v>1.8750000000000044E-2</v>
      </c>
      <c r="L5" s="277">
        <f t="shared" si="0"/>
        <v>2.2236028060365953E-2</v>
      </c>
      <c r="M5" s="274"/>
      <c r="N5" s="276"/>
      <c r="O5" s="52"/>
      <c r="P5" s="278"/>
    </row>
    <row r="6" spans="1:33" ht="16.5" thickBot="1">
      <c r="A6" s="279" t="s">
        <v>279</v>
      </c>
      <c r="B6" s="243"/>
      <c r="C6" s="243">
        <f>(C4/$B4)-1</f>
        <v>7.2511953389696293E-2</v>
      </c>
      <c r="D6" s="243">
        <f t="shared" ref="D6:L6" si="1">(D4/$B4)-1</f>
        <v>8.8645071403692155E-2</v>
      </c>
      <c r="E6" s="243">
        <f t="shared" si="1"/>
        <v>9.7827807859155902E-2</v>
      </c>
      <c r="F6" s="243">
        <f t="shared" si="1"/>
        <v>0.11411924891548719</v>
      </c>
      <c r="G6" s="243">
        <f t="shared" si="1"/>
        <v>0.12452107279693481</v>
      </c>
      <c r="H6" s="243">
        <f t="shared" si="1"/>
        <v>0.16240777682783958</v>
      </c>
      <c r="I6" s="243">
        <f t="shared" si="1"/>
        <v>0.1776859504132231</v>
      </c>
      <c r="J6" s="244">
        <f t="shared" si="1"/>
        <v>0.20072195307305019</v>
      </c>
      <c r="K6" s="244">
        <f t="shared" si="1"/>
        <v>0.22323548969316986</v>
      </c>
      <c r="L6" s="244">
        <f t="shared" si="1"/>
        <v>0.25043538836642276</v>
      </c>
      <c r="M6" s="274"/>
      <c r="N6" s="276"/>
      <c r="O6" s="276"/>
      <c r="P6" s="280"/>
    </row>
    <row r="7" spans="1:33">
      <c r="A7" s="268"/>
      <c r="B7" s="276"/>
      <c r="C7" s="276"/>
      <c r="D7" s="276"/>
      <c r="E7" s="276"/>
      <c r="F7" s="276"/>
      <c r="G7" s="276"/>
      <c r="H7" s="276"/>
      <c r="I7" s="276"/>
      <c r="J7" s="277"/>
      <c r="K7" s="277"/>
      <c r="L7" s="277"/>
      <c r="M7" s="274"/>
      <c r="N7" s="276"/>
      <c r="O7" s="276"/>
      <c r="P7" s="280"/>
    </row>
    <row r="8" spans="1:33">
      <c r="A8" s="268"/>
      <c r="B8" s="276"/>
      <c r="C8" s="276"/>
      <c r="D8" s="276"/>
      <c r="E8" s="276"/>
      <c r="F8" s="276"/>
      <c r="G8" s="276"/>
      <c r="H8" s="276"/>
      <c r="I8" s="276"/>
      <c r="J8" s="277"/>
      <c r="K8" s="277"/>
      <c r="L8" s="277"/>
      <c r="M8" s="274"/>
      <c r="N8" s="276"/>
      <c r="O8" s="276"/>
      <c r="P8" s="280"/>
    </row>
    <row r="9" spans="1:33">
      <c r="A9" s="268"/>
      <c r="B9" s="281" t="s">
        <v>61</v>
      </c>
      <c r="C9" s="281" t="s">
        <v>61</v>
      </c>
      <c r="D9" s="281" t="s">
        <v>61</v>
      </c>
      <c r="E9" s="281" t="s">
        <v>61</v>
      </c>
      <c r="F9" s="281" t="s">
        <v>61</v>
      </c>
      <c r="G9" s="281" t="s">
        <v>61</v>
      </c>
      <c r="H9" s="281" t="s">
        <v>61</v>
      </c>
      <c r="I9" s="281" t="s">
        <v>61</v>
      </c>
      <c r="J9" s="281" t="s">
        <v>61</v>
      </c>
      <c r="K9" s="281" t="s">
        <v>61</v>
      </c>
      <c r="L9" s="281" t="s">
        <v>61</v>
      </c>
      <c r="M9" s="282"/>
      <c r="N9" s="242" t="s">
        <v>151</v>
      </c>
      <c r="O9" s="242" t="s">
        <v>151</v>
      </c>
      <c r="P9" s="283" t="s">
        <v>151</v>
      </c>
      <c r="U9" s="99" t="s">
        <v>151</v>
      </c>
    </row>
    <row r="10" spans="1:33">
      <c r="A10" s="268"/>
      <c r="B10" s="242" t="s">
        <v>57</v>
      </c>
      <c r="C10" s="242" t="s">
        <v>57</v>
      </c>
      <c r="D10" s="242" t="s">
        <v>57</v>
      </c>
      <c r="E10" s="242" t="s">
        <v>57</v>
      </c>
      <c r="F10" s="242" t="s">
        <v>57</v>
      </c>
      <c r="G10" s="242" t="s">
        <v>57</v>
      </c>
      <c r="H10" s="242" t="s">
        <v>57</v>
      </c>
      <c r="I10" s="242" t="s">
        <v>57</v>
      </c>
      <c r="J10" s="242" t="s">
        <v>57</v>
      </c>
      <c r="K10" s="242" t="s">
        <v>202</v>
      </c>
      <c r="L10" s="242" t="s">
        <v>58</v>
      </c>
      <c r="M10" s="274"/>
      <c r="N10" s="242" t="s">
        <v>196</v>
      </c>
      <c r="O10" s="242" t="s">
        <v>196</v>
      </c>
      <c r="P10" s="283" t="s">
        <v>196</v>
      </c>
      <c r="U10" s="99" t="s">
        <v>58</v>
      </c>
    </row>
    <row r="11" spans="1:33" ht="26.25">
      <c r="A11" s="284" t="s">
        <v>147</v>
      </c>
      <c r="B11" s="129">
        <v>2009</v>
      </c>
      <c r="C11" s="129">
        <v>2010</v>
      </c>
      <c r="D11" s="129">
        <v>2011</v>
      </c>
      <c r="E11" s="129">
        <v>2012</v>
      </c>
      <c r="F11" s="240">
        <v>2013</v>
      </c>
      <c r="G11" s="241">
        <v>2014</v>
      </c>
      <c r="H11" s="241">
        <v>2015</v>
      </c>
      <c r="I11" s="348">
        <v>2016</v>
      </c>
      <c r="J11" s="240">
        <v>2017</v>
      </c>
      <c r="K11" s="241">
        <v>2018</v>
      </c>
      <c r="L11" s="241">
        <v>2019</v>
      </c>
      <c r="M11" s="272"/>
      <c r="N11" s="240">
        <v>2017</v>
      </c>
      <c r="O11" s="241">
        <v>2018</v>
      </c>
      <c r="P11" s="354" t="s">
        <v>222</v>
      </c>
      <c r="T11" s="113" t="s">
        <v>150</v>
      </c>
      <c r="U11" s="128" t="s">
        <v>152</v>
      </c>
    </row>
    <row r="12" spans="1:33" ht="26.25">
      <c r="A12" s="284"/>
      <c r="B12" s="164"/>
      <c r="C12" s="164"/>
      <c r="D12" s="164"/>
      <c r="E12" s="165"/>
      <c r="F12" s="166"/>
      <c r="G12" s="164"/>
      <c r="H12" s="164"/>
      <c r="I12" s="164"/>
      <c r="J12" s="242"/>
      <c r="K12" s="211"/>
      <c r="L12" s="211"/>
      <c r="M12" s="272"/>
      <c r="N12" s="242"/>
      <c r="O12" s="211"/>
      <c r="P12" s="285"/>
      <c r="U12" s="179"/>
    </row>
    <row r="13" spans="1:33">
      <c r="A13" s="286" t="s">
        <v>100</v>
      </c>
      <c r="B13" s="347">
        <f>+'Non Dept '!B6</f>
        <v>0</v>
      </c>
      <c r="C13" s="347">
        <f>+Legis!C6+'Exec-Legal'!C6+CClerk!C6+CS!C6+DS!C6+ED!C6+FIN!C6+HR!C7+IT!C6+LIB!C6+'P&amp;R'!C6+POL!C6+PW!C6+'W&amp;P'!C6</f>
        <v>49442314</v>
      </c>
      <c r="D13" s="347">
        <f>+Legis!D6+'Exec-Legal'!D6+CClerk!D6+CS!D6+DS!D6+ED!D6+FIN!D6+HR!D7+IT!D6+LIB!D6+'P&amp;R'!D6+POL!D6+PW!D6+'W&amp;P'!D6</f>
        <v>46704646</v>
      </c>
      <c r="E13" s="347">
        <f>+Legis!E6+'Exec-Legal'!E6+CClerk!E6+CS!E6+DS!E6+ED!E6+FIN!E6+HR!E7+IT!E6+LIB!E6+'P&amp;R'!E6+POL!E6+PW!E6+'W&amp;P'!E6</f>
        <v>46629003</v>
      </c>
      <c r="F13" s="347">
        <f>+Legis!F6+'Exec-Legal'!F6+CClerk!F6+CS!F6+DS!F6+ED!F6+FIN!F6+HR!F7+IT!F6+LIB!F6+'P&amp;R'!F6+POL!F6+PW!F6+'W&amp;P'!F6</f>
        <v>51440407</v>
      </c>
      <c r="G13" s="347">
        <f>+Legis!G6+'Exec-Legal'!G6+CClerk!G6+CS!G6+DS!G6+ED!G6+FIN!G6+HR!G7+IT!G6+LIB!G6+'P&amp;R'!G6+POL!G6+PW!G6+'W&amp;P'!G6</f>
        <v>61928851.200000003</v>
      </c>
      <c r="H13" s="347">
        <f>+Legis!H6+'Exec-Legal'!H6+CClerk!H6+CS!H6+DS!H6+ED!H6+FIN!H6+HR!H7+IT!H6+LIB!H6+'P&amp;R'!H6+POL!H6+PW!H6+'W&amp;P'!H6</f>
        <v>60471024</v>
      </c>
      <c r="I13" s="347">
        <f>+Legis!I6+'Exec-Legal'!I6+CClerk!I6+CS!I6+DS!I6+ED!I6+FIN!I6+HR!I7+IT!I6+LIB!I6+'P&amp;R'!I6+POL!I6+PW!I6+'W&amp;P'!I6+'Undistributed GF Rev'!I6</f>
        <v>91227709</v>
      </c>
      <c r="J13" s="347">
        <f>+Legis!J6+'Exec-Legal'!J6+CClerk!J6+CS!J6+DS!J6+ED!J6+FIN!J6+HR!J7+IT!J6+LIB!J6+'P&amp;R'!J6+POL!J6+PW!J6+'W&amp;P'!J6+'Undistributed GF Rev'!J6+'Non Dept '!J6+'Cap Proj'!J9</f>
        <v>122074195</v>
      </c>
      <c r="K13" s="347">
        <f>+Legis!K6+'Exec-Legal'!K6+CClerk!K6+CS!K6+DS!K6+ED!K6+FIN!K6+HR!K7+IT!K6+LIB!K6+'P&amp;R'!K6+POL!K6+PW!K6+'W&amp;P'!K6+'Undistributed GF Rev'!K6+'Non Dept '!K6+'Cap Proj'!K9</f>
        <v>149202689</v>
      </c>
      <c r="L13" s="347">
        <f>+Legis!L6+'Exec-Legal'!L6+CClerk!L6+CS!L6+DS!L6+ED!L6+FIN!L6+HR!L7+IT!L6+LIB!L6+'P&amp;R'!L6+POL!L6+PW!L6+'W&amp;P'!L6+'Undistributed GF Rev'!L6+'Non Dept '!L6+'Cap Proj'!L9</f>
        <v>100177509</v>
      </c>
      <c r="M13" s="274">
        <v>55</v>
      </c>
      <c r="N13" s="238">
        <f>96294031+25780164</f>
        <v>122074195</v>
      </c>
      <c r="O13" s="238">
        <f>101189586+48013103</f>
        <v>149202689</v>
      </c>
      <c r="P13" s="287">
        <f>94140194+6037315</f>
        <v>100177509</v>
      </c>
      <c r="U13" s="1">
        <v>102998533</v>
      </c>
      <c r="Z13" s="141"/>
      <c r="AC13" s="141"/>
      <c r="AD13" s="141"/>
      <c r="AE13" s="141"/>
      <c r="AF13" s="141"/>
      <c r="AG13" s="141"/>
    </row>
    <row r="14" spans="1:33">
      <c r="A14" s="288" t="s">
        <v>93</v>
      </c>
      <c r="B14" s="347">
        <f>+Legis!B7+'Exec-Legal'!B7+CClerk!B7+CS!B7+DS!B7+ED!B7+FIN!B7+HR!B8+IT!B7+LIB!B7+'P&amp;R'!B7+POL!B7+PW!B7+'W&amp;P'!B7</f>
        <v>16561205</v>
      </c>
      <c r="C14" s="347">
        <f>+Legis!C7+'Exec-Legal'!C7+CClerk!D7+CS!C7+DS!C7+ED!C7+FIN!C7+HR!C8+IT!C7+LIB!C7+'P&amp;R'!C7+POL!C7+PW!C7+'W&amp;P'!C7</f>
        <v>16974367</v>
      </c>
      <c r="D14" s="347">
        <f>+Legis!D7+'Exec-Legal'!D7+CClerk!E7+CS!D7+DS!D7+ED!D7+FIN!D7+HR!D8+IT!D7+LIB!D7+'P&amp;R'!D7+POL!D7+PW!D7+'W&amp;P'!D7</f>
        <v>17090627</v>
      </c>
      <c r="E14" s="347">
        <f>+Legis!E7+'Exec-Legal'!E7+CClerk!F7+CS!E7+DS!E7+ED!E7+FIN!E7+HR!E8+IT!E7+LIB!E7+'P&amp;R'!E7+POL!E7+PW!E7+'W&amp;P'!E7</f>
        <v>16276537</v>
      </c>
      <c r="F14" s="347">
        <f>+Legis!F7+'Exec-Legal'!F7+CClerk!G7+CS!F7+DS!F7+ED!F7+FIN!F7+HR!F8+IT!F7+LIB!F7+'P&amp;R'!F7+POL!F7+PW!F7+'W&amp;P'!F7</f>
        <v>16729287</v>
      </c>
      <c r="G14" s="347">
        <f>+Legis!G7+'Exec-Legal'!G7+CClerk!H7+CS!G7+DS!G7+ED!G7+FIN!G7+HR!G8+IT!G7+LIB!G7+'P&amp;R'!G7+POL!G7+PW!G7+'W&amp;P'!G7</f>
        <v>17383047</v>
      </c>
      <c r="H14" s="347">
        <f>+Legis!H7+'Exec-Legal'!H7+CClerk!I7+CS!H7+DS!H7+ED!H7+FIN!H7+HR!H8+IT!H7+LIB!H7+'P&amp;R'!H7+POL!H7+PW!H7+'W&amp;P'!H7</f>
        <v>19507737</v>
      </c>
      <c r="I14" s="347">
        <f>+Legis!I7+'Exec-Legal'!I7+CClerk!J7+CS!I7+DS!I7+ED!I7+FIN!I7+HR!I8+IT!I7+LIB!I7+'P&amp;R'!I7+POL!I7+PW!I7+'W&amp;P'!I7</f>
        <v>25468862</v>
      </c>
      <c r="J14" s="347">
        <f>+Legis!J7+'Exec-Legal'!J7+CClerk!K7+CS!J7+DS!J7+ED!J7+FIN!J7+HR!J8+IT!J7+LIB!J7+'P&amp;R'!J7+POL!J7+PW!J7+'W&amp;P'!J7</f>
        <v>24333958</v>
      </c>
      <c r="K14" s="347">
        <f>Legis!K7+'Exec-Legal'!K7+CClerk!K7+CS!K7+DS!K7+ED!K7+FIN!K7+HR!K8+IT!K7+LIB!K7+'P&amp;R'!K7+POL!K7+PW!K7</f>
        <v>27486605</v>
      </c>
      <c r="L14" s="347">
        <f>Legis!L7+'Exec-Legal'!L7+CClerk!L7+CS!L7+DS!L7+ED!L7+FIN!L7+HR!L8+IT!L7+LIB!L7+'P&amp;R'!L7+POL!L7+PW!L7+'Undistributed GF Rev'!L7</f>
        <v>28552278</v>
      </c>
      <c r="M14" s="289">
        <v>82</v>
      </c>
      <c r="N14" s="238">
        <v>24333959</v>
      </c>
      <c r="O14" s="238">
        <v>27486605</v>
      </c>
      <c r="P14" s="287">
        <v>28552278</v>
      </c>
      <c r="U14" s="63">
        <v>27427605</v>
      </c>
      <c r="V14" s="181">
        <f>+U13-L13</f>
        <v>2821024</v>
      </c>
    </row>
    <row r="15" spans="1:33">
      <c r="A15" s="290" t="s">
        <v>101</v>
      </c>
      <c r="B15" s="347">
        <f>+Legis!B8+'Exec-Legal'!B8+CClerk!B8+CS!B8+DS!B8+ED!B8+FIN!B8+HR!B9+IT!B8+LIB!B8+'P&amp;R'!B8+POL!B8+PW!B8+'W&amp;P'!B8</f>
        <v>94810247</v>
      </c>
      <c r="C15" s="347">
        <f>+Legis!C8+'Exec-Legal'!C8+CClerk!D8+CS!C8+DS!C8+ED!C8+FIN!C8+HR!C9+IT!C8+LIB!C8+'P&amp;R'!C8+POL!C8+PW!C8+'W&amp;P'!C8</f>
        <v>78707322</v>
      </c>
      <c r="D15" s="347">
        <f>+Legis!D8+'Exec-Legal'!D8+CClerk!E8+CS!D8+DS!D8+ED!D8+FIN!D8+HR!D9+IT!D8+LIB!D8+'P&amp;R'!D8+POL!D8+PW!D8+'W&amp;P'!D8</f>
        <v>90592305</v>
      </c>
      <c r="E15" s="347">
        <f>+Legis!E8+'Exec-Legal'!E8+CClerk!F8+CS!E8+DS!E8+ED!E8+FIN!E8+HR!E9+IT!E8+LIB!E8+'P&amp;R'!E8+POL!E8+PW!E8+'W&amp;P'!E8</f>
        <v>89966042</v>
      </c>
      <c r="F15" s="347">
        <f>+Legis!F8+'Exec-Legal'!F8+CClerk!G8+CS!F8+DS!F8+ED!F8+FIN!F8+HR!F9+IT!F8+LIB!F8+'P&amp;R'!F8+POL!F8+PW!F8+'W&amp;P'!F8</f>
        <v>100693931</v>
      </c>
      <c r="G15" s="347">
        <f>+Legis!G8+'Exec-Legal'!G8+CClerk!H8+CS!G8+DS!G8+ED!G8+FIN!G8+HR!G9+IT!G8+LIB!G8+'P&amp;R'!G8+POL!G8+PW!G8+'W&amp;P'!G8</f>
        <v>112099853</v>
      </c>
      <c r="H15" s="347">
        <f>+Legis!H8+'Exec-Legal'!H8+CClerk!I8+CS!H8+DS!H8+ED!H8+FIN!H8+HR!H9+IT!H8+LIB!H8+'P&amp;R'!H8+POL!H8+PW!H8+'W&amp;P'!H8</f>
        <v>131203881</v>
      </c>
      <c r="I15" s="347">
        <f>+Legis!I8+'Exec-Legal'!I8+CClerk!J8+CS!I8+DS!I8+ED!I8+FIN!I8+HR!I9+IT!I8+LIB!I8+'P&amp;R'!I8+POL!I8+PW!I8+'W&amp;P'!I8</f>
        <v>132414000</v>
      </c>
      <c r="J15" s="347">
        <f>+Legis!J8+'Exec-Legal'!J8+CClerk!K8+CS!J8+DS!J8+ED!J8+FIN!J8+HR!J9+IT!J8+LIB!J8+'P&amp;R'!J8+POL!J8+PW!J8+'W&amp;P'!J8</f>
        <v>144457042</v>
      </c>
      <c r="K15" s="347">
        <f>Legis!K8+'Exec-Legal'!K8+CClerk!K8+CS!K8+DS!K8+ED!K8+FIN!K8+HR!K9+IT!K8+LIB!K8+'P&amp;R'!K8+POL!K8+PW!K8+'W&amp;P'!K8</f>
        <v>159471869</v>
      </c>
      <c r="L15" s="347">
        <f>Legis!L8+'Exec-Legal'!L8+CClerk!L8+CS!L8+DS!L8+ED!L8+FIN!L8+HR!L9+IT!L8+LIB!L8+'P&amp;R'!L8+POL!L8+PW!L8+'W&amp;P'!L8+'Undistributed GF Rev'!L8</f>
        <v>176784252</v>
      </c>
      <c r="M15" s="274">
        <v>73</v>
      </c>
      <c r="N15" s="238">
        <v>144457042</v>
      </c>
      <c r="O15" s="238">
        <v>159471869</v>
      </c>
      <c r="P15" s="287">
        <v>176784252</v>
      </c>
      <c r="U15" s="1">
        <v>134512771</v>
      </c>
      <c r="V15" s="170"/>
      <c r="W15" s="184"/>
    </row>
    <row r="16" spans="1:33">
      <c r="A16" s="291" t="s">
        <v>83</v>
      </c>
      <c r="B16" s="347">
        <f>+Legis!B9+'Exec-Legal'!B9+CClerk!B9+CS!B9+DS!B9+ED!B9+FIN!B9+HR!B10+IT!B9+LIB!B9+'P&amp;R'!B9+POL!B9+PW!B9+'W&amp;P'!B9</f>
        <v>3332902</v>
      </c>
      <c r="C16" s="347">
        <f>+Legis!C9+'Exec-Legal'!C9+CClerk!D9+CS!C9+DS!C9+ED!C9+FIN!C9+HR!C10+IT!C9+LIB!C9+'P&amp;R'!C9+POL!C9+PW!C9+'W&amp;P'!C9</f>
        <v>3365822</v>
      </c>
      <c r="D16" s="347">
        <f>+Legis!D9+'Exec-Legal'!D9+CClerk!E9+CS!D9+DS!D9+ED!D9+FIN!D9+HR!D10+IT!D9+LIB!D9+'P&amp;R'!D9+POL!D9+PW!D9+'W&amp;P'!D9</f>
        <v>18105833</v>
      </c>
      <c r="E16" s="347">
        <f>+Legis!E9+'Exec-Legal'!E9+CClerk!F9+CS!E9+DS!E9+ED!E9+FIN!E9+HR!E10+IT!E9+LIB!E9+'P&amp;R'!E9+POL!E9+PW!E9+'W&amp;P'!E9</f>
        <v>17009117</v>
      </c>
      <c r="F16" s="347">
        <f>+Legis!F9+'Exec-Legal'!F9+CClerk!G9+CS!F9+DS!F9+ED!F9+FIN!F9+HR!F10+IT!F9+LIB!F9+'P&amp;R'!F9+POL!F9+PW!F9+'W&amp;P'!F9</f>
        <v>17946321</v>
      </c>
      <c r="G16" s="347">
        <f>+Legis!G9+'Exec-Legal'!G9+CClerk!H9+CS!G9+DS!G9+ED!G9+FIN!G9+HR!G10+IT!G9+LIB!G9+'P&amp;R'!G9+POL!G9+PW!G9+'W&amp;P'!G9</f>
        <v>22523071</v>
      </c>
      <c r="H16" s="347">
        <f>+Legis!H9+'Exec-Legal'!H9+CClerk!I9+CS!H9+DS!H9+ED!H9+FIN!H9+HR!H10+IT!H9+LIB!H9+'P&amp;R'!H9+POL!H9+PW!H9+'W&amp;P'!H9</f>
        <v>21495742</v>
      </c>
      <c r="I16" s="347">
        <f>+Legis!I9+'Exec-Legal'!I9+CClerk!J9+CS!I9+DS!I9+ED!I9+FIN!I9+HR!I10+IT!I9+LIB!I9+'P&amp;R'!I9+POL!I9+PW!I9+'W&amp;P'!I9+'Undistributed GF Rev'!I9</f>
        <v>40977975</v>
      </c>
      <c r="J16" s="347">
        <f>+Legis!J9+'Exec-Legal'!J9+CClerk!K9+CS!J9+DS!J9+ED!J9+FIN!J9+HR!J10+IT!J9+LIB!J9+'P&amp;R'!J9+POL!J9+PW!J9+'W&amp;P'!J9+'Undistributed GF Rev'!J9</f>
        <v>34957141</v>
      </c>
      <c r="K16" s="347">
        <f>+Legis!K9+'Exec-Legal'!K9+CClerk!L9+CS!K9+DS!K9+ED!K9+FIN!K9+HR!K10+IT!K9+LIB!K9+'P&amp;R'!K9+POL!K9+PW!K9+'W&amp;P'!K9+'Undistributed GF Rev'!K9</f>
        <v>64061425</v>
      </c>
      <c r="L16" s="347">
        <f>+Legis!L9+'Exec-Legal'!L9+CClerk!M9+CS!L9+DS!L9+ED!L9+FIN!L9+HR!L10+IT!L9+LIB!L9+'P&amp;R'!L9+POL!L9+PW!L9+'W&amp;P'!L9+'Undistributed GF Rev'!L9</f>
        <v>45527603</v>
      </c>
      <c r="M16" s="274">
        <v>59</v>
      </c>
      <c r="N16" s="238">
        <v>34957141</v>
      </c>
      <c r="O16" s="238">
        <v>64061425</v>
      </c>
      <c r="P16" s="287">
        <v>45527603</v>
      </c>
      <c r="U16" s="1">
        <v>64416122</v>
      </c>
      <c r="V16" s="181">
        <v>751236</v>
      </c>
      <c r="AB16" s="246"/>
    </row>
    <row r="17" spans="1:28" s="19" customFormat="1" ht="16.5" thickBot="1">
      <c r="A17" s="349"/>
      <c r="B17" s="239">
        <f>+Legis!B10+'Exec-Legal'!B10+CClerk!B10+CS!B10+DS!B10+ED!B10+FIN!B10+HR!B11+IT!B10+LIB!B10+'P&amp;R'!B10+POL!B10+PW!B10+'W&amp;P'!B10</f>
        <v>0</v>
      </c>
      <c r="C17" s="239">
        <v>0</v>
      </c>
      <c r="D17" s="239">
        <v>0</v>
      </c>
      <c r="E17" s="239">
        <v>0</v>
      </c>
      <c r="F17" s="239">
        <v>0</v>
      </c>
      <c r="G17" s="239">
        <v>0</v>
      </c>
      <c r="H17" s="239">
        <v>0</v>
      </c>
      <c r="I17" s="239">
        <v>0</v>
      </c>
      <c r="J17" s="350">
        <v>0</v>
      </c>
      <c r="K17" s="350">
        <v>0</v>
      </c>
      <c r="L17" s="350">
        <v>0</v>
      </c>
      <c r="M17" s="274"/>
      <c r="N17" s="239">
        <v>0</v>
      </c>
      <c r="O17" s="239">
        <v>0</v>
      </c>
      <c r="P17" s="292">
        <v>0</v>
      </c>
      <c r="T17" s="113"/>
      <c r="U17" s="69">
        <v>0</v>
      </c>
      <c r="V17" s="172">
        <v>9588936</v>
      </c>
      <c r="W17" s="183"/>
      <c r="X17" s="183"/>
      <c r="Y17" s="183"/>
      <c r="AA17" s="190"/>
      <c r="AB17" s="245"/>
    </row>
    <row r="18" spans="1:28">
      <c r="A18" s="293" t="s">
        <v>108</v>
      </c>
      <c r="B18" s="347">
        <f t="shared" ref="B18:I18" si="2">SUM(B13:B17)</f>
        <v>114704354</v>
      </c>
      <c r="C18" s="347">
        <f t="shared" si="2"/>
        <v>148489825</v>
      </c>
      <c r="D18" s="347">
        <f t="shared" si="2"/>
        <v>172493411</v>
      </c>
      <c r="E18" s="347">
        <f t="shared" si="2"/>
        <v>169880699</v>
      </c>
      <c r="F18" s="347">
        <f t="shared" si="2"/>
        <v>186809946</v>
      </c>
      <c r="G18" s="347">
        <f t="shared" si="2"/>
        <v>213934822.19999999</v>
      </c>
      <c r="H18" s="347">
        <f t="shared" si="2"/>
        <v>232678384</v>
      </c>
      <c r="I18" s="347">
        <f t="shared" si="2"/>
        <v>290088546</v>
      </c>
      <c r="J18" s="347">
        <f>SUM(J13:J17)</f>
        <v>325822336</v>
      </c>
      <c r="K18" s="347">
        <f>SUM(K13:K17)</f>
        <v>400222588</v>
      </c>
      <c r="L18" s="347">
        <f>SUM(L13:L17)</f>
        <v>351041642</v>
      </c>
      <c r="M18" s="274"/>
      <c r="N18" s="238">
        <f>SUM(N13:N17)</f>
        <v>325822337</v>
      </c>
      <c r="O18" s="238">
        <f>SUM(O13:O17)</f>
        <v>400222588</v>
      </c>
      <c r="P18" s="287">
        <f>SUM(P13:P17)</f>
        <v>351041642</v>
      </c>
      <c r="U18" s="27">
        <f>SUM(U13:U17)</f>
        <v>329355031</v>
      </c>
      <c r="V18" s="181"/>
    </row>
    <row r="19" spans="1:28">
      <c r="A19" s="268" t="s">
        <v>279</v>
      </c>
      <c r="B19" s="43"/>
      <c r="C19" s="294">
        <f>(C18/$B18)-1</f>
        <v>0.29454392812325159</v>
      </c>
      <c r="D19" s="294">
        <f t="shared" ref="D19:L19" si="3">(D18/$B18)-1</f>
        <v>0.50380874818404897</v>
      </c>
      <c r="E19" s="294">
        <f t="shared" si="3"/>
        <v>0.48103095545963326</v>
      </c>
      <c r="F19" s="294">
        <f t="shared" si="3"/>
        <v>0.62862122914706453</v>
      </c>
      <c r="G19" s="294">
        <f t="shared" si="3"/>
        <v>0.86509765967558638</v>
      </c>
      <c r="H19" s="294">
        <f t="shared" si="3"/>
        <v>1.0285052474991492</v>
      </c>
      <c r="I19" s="294">
        <f t="shared" si="3"/>
        <v>1.5290107644911193</v>
      </c>
      <c r="J19" s="339">
        <f t="shared" si="3"/>
        <v>1.8405402640600723</v>
      </c>
      <c r="K19" s="294">
        <f t="shared" si="3"/>
        <v>2.4891664879608668</v>
      </c>
      <c r="L19" s="294">
        <f t="shared" si="3"/>
        <v>2.0604038099547641</v>
      </c>
      <c r="M19" s="274"/>
      <c r="N19" s="269">
        <f>96294031+25780164+34957141+144457042+24333959</f>
        <v>325822337</v>
      </c>
      <c r="O19" s="269">
        <f>27486605+159471869+64061425+48013103+101189586</f>
        <v>400222588</v>
      </c>
      <c r="P19" s="270">
        <f>94140194+6037315+45527603+176784252+28552278</f>
        <v>351041642</v>
      </c>
      <c r="Q19" s="27"/>
      <c r="R19" s="27"/>
      <c r="S19" s="27"/>
      <c r="U19" s="27"/>
      <c r="V19" s="181">
        <v>177500</v>
      </c>
    </row>
    <row r="20" spans="1:28">
      <c r="A20" s="268"/>
      <c r="B20" s="43"/>
      <c r="C20" s="294"/>
      <c r="D20" s="294"/>
      <c r="E20" s="294"/>
      <c r="F20" s="294"/>
      <c r="G20" s="294"/>
      <c r="H20" s="294"/>
      <c r="I20" s="294"/>
      <c r="J20" s="339"/>
      <c r="K20" s="339"/>
      <c r="L20" s="269"/>
      <c r="M20" s="274"/>
      <c r="N20" s="269">
        <f>+N19-N18</f>
        <v>0</v>
      </c>
      <c r="O20" s="269">
        <f t="shared" ref="O20:P20" si="4">+O19-O18</f>
        <v>0</v>
      </c>
      <c r="P20" s="270">
        <f t="shared" si="4"/>
        <v>0</v>
      </c>
      <c r="Q20" s="4"/>
      <c r="R20" s="4">
        <f>+P14-U14</f>
        <v>1124673</v>
      </c>
      <c r="S20" s="141"/>
      <c r="T20" s="4">
        <f>+P14-L14</f>
        <v>0</v>
      </c>
      <c r="U20" s="252"/>
      <c r="V20" s="141"/>
      <c r="W20" s="252"/>
      <c r="X20" s="141"/>
      <c r="Y20" s="141"/>
      <c r="Z20" s="141"/>
      <c r="AA20" s="251"/>
      <c r="AB20" s="190"/>
    </row>
    <row r="21" spans="1:28">
      <c r="A21" s="268"/>
      <c r="B21" s="43"/>
      <c r="C21" s="294"/>
      <c r="D21" s="294"/>
      <c r="E21" s="294"/>
      <c r="F21" s="294"/>
      <c r="G21" s="294"/>
      <c r="H21" s="294"/>
      <c r="I21" s="294"/>
      <c r="J21" s="117"/>
      <c r="K21" s="117"/>
      <c r="L21" s="117">
        <f>+P14-L14</f>
        <v>0</v>
      </c>
      <c r="M21" s="274"/>
      <c r="N21" s="269"/>
      <c r="O21" s="269"/>
      <c r="P21" s="155"/>
      <c r="Q21" s="4"/>
      <c r="R21" s="4"/>
      <c r="S21" s="141"/>
      <c r="T21" s="4"/>
      <c r="U21" s="252"/>
      <c r="V21" s="141"/>
      <c r="W21" s="252"/>
      <c r="X21" s="141"/>
      <c r="Y21" s="141"/>
      <c r="Z21" s="141"/>
      <c r="AA21" s="251"/>
      <c r="AB21" s="190"/>
    </row>
    <row r="22" spans="1:28" ht="26.25">
      <c r="A22" s="284" t="s">
        <v>165</v>
      </c>
      <c r="B22" s="43"/>
      <c r="C22" s="294"/>
      <c r="D22" s="294"/>
      <c r="E22" s="294"/>
      <c r="F22" s="294"/>
      <c r="G22" s="294"/>
      <c r="H22" s="294"/>
      <c r="I22" s="294"/>
      <c r="J22" s="339"/>
      <c r="K22" s="294"/>
      <c r="L22" s="52"/>
      <c r="M22" s="274"/>
      <c r="N22" s="269"/>
      <c r="O22" s="269"/>
      <c r="P22" s="270"/>
      <c r="Q22" s="27"/>
      <c r="R22" s="27"/>
      <c r="S22" s="27"/>
      <c r="U22" s="27"/>
      <c r="V22" s="181">
        <f>-(113315604-102998533)</f>
        <v>-10317071</v>
      </c>
    </row>
    <row r="23" spans="1:28" ht="18.75">
      <c r="A23" s="153"/>
      <c r="B23" s="129">
        <v>2009</v>
      </c>
      <c r="C23" s="129">
        <v>2010</v>
      </c>
      <c r="D23" s="129">
        <v>2011</v>
      </c>
      <c r="E23" s="129">
        <v>2012</v>
      </c>
      <c r="F23" s="240">
        <v>2013</v>
      </c>
      <c r="G23" s="241">
        <v>2014</v>
      </c>
      <c r="H23" s="241">
        <v>2015</v>
      </c>
      <c r="I23" s="129">
        <v>2016</v>
      </c>
      <c r="J23" s="240">
        <v>2017</v>
      </c>
      <c r="K23" s="241">
        <v>2018</v>
      </c>
      <c r="L23" s="241">
        <v>2019</v>
      </c>
      <c r="M23" s="272"/>
      <c r="N23" s="295"/>
      <c r="O23" s="295"/>
      <c r="P23" s="296"/>
      <c r="Q23" s="100">
        <v>2016</v>
      </c>
      <c r="R23" s="83">
        <v>2017</v>
      </c>
      <c r="S23" s="83">
        <v>2018</v>
      </c>
      <c r="U23" s="27"/>
      <c r="V23" s="181">
        <f>SUM(V15:V22)</f>
        <v>200601</v>
      </c>
    </row>
    <row r="24" spans="1:28">
      <c r="A24" s="150" t="s">
        <v>100</v>
      </c>
      <c r="B24" s="43">
        <f>B13/B$4</f>
        <v>0</v>
      </c>
      <c r="C24" s="43">
        <f t="shared" ref="C24:L24" si="5">C13/C$4</f>
        <v>729.86203536949017</v>
      </c>
      <c r="D24" s="43">
        <f t="shared" si="5"/>
        <v>679.23162839400243</v>
      </c>
      <c r="E24" s="43">
        <f t="shared" si="5"/>
        <v>672.4593386308245</v>
      </c>
      <c r="F24" s="43">
        <f t="shared" si="5"/>
        <v>730.99910473213015</v>
      </c>
      <c r="G24" s="43">
        <f t="shared" si="5"/>
        <v>871.90577104481395</v>
      </c>
      <c r="H24" s="43">
        <f t="shared" si="5"/>
        <v>823.63149005720516</v>
      </c>
      <c r="I24" s="43">
        <f t="shared" si="5"/>
        <v>1226.426147744841</v>
      </c>
      <c r="J24" s="117">
        <f t="shared" si="5"/>
        <v>1609.628098628692</v>
      </c>
      <c r="K24" s="43">
        <f t="shared" si="5"/>
        <v>1931.1264140198286</v>
      </c>
      <c r="L24" s="43">
        <f t="shared" si="5"/>
        <v>1268.3908457837426</v>
      </c>
      <c r="M24" s="274"/>
      <c r="N24" s="269"/>
      <c r="O24" s="269"/>
      <c r="P24" s="270"/>
      <c r="Q24" s="1" t="e">
        <f t="shared" ref="Q24:S27" si="6">N13/N$4</f>
        <v>#DIV/0!</v>
      </c>
      <c r="R24" s="1" t="e">
        <f t="shared" si="6"/>
        <v>#DIV/0!</v>
      </c>
      <c r="S24" s="1" t="e">
        <f t="shared" si="6"/>
        <v>#DIV/0!</v>
      </c>
      <c r="U24" s="27"/>
      <c r="V24" s="181"/>
    </row>
    <row r="25" spans="1:28">
      <c r="A25" s="151" t="s">
        <v>93</v>
      </c>
      <c r="B25" s="43">
        <f>B14/B$4</f>
        <v>262.20203603432441</v>
      </c>
      <c r="C25" s="43">
        <f t="shared" ref="C25:L25" si="7">C14/C$4</f>
        <v>250.57375040595198</v>
      </c>
      <c r="D25" s="43">
        <f t="shared" si="7"/>
        <v>248.55116999461904</v>
      </c>
      <c r="E25" s="43">
        <f t="shared" si="7"/>
        <v>234.7317892733015</v>
      </c>
      <c r="F25" s="43">
        <f t="shared" si="7"/>
        <v>237.73322438539151</v>
      </c>
      <c r="G25" s="43">
        <f t="shared" si="7"/>
        <v>244.73857828713025</v>
      </c>
      <c r="H25" s="43">
        <f t="shared" si="7"/>
        <v>265.70058567147919</v>
      </c>
      <c r="I25" s="43">
        <f t="shared" si="7"/>
        <v>342.39244471331585</v>
      </c>
      <c r="J25" s="117">
        <f t="shared" si="7"/>
        <v>320.85915084388188</v>
      </c>
      <c r="K25" s="43">
        <f t="shared" si="7"/>
        <v>355.75839351815898</v>
      </c>
      <c r="L25" s="43">
        <f t="shared" si="7"/>
        <v>361.51276272474047</v>
      </c>
      <c r="M25" s="274"/>
      <c r="N25" s="269"/>
      <c r="O25" s="269"/>
      <c r="P25" s="270"/>
      <c r="Q25" s="1" t="e">
        <f t="shared" si="6"/>
        <v>#DIV/0!</v>
      </c>
      <c r="R25" s="1" t="e">
        <f t="shared" si="6"/>
        <v>#DIV/0!</v>
      </c>
      <c r="S25" s="1" t="e">
        <f t="shared" si="6"/>
        <v>#DIV/0!</v>
      </c>
      <c r="U25" s="27"/>
    </row>
    <row r="26" spans="1:28">
      <c r="A26" s="152" t="s">
        <v>101</v>
      </c>
      <c r="B26" s="43">
        <f>B15/B$4</f>
        <v>1501.064674962794</v>
      </c>
      <c r="C26" s="43">
        <f t="shared" ref="C26:L26" si="8">C15/C$4</f>
        <v>1161.8688848867762</v>
      </c>
      <c r="D26" s="43">
        <f t="shared" si="8"/>
        <v>1317.495455272611</v>
      </c>
      <c r="E26" s="43">
        <f t="shared" si="8"/>
        <v>1297.443676901112</v>
      </c>
      <c r="F26" s="43">
        <f t="shared" si="8"/>
        <v>1430.9212874804605</v>
      </c>
      <c r="G26" s="43">
        <f t="shared" si="8"/>
        <v>1578.2709814577554</v>
      </c>
      <c r="H26" s="43">
        <f t="shared" si="8"/>
        <v>1787.0318850449469</v>
      </c>
      <c r="I26" s="43">
        <f t="shared" si="8"/>
        <v>1780.1169590643274</v>
      </c>
      <c r="J26" s="117">
        <f t="shared" si="8"/>
        <v>1904.7605748945148</v>
      </c>
      <c r="K26" s="43">
        <f t="shared" si="8"/>
        <v>2064.0401361600789</v>
      </c>
      <c r="L26" s="43">
        <f t="shared" si="8"/>
        <v>2238.3420106356039</v>
      </c>
      <c r="M26" s="274"/>
      <c r="N26" s="269"/>
      <c r="O26" s="269"/>
      <c r="P26" s="270"/>
      <c r="Q26" s="1" t="e">
        <f t="shared" si="6"/>
        <v>#DIV/0!</v>
      </c>
      <c r="R26" s="1" t="e">
        <f t="shared" si="6"/>
        <v>#DIV/0!</v>
      </c>
      <c r="S26" s="1" t="e">
        <f t="shared" si="6"/>
        <v>#DIV/0!</v>
      </c>
      <c r="U26" s="27"/>
    </row>
    <row r="27" spans="1:28">
      <c r="A27" s="153" t="s">
        <v>83</v>
      </c>
      <c r="B27" s="43">
        <f>B16/B$4</f>
        <v>52.767518444634433</v>
      </c>
      <c r="C27" s="43">
        <f t="shared" ref="C27:L27" si="9">C16/C$4</f>
        <v>49.685896489622394</v>
      </c>
      <c r="D27" s="43">
        <f t="shared" si="9"/>
        <v>263.31544043862073</v>
      </c>
      <c r="E27" s="43">
        <f t="shared" si="9"/>
        <v>245.29667873264015</v>
      </c>
      <c r="F27" s="43">
        <f t="shared" si="9"/>
        <v>255.02800909478472</v>
      </c>
      <c r="G27" s="43">
        <f t="shared" si="9"/>
        <v>317.10576259732215</v>
      </c>
      <c r="H27" s="43">
        <f t="shared" si="9"/>
        <v>292.77774448379188</v>
      </c>
      <c r="I27" s="43">
        <f t="shared" si="9"/>
        <v>550.89030046380321</v>
      </c>
      <c r="J27" s="117">
        <f t="shared" si="9"/>
        <v>460.93276635021095</v>
      </c>
      <c r="K27" s="43">
        <f t="shared" si="9"/>
        <v>829.14531076078799</v>
      </c>
      <c r="L27" s="43">
        <f t="shared" si="9"/>
        <v>576.44470752089137</v>
      </c>
      <c r="M27" s="274"/>
      <c r="N27" s="269"/>
      <c r="O27" s="269"/>
      <c r="P27" s="270"/>
      <c r="Q27" s="1" t="e">
        <f t="shared" si="6"/>
        <v>#DIV/0!</v>
      </c>
      <c r="R27" s="1" t="e">
        <f t="shared" si="6"/>
        <v>#DIV/0!</v>
      </c>
      <c r="S27" s="1" t="e">
        <f t="shared" si="6"/>
        <v>#DIV/0!</v>
      </c>
      <c r="U27" s="27"/>
    </row>
    <row r="28" spans="1:28">
      <c r="A28" s="153"/>
      <c r="B28" s="43"/>
      <c r="C28" s="43"/>
      <c r="D28" s="43"/>
      <c r="E28" s="43"/>
      <c r="F28" s="43"/>
      <c r="G28" s="43"/>
      <c r="H28" s="43"/>
      <c r="I28" s="43"/>
      <c r="J28" s="117"/>
      <c r="K28" s="43"/>
      <c r="L28" s="43"/>
      <c r="M28" s="274"/>
      <c r="N28" s="269"/>
      <c r="O28" s="269"/>
      <c r="P28" s="270"/>
      <c r="Q28" s="1"/>
      <c r="R28" s="1"/>
      <c r="S28" s="1"/>
      <c r="U28" s="27"/>
    </row>
    <row r="29" spans="1:28" ht="26.25">
      <c r="A29" s="284" t="s">
        <v>164</v>
      </c>
      <c r="B29" s="43"/>
      <c r="C29" s="43"/>
      <c r="D29" s="43"/>
      <c r="E29" s="43"/>
      <c r="F29" s="43"/>
      <c r="G29" s="43"/>
      <c r="H29" s="43"/>
      <c r="I29" s="43"/>
      <c r="J29" s="117"/>
      <c r="K29" s="43"/>
      <c r="L29" s="43"/>
      <c r="M29" s="274"/>
      <c r="N29" s="269"/>
      <c r="O29" s="269"/>
      <c r="P29" s="270"/>
      <c r="Q29" s="1"/>
      <c r="R29" s="1"/>
      <c r="S29" s="1"/>
      <c r="U29" s="27"/>
    </row>
    <row r="30" spans="1:28" ht="18.75">
      <c r="A30" s="153"/>
      <c r="B30" s="129">
        <v>2009</v>
      </c>
      <c r="C30" s="129">
        <v>2010</v>
      </c>
      <c r="D30" s="129">
        <v>2011</v>
      </c>
      <c r="E30" s="129">
        <v>2012</v>
      </c>
      <c r="F30" s="240">
        <v>2013</v>
      </c>
      <c r="G30" s="241">
        <v>2014</v>
      </c>
      <c r="H30" s="241">
        <v>2015</v>
      </c>
      <c r="I30" s="129">
        <v>2016</v>
      </c>
      <c r="J30" s="240">
        <v>2017</v>
      </c>
      <c r="K30" s="241">
        <v>2018</v>
      </c>
      <c r="L30" s="241">
        <v>2019</v>
      </c>
      <c r="M30" s="272" t="s">
        <v>150</v>
      </c>
      <c r="N30" s="295"/>
      <c r="O30" s="295"/>
      <c r="P30" s="296"/>
      <c r="Q30" s="100">
        <v>2016</v>
      </c>
      <c r="R30" s="83">
        <v>2017</v>
      </c>
      <c r="S30" s="83">
        <v>2018</v>
      </c>
      <c r="U30" s="27"/>
    </row>
    <row r="31" spans="1:28">
      <c r="A31" s="150" t="s">
        <v>100</v>
      </c>
      <c r="B31" s="297">
        <v>540</v>
      </c>
      <c r="C31" s="297">
        <v>515</v>
      </c>
      <c r="D31" s="297">
        <v>517</v>
      </c>
      <c r="E31" s="297">
        <v>520</v>
      </c>
      <c r="F31" s="297">
        <v>461</v>
      </c>
      <c r="G31" s="297">
        <v>477</v>
      </c>
      <c r="H31" s="297">
        <v>490</v>
      </c>
      <c r="I31" s="298">
        <v>502</v>
      </c>
      <c r="J31" s="297">
        <v>426</v>
      </c>
      <c r="K31" s="297">
        <v>440.875</v>
      </c>
      <c r="L31" s="297">
        <v>441</v>
      </c>
      <c r="M31" s="299"/>
      <c r="N31" s="300"/>
      <c r="O31" s="300"/>
      <c r="P31" s="301"/>
      <c r="Q31" s="149"/>
      <c r="R31" s="149"/>
      <c r="S31" s="149"/>
      <c r="U31" s="27"/>
    </row>
    <row r="32" spans="1:28">
      <c r="A32" s="151" t="s">
        <v>93</v>
      </c>
      <c r="B32" s="297">
        <v>16</v>
      </c>
      <c r="C32" s="297">
        <v>16</v>
      </c>
      <c r="D32" s="297">
        <v>17</v>
      </c>
      <c r="E32" s="297">
        <v>18</v>
      </c>
      <c r="F32" s="297">
        <v>19</v>
      </c>
      <c r="G32" s="297">
        <v>19</v>
      </c>
      <c r="H32" s="297">
        <v>20</v>
      </c>
      <c r="I32" s="298">
        <v>19</v>
      </c>
      <c r="J32" s="297">
        <v>22.55</v>
      </c>
      <c r="K32" s="297">
        <v>23.55</v>
      </c>
      <c r="L32" s="298">
        <v>23.55</v>
      </c>
      <c r="M32" s="299"/>
      <c r="N32" s="300"/>
      <c r="O32" s="300"/>
      <c r="P32" s="301"/>
      <c r="Q32" s="149"/>
      <c r="R32" s="149"/>
      <c r="S32" s="149"/>
      <c r="U32" s="27"/>
      <c r="V32" s="182">
        <f>12665707+14416090+573606</f>
        <v>27655403</v>
      </c>
    </row>
    <row r="33" spans="1:22">
      <c r="A33" s="152" t="s">
        <v>101</v>
      </c>
      <c r="B33" s="297">
        <v>186</v>
      </c>
      <c r="C33" s="297">
        <v>177</v>
      </c>
      <c r="D33" s="297">
        <v>171</v>
      </c>
      <c r="E33" s="297">
        <v>172</v>
      </c>
      <c r="F33" s="297">
        <v>169</v>
      </c>
      <c r="G33" s="297">
        <v>175</v>
      </c>
      <c r="H33" s="297">
        <v>184</v>
      </c>
      <c r="I33" s="298">
        <v>188</v>
      </c>
      <c r="J33" s="297">
        <v>195.2</v>
      </c>
      <c r="K33" s="297">
        <v>203.2</v>
      </c>
      <c r="L33" s="297">
        <v>205.82499999999999</v>
      </c>
      <c r="M33" s="299"/>
      <c r="N33" s="300"/>
      <c r="O33" s="300"/>
      <c r="P33" s="301"/>
      <c r="Q33" s="149"/>
      <c r="R33" s="149"/>
      <c r="S33" s="149"/>
      <c r="U33" s="27"/>
      <c r="V33" s="182">
        <v>35233196</v>
      </c>
    </row>
    <row r="34" spans="1:22">
      <c r="A34" s="153" t="s">
        <v>83</v>
      </c>
      <c r="B34" s="297">
        <v>57</v>
      </c>
      <c r="C34" s="297">
        <v>57</v>
      </c>
      <c r="D34" s="297">
        <v>57</v>
      </c>
      <c r="E34" s="297">
        <v>57</v>
      </c>
      <c r="F34" s="297">
        <v>57</v>
      </c>
      <c r="G34" s="297">
        <v>58</v>
      </c>
      <c r="H34" s="297">
        <v>59</v>
      </c>
      <c r="I34" s="298">
        <v>61</v>
      </c>
      <c r="J34" s="297">
        <v>163</v>
      </c>
      <c r="K34" s="297">
        <v>165</v>
      </c>
      <c r="L34" s="298">
        <v>164.75</v>
      </c>
      <c r="M34" s="299"/>
      <c r="N34" s="300"/>
      <c r="O34" s="300"/>
      <c r="P34" s="301"/>
      <c r="Q34" s="149"/>
      <c r="R34" s="149"/>
      <c r="S34" s="149"/>
      <c r="U34" s="27"/>
      <c r="V34" s="182">
        <f>+V33-V32</f>
        <v>7577793</v>
      </c>
    </row>
    <row r="35" spans="1:22">
      <c r="A35" s="153"/>
      <c r="B35" s="297"/>
      <c r="C35" s="297"/>
      <c r="D35" s="297"/>
      <c r="E35" s="297"/>
      <c r="F35" s="297"/>
      <c r="G35" s="297"/>
      <c r="H35" s="297"/>
      <c r="I35" s="297"/>
      <c r="J35" s="298"/>
      <c r="K35" s="297"/>
      <c r="L35" s="297"/>
      <c r="M35" s="299"/>
      <c r="N35" s="300"/>
      <c r="O35" s="300"/>
      <c r="P35" s="301"/>
      <c r="Q35" s="149"/>
      <c r="R35" s="149"/>
      <c r="S35" s="149"/>
      <c r="U35" s="27"/>
      <c r="V35" s="182"/>
    </row>
    <row r="36" spans="1:22" ht="26.25">
      <c r="A36" s="284" t="s">
        <v>166</v>
      </c>
      <c r="B36" s="297"/>
      <c r="C36" s="297"/>
      <c r="D36" s="297"/>
      <c r="E36" s="297"/>
      <c r="F36" s="297"/>
      <c r="G36" s="297"/>
      <c r="H36" s="297"/>
      <c r="I36" s="297"/>
      <c r="J36" s="298"/>
      <c r="K36" s="297"/>
      <c r="L36" s="297"/>
      <c r="M36" s="299"/>
      <c r="N36" s="300"/>
      <c r="O36" s="300"/>
      <c r="P36" s="301"/>
      <c r="Q36" s="149"/>
      <c r="R36" s="149"/>
      <c r="S36" s="149"/>
      <c r="U36" s="27"/>
    </row>
    <row r="37" spans="1:22" ht="18.75">
      <c r="A37" s="153"/>
      <c r="B37" s="129">
        <v>2009</v>
      </c>
      <c r="C37" s="129">
        <v>2010</v>
      </c>
      <c r="D37" s="129">
        <v>2011</v>
      </c>
      <c r="E37" s="129">
        <v>2012</v>
      </c>
      <c r="F37" s="240">
        <v>2013</v>
      </c>
      <c r="G37" s="241">
        <v>2014</v>
      </c>
      <c r="H37" s="241">
        <v>2015</v>
      </c>
      <c r="I37" s="129">
        <v>2016</v>
      </c>
      <c r="J37" s="240">
        <v>2017</v>
      </c>
      <c r="K37" s="241">
        <v>2018</v>
      </c>
      <c r="L37" s="241">
        <v>2019</v>
      </c>
      <c r="M37" s="272" t="s">
        <v>150</v>
      </c>
      <c r="N37" s="295"/>
      <c r="O37" s="295"/>
      <c r="P37" s="296"/>
      <c r="Q37" s="100">
        <v>2016</v>
      </c>
      <c r="R37" s="83">
        <v>2017</v>
      </c>
      <c r="S37" s="83">
        <v>2018</v>
      </c>
      <c r="U37" s="27"/>
    </row>
    <row r="38" spans="1:22">
      <c r="A38" s="150" t="s">
        <v>100</v>
      </c>
      <c r="B38" s="43">
        <f>B13/B31</f>
        <v>0</v>
      </c>
      <c r="C38" s="43">
        <f t="shared" ref="C38:L38" si="10">C13/C31</f>
        <v>96004.493203883496</v>
      </c>
      <c r="D38" s="43">
        <f t="shared" si="10"/>
        <v>90337.806576402319</v>
      </c>
      <c r="E38" s="43">
        <f t="shared" si="10"/>
        <v>89671.159615384619</v>
      </c>
      <c r="F38" s="43">
        <f t="shared" ref="F38" si="11">F13/F31</f>
        <v>111584.39696312364</v>
      </c>
      <c r="G38" s="43">
        <f t="shared" si="10"/>
        <v>129829.87672955975</v>
      </c>
      <c r="H38" s="43">
        <f t="shared" si="10"/>
        <v>123410.25306122449</v>
      </c>
      <c r="I38" s="43">
        <f t="shared" si="10"/>
        <v>181728.50398406375</v>
      </c>
      <c r="J38" s="117">
        <f t="shared" si="10"/>
        <v>286559.14319248823</v>
      </c>
      <c r="K38" s="43">
        <f t="shared" si="10"/>
        <v>338424.01814573293</v>
      </c>
      <c r="L38" s="43">
        <f t="shared" si="10"/>
        <v>227159.88435374151</v>
      </c>
      <c r="M38" s="299"/>
      <c r="N38" s="300"/>
      <c r="O38" s="300"/>
      <c r="P38" s="301"/>
      <c r="Q38" s="149"/>
      <c r="R38" s="149"/>
      <c r="S38" s="149"/>
      <c r="U38" s="27"/>
    </row>
    <row r="39" spans="1:22">
      <c r="A39" s="151" t="s">
        <v>93</v>
      </c>
      <c r="B39" s="43">
        <f t="shared" ref="B39:B41" si="12">B14/B32</f>
        <v>1035075.3125</v>
      </c>
      <c r="C39" s="43">
        <f t="shared" ref="C39:E39" si="13">C14/C32</f>
        <v>1060897.9375</v>
      </c>
      <c r="D39" s="43">
        <f t="shared" si="13"/>
        <v>1005331</v>
      </c>
      <c r="E39" s="43">
        <f t="shared" si="13"/>
        <v>904252.0555555555</v>
      </c>
      <c r="F39" s="43">
        <f t="shared" ref="F39" si="14">F14/F32</f>
        <v>880488.78947368416</v>
      </c>
      <c r="G39" s="43">
        <f t="shared" ref="G39:L41" si="15">G14/G32</f>
        <v>914897.21052631584</v>
      </c>
      <c r="H39" s="43">
        <f t="shared" si="15"/>
        <v>975386.85</v>
      </c>
      <c r="I39" s="43">
        <f t="shared" si="15"/>
        <v>1340466.4210526317</v>
      </c>
      <c r="J39" s="117">
        <f t="shared" si="15"/>
        <v>1079111.2195121951</v>
      </c>
      <c r="K39" s="43">
        <f t="shared" si="15"/>
        <v>1167159.4479830149</v>
      </c>
      <c r="L39" s="43">
        <f t="shared" si="15"/>
        <v>1212410.9554140128</v>
      </c>
      <c r="M39" s="299"/>
      <c r="N39" s="300"/>
      <c r="O39" s="300"/>
      <c r="P39" s="301"/>
      <c r="Q39" s="149"/>
      <c r="R39" s="149"/>
      <c r="S39" s="149"/>
      <c r="U39" s="27"/>
    </row>
    <row r="40" spans="1:22">
      <c r="A40" s="152" t="s">
        <v>101</v>
      </c>
      <c r="B40" s="43">
        <f t="shared" si="12"/>
        <v>509732.51075268816</v>
      </c>
      <c r="C40" s="43">
        <f t="shared" ref="C40:E40" si="16">C15/C33</f>
        <v>444674.13559322036</v>
      </c>
      <c r="D40" s="43">
        <f t="shared" si="16"/>
        <v>529779.56140350876</v>
      </c>
      <c r="E40" s="43">
        <f t="shared" si="16"/>
        <v>523058.38372093026</v>
      </c>
      <c r="F40" s="43">
        <f t="shared" ref="F40" si="17">F15/F33</f>
        <v>595822.07692307688</v>
      </c>
      <c r="G40" s="43">
        <f t="shared" si="15"/>
        <v>640570.58857142855</v>
      </c>
      <c r="H40" s="43">
        <f t="shared" si="15"/>
        <v>713064.57065217395</v>
      </c>
      <c r="I40" s="43">
        <f t="shared" si="15"/>
        <v>704329.78723404254</v>
      </c>
      <c r="J40" s="117">
        <f t="shared" si="15"/>
        <v>740046.32172131154</v>
      </c>
      <c r="K40" s="43">
        <f t="shared" si="15"/>
        <v>784802.50492125994</v>
      </c>
      <c r="L40" s="43">
        <f t="shared" si="15"/>
        <v>858905.63342645462</v>
      </c>
      <c r="M40" s="299"/>
      <c r="N40" s="300"/>
      <c r="O40" s="300"/>
      <c r="P40" s="301"/>
      <c r="Q40" s="149"/>
      <c r="R40" s="149"/>
      <c r="S40" s="149"/>
      <c r="U40" s="27"/>
    </row>
    <row r="41" spans="1:22">
      <c r="A41" s="153" t="s">
        <v>83</v>
      </c>
      <c r="B41" s="43">
        <f t="shared" si="12"/>
        <v>58471.964912280702</v>
      </c>
      <c r="C41" s="43">
        <f t="shared" ref="C41:E41" si="18">C16/C34</f>
        <v>59049.508771929824</v>
      </c>
      <c r="D41" s="43">
        <f t="shared" si="18"/>
        <v>317646.19298245612</v>
      </c>
      <c r="E41" s="43">
        <f t="shared" si="18"/>
        <v>298405.56140350876</v>
      </c>
      <c r="F41" s="43">
        <f t="shared" ref="F41" si="19">F16/F34</f>
        <v>314847.73684210528</v>
      </c>
      <c r="G41" s="43">
        <f t="shared" si="15"/>
        <v>388328.81034482759</v>
      </c>
      <c r="H41" s="43">
        <f t="shared" si="15"/>
        <v>364334.6101694915</v>
      </c>
      <c r="I41" s="43">
        <f t="shared" si="15"/>
        <v>671770.08196721307</v>
      </c>
      <c r="J41" s="117">
        <f t="shared" si="15"/>
        <v>214460.98773006134</v>
      </c>
      <c r="K41" s="43">
        <f t="shared" si="15"/>
        <v>388251.06060606061</v>
      </c>
      <c r="L41" s="43">
        <f t="shared" si="15"/>
        <v>276343.56904400606</v>
      </c>
      <c r="M41" s="274"/>
      <c r="N41" s="269"/>
      <c r="O41" s="269"/>
      <c r="P41" s="270"/>
      <c r="Q41" s="27"/>
      <c r="R41" s="27"/>
      <c r="S41" s="27"/>
      <c r="U41" s="27"/>
    </row>
    <row r="42" spans="1:22">
      <c r="A42" s="153"/>
      <c r="B42" s="43"/>
      <c r="C42" s="294"/>
      <c r="D42" s="294"/>
      <c r="E42" s="294"/>
      <c r="F42" s="294"/>
      <c r="G42" s="43"/>
      <c r="H42" s="43"/>
      <c r="I42" s="43"/>
      <c r="J42" s="117"/>
      <c r="K42" s="43"/>
      <c r="L42" s="43"/>
      <c r="M42" s="274"/>
      <c r="N42" s="269"/>
      <c r="O42" s="269"/>
      <c r="P42" s="270"/>
      <c r="Q42" s="27"/>
      <c r="R42" s="27"/>
      <c r="S42" s="27"/>
      <c r="U42" s="27"/>
    </row>
    <row r="43" spans="1:22" ht="26.25">
      <c r="A43" s="284" t="s">
        <v>195</v>
      </c>
      <c r="B43" s="43"/>
      <c r="C43" s="294"/>
      <c r="D43" s="294"/>
      <c r="E43" s="294"/>
      <c r="F43" s="294"/>
      <c r="G43" s="43"/>
      <c r="H43" s="43"/>
      <c r="I43" s="43"/>
      <c r="J43" s="117"/>
      <c r="K43" s="43"/>
      <c r="L43" s="43"/>
      <c r="M43" s="274"/>
      <c r="N43" s="269"/>
      <c r="O43" s="269"/>
      <c r="P43" s="270"/>
      <c r="Q43" s="27"/>
      <c r="R43" s="27"/>
      <c r="S43" s="27"/>
      <c r="U43" s="27"/>
    </row>
    <row r="44" spans="1:22">
      <c r="A44" s="153"/>
      <c r="B44" s="43"/>
      <c r="C44" s="294"/>
      <c r="D44" s="294"/>
      <c r="E44" s="294"/>
      <c r="F44" s="294"/>
      <c r="G44" s="43"/>
      <c r="H44" s="43"/>
      <c r="I44" s="43"/>
      <c r="J44" s="117"/>
      <c r="K44" s="43"/>
      <c r="L44" s="43"/>
      <c r="M44" s="274"/>
      <c r="N44" s="269"/>
      <c r="O44" s="269"/>
      <c r="P44" s="270"/>
      <c r="Q44" s="27"/>
      <c r="R44" s="27"/>
      <c r="S44" s="27"/>
      <c r="U44" s="27"/>
    </row>
    <row r="45" spans="1:22">
      <c r="A45" s="150" t="s">
        <v>100</v>
      </c>
      <c r="B45" s="43">
        <f>+B59/B$4</f>
        <v>785.95649282796614</v>
      </c>
      <c r="C45" s="43">
        <f t="shared" ref="C45:L45" si="20">+C59/C$4</f>
        <v>733.14131557969949</v>
      </c>
      <c r="D45" s="43">
        <f t="shared" si="20"/>
        <v>788.58157967452485</v>
      </c>
      <c r="E45" s="43">
        <f t="shared" si="20"/>
        <v>675.98226157684485</v>
      </c>
      <c r="F45" s="43">
        <f t="shared" si="20"/>
        <v>730.99910473213015</v>
      </c>
      <c r="G45" s="43">
        <f t="shared" si="20"/>
        <v>866.02874963042223</v>
      </c>
      <c r="H45" s="43">
        <f t="shared" si="20"/>
        <v>823.59753473168075</v>
      </c>
      <c r="I45" s="43">
        <f t="shared" si="20"/>
        <v>838.352557639309</v>
      </c>
      <c r="J45" s="117">
        <f t="shared" si="20"/>
        <v>1371.1779535864978</v>
      </c>
      <c r="K45" s="43">
        <f t="shared" si="20"/>
        <v>1667.2520644042349</v>
      </c>
      <c r="L45" s="43">
        <f t="shared" si="20"/>
        <v>1292.0938465434288</v>
      </c>
      <c r="M45" s="274"/>
      <c r="N45" s="269"/>
      <c r="O45" s="269"/>
      <c r="P45" s="270"/>
      <c r="Q45" s="27"/>
      <c r="R45" s="27"/>
      <c r="S45" s="27"/>
      <c r="U45" s="27"/>
    </row>
    <row r="46" spans="1:22">
      <c r="A46" s="151" t="s">
        <v>93</v>
      </c>
      <c r="B46" s="43">
        <f t="shared" ref="B46:L46" si="21">+B60/B$4</f>
        <v>254.5557613755106</v>
      </c>
      <c r="C46" s="43">
        <f t="shared" si="21"/>
        <v>226.25309261610226</v>
      </c>
      <c r="D46" s="43">
        <f t="shared" si="21"/>
        <v>231.81230639461322</v>
      </c>
      <c r="E46" s="43">
        <f t="shared" si="21"/>
        <v>211.22697970897448</v>
      </c>
      <c r="F46" s="43">
        <f t="shared" si="21"/>
        <v>249.15786556771351</v>
      </c>
      <c r="G46" s="43">
        <f t="shared" si="21"/>
        <v>303.23201036225663</v>
      </c>
      <c r="H46" s="43">
        <f t="shared" si="21"/>
        <v>309.89773903568511</v>
      </c>
      <c r="I46" s="43">
        <f t="shared" si="21"/>
        <v>277.86116824628624</v>
      </c>
      <c r="J46" s="117">
        <f t="shared" si="21"/>
        <v>303.27353639240505</v>
      </c>
      <c r="K46" s="43">
        <f t="shared" si="21"/>
        <v>349.70625922186844</v>
      </c>
      <c r="L46" s="43">
        <f t="shared" si="21"/>
        <v>353.92884274499875</v>
      </c>
      <c r="M46" s="274"/>
      <c r="N46" s="269"/>
      <c r="O46" s="269"/>
      <c r="P46" s="270"/>
      <c r="Q46" s="27"/>
      <c r="R46" s="27"/>
      <c r="S46" s="27"/>
      <c r="U46" s="27"/>
    </row>
    <row r="47" spans="1:22">
      <c r="A47" s="152" t="s">
        <v>101</v>
      </c>
      <c r="B47" s="43">
        <f t="shared" ref="B47:L47" si="22">+B61/B$4</f>
        <v>1216.5994585351953</v>
      </c>
      <c r="C47" s="43">
        <f t="shared" si="22"/>
        <v>1152.0564642319389</v>
      </c>
      <c r="D47" s="43">
        <f t="shared" si="22"/>
        <v>1343.2401797530576</v>
      </c>
      <c r="E47" s="43">
        <f t="shared" si="22"/>
        <v>1254.7608918244616</v>
      </c>
      <c r="F47" s="43">
        <f t="shared" si="22"/>
        <v>1459.571692482592</v>
      </c>
      <c r="G47" s="43">
        <f t="shared" si="22"/>
        <v>1770.9912850042942</v>
      </c>
      <c r="H47" s="43">
        <f t="shared" si="22"/>
        <v>1960.2843775538001</v>
      </c>
      <c r="I47" s="43">
        <f t="shared" si="22"/>
        <v>1863.3003159239095</v>
      </c>
      <c r="J47" s="117">
        <f t="shared" si="22"/>
        <v>1972.0601133966245</v>
      </c>
      <c r="K47" s="43">
        <f t="shared" si="22"/>
        <v>2623.6030260671482</v>
      </c>
      <c r="L47" s="43">
        <f t="shared" si="22"/>
        <v>2520.2164345403899</v>
      </c>
      <c r="M47" s="274"/>
      <c r="N47" s="269"/>
      <c r="O47" s="269"/>
      <c r="P47" s="270"/>
      <c r="Q47" s="27"/>
      <c r="R47" s="27"/>
      <c r="S47" s="27"/>
      <c r="U47" s="27"/>
    </row>
    <row r="48" spans="1:22">
      <c r="A48" s="153" t="s">
        <v>83</v>
      </c>
      <c r="B48" s="43">
        <f t="shared" ref="B48:L48" si="23">+B62/B$4</f>
        <v>136.38163769354992</v>
      </c>
      <c r="C48" s="43">
        <f t="shared" si="23"/>
        <v>134.53907472469075</v>
      </c>
      <c r="D48" s="43">
        <f t="shared" si="23"/>
        <v>222.26142726254707</v>
      </c>
      <c r="E48" s="43">
        <f t="shared" si="23"/>
        <v>221.01605110973307</v>
      </c>
      <c r="F48" s="43">
        <f t="shared" si="23"/>
        <v>264.08048884467814</v>
      </c>
      <c r="G48" s="43">
        <f t="shared" si="23"/>
        <v>321.90067157559804</v>
      </c>
      <c r="H48" s="43">
        <f t="shared" si="23"/>
        <v>426.89538272950148</v>
      </c>
      <c r="I48" s="43">
        <f t="shared" si="23"/>
        <v>390.021778584392</v>
      </c>
      <c r="J48" s="117">
        <f t="shared" si="23"/>
        <v>435.6089266877637</v>
      </c>
      <c r="K48" s="43">
        <f t="shared" si="23"/>
        <v>1059.7612409722763</v>
      </c>
      <c r="L48" s="43">
        <f t="shared" si="23"/>
        <v>632.99413775639403</v>
      </c>
      <c r="M48" s="274"/>
      <c r="N48" s="269"/>
      <c r="O48" s="269"/>
      <c r="P48" s="270"/>
      <c r="Q48" s="27"/>
      <c r="R48" s="27"/>
      <c r="S48" s="27"/>
      <c r="U48" s="27"/>
    </row>
    <row r="49" spans="1:25">
      <c r="A49" s="153"/>
      <c r="B49" s="43"/>
      <c r="C49" s="294"/>
      <c r="D49" s="294"/>
      <c r="E49" s="294"/>
      <c r="F49" s="294"/>
      <c r="G49" s="43"/>
      <c r="H49" s="43"/>
      <c r="I49" s="43"/>
      <c r="J49" s="117"/>
      <c r="K49" s="43"/>
      <c r="L49" s="43"/>
      <c r="M49" s="274"/>
      <c r="N49" s="269"/>
      <c r="O49" s="269"/>
      <c r="P49" s="270"/>
      <c r="Q49" s="27"/>
      <c r="R49" s="27"/>
      <c r="S49" s="27"/>
      <c r="U49" s="27"/>
    </row>
    <row r="50" spans="1:25" ht="26.25">
      <c r="A50" s="284" t="s">
        <v>194</v>
      </c>
      <c r="B50" s="43"/>
      <c r="C50" s="294"/>
      <c r="D50" s="294"/>
      <c r="E50" s="294"/>
      <c r="F50" s="294"/>
      <c r="G50" s="43"/>
      <c r="H50" s="43"/>
      <c r="I50" s="43"/>
      <c r="J50" s="117"/>
      <c r="K50" s="43"/>
      <c r="L50" s="43"/>
      <c r="M50" s="274"/>
      <c r="N50" s="269"/>
      <c r="O50" s="269"/>
      <c r="P50" s="270"/>
      <c r="Q50" s="27"/>
      <c r="R50" s="27"/>
      <c r="S50" s="27"/>
      <c r="U50" s="27"/>
    </row>
    <row r="51" spans="1:25">
      <c r="A51" s="153"/>
      <c r="B51" s="129">
        <v>2009</v>
      </c>
      <c r="C51" s="129">
        <v>2010</v>
      </c>
      <c r="D51" s="129">
        <v>2011</v>
      </c>
      <c r="E51" s="129">
        <v>2012</v>
      </c>
      <c r="F51" s="240">
        <v>2013</v>
      </c>
      <c r="G51" s="241">
        <v>2014</v>
      </c>
      <c r="H51" s="241">
        <v>2015</v>
      </c>
      <c r="I51" s="129">
        <v>2016</v>
      </c>
      <c r="J51" s="240">
        <v>2017</v>
      </c>
      <c r="K51" s="241">
        <v>2018</v>
      </c>
      <c r="L51" s="241">
        <v>2019</v>
      </c>
      <c r="M51" s="274"/>
      <c r="N51" s="269"/>
      <c r="O51" s="269"/>
      <c r="P51" s="270"/>
      <c r="Q51" s="27"/>
      <c r="R51" s="27"/>
      <c r="S51" s="27"/>
      <c r="U51" s="27"/>
    </row>
    <row r="52" spans="1:25">
      <c r="A52" s="150" t="s">
        <v>100</v>
      </c>
      <c r="B52" s="43">
        <f t="shared" ref="B52:C55" si="24">+B59/B31</f>
        <v>91930.711111111115</v>
      </c>
      <c r="C52" s="43">
        <f t="shared" si="24"/>
        <v>96435.842718446598</v>
      </c>
      <c r="D52" s="43">
        <f t="shared" ref="D52:L52" si="25">+D59/D31</f>
        <v>104881.3500967118</v>
      </c>
      <c r="E52" s="43">
        <f t="shared" si="25"/>
        <v>90140.934615384613</v>
      </c>
      <c r="F52" s="43">
        <f t="shared" si="25"/>
        <v>111584.39696312364</v>
      </c>
      <c r="G52" s="43">
        <f t="shared" si="25"/>
        <v>128954.76729559748</v>
      </c>
      <c r="H52" s="43">
        <f t="shared" si="25"/>
        <v>123405.16530612245</v>
      </c>
      <c r="I52" s="43">
        <f t="shared" si="25"/>
        <v>124224.81075697212</v>
      </c>
      <c r="J52" s="117">
        <f t="shared" si="25"/>
        <v>244108.30046948357</v>
      </c>
      <c r="K52" s="43">
        <f t="shared" si="25"/>
        <v>292180.84264247236</v>
      </c>
      <c r="L52" s="43">
        <f t="shared" si="25"/>
        <v>231404.92517006802</v>
      </c>
      <c r="M52" s="274"/>
      <c r="N52" s="269"/>
      <c r="O52" s="269"/>
      <c r="P52" s="270"/>
      <c r="Q52" s="27"/>
      <c r="R52" s="27"/>
      <c r="S52" s="27"/>
      <c r="U52" s="27"/>
    </row>
    <row r="53" spans="1:25">
      <c r="A53" s="151" t="s">
        <v>93</v>
      </c>
      <c r="B53" s="43">
        <f t="shared" si="24"/>
        <v>1004890.6875</v>
      </c>
      <c r="C53" s="43">
        <f t="shared" si="24"/>
        <v>957927.3125</v>
      </c>
      <c r="D53" s="43">
        <f t="shared" ref="D53:L53" si="26">+D60/D32</f>
        <v>937626.23529411759</v>
      </c>
      <c r="E53" s="43">
        <f t="shared" si="26"/>
        <v>813705</v>
      </c>
      <c r="F53" s="43">
        <f t="shared" si="26"/>
        <v>922802.05263157899</v>
      </c>
      <c r="G53" s="43">
        <f t="shared" si="26"/>
        <v>1133561.0526315789</v>
      </c>
      <c r="H53" s="43">
        <f t="shared" si="26"/>
        <v>1137634.6000000001</v>
      </c>
      <c r="I53" s="43">
        <f t="shared" si="26"/>
        <v>1087826.4736842106</v>
      </c>
      <c r="J53" s="43">
        <f t="shared" si="26"/>
        <v>1019967.4057649667</v>
      </c>
      <c r="K53" s="43">
        <f t="shared" si="26"/>
        <v>1147303.8216560509</v>
      </c>
      <c r="L53" s="43">
        <f t="shared" si="26"/>
        <v>1186976.6454352441</v>
      </c>
      <c r="M53" s="274"/>
      <c r="N53" s="269"/>
      <c r="O53" s="269"/>
      <c r="P53" s="270"/>
      <c r="Q53" s="27"/>
      <c r="R53" s="27"/>
      <c r="S53" s="27"/>
      <c r="U53" s="27"/>
    </row>
    <row r="54" spans="1:25">
      <c r="A54" s="152" t="s">
        <v>101</v>
      </c>
      <c r="B54" s="43">
        <f t="shared" si="24"/>
        <v>413133.62903225806</v>
      </c>
      <c r="C54" s="43">
        <f t="shared" si="24"/>
        <v>440918.69491525425</v>
      </c>
      <c r="D54" s="43">
        <f t="shared" ref="D54:L54" si="27">+D61/D33</f>
        <v>540131.80116959068</v>
      </c>
      <c r="E54" s="43">
        <f t="shared" si="27"/>
        <v>505851.01744186046</v>
      </c>
      <c r="F54" s="43">
        <f t="shared" si="27"/>
        <v>607751.83431952668</v>
      </c>
      <c r="G54" s="43">
        <f t="shared" si="27"/>
        <v>718789.7028571429</v>
      </c>
      <c r="H54" s="43">
        <f t="shared" si="27"/>
        <v>782196.08152173914</v>
      </c>
      <c r="I54" s="43">
        <f t="shared" si="27"/>
        <v>737242.52127659577</v>
      </c>
      <c r="J54" s="117">
        <f t="shared" si="27"/>
        <v>766193.84733606561</v>
      </c>
      <c r="K54" s="43">
        <f t="shared" si="27"/>
        <v>997563.07578740164</v>
      </c>
      <c r="L54" s="43">
        <f t="shared" si="27"/>
        <v>967067.62540993572</v>
      </c>
      <c r="M54" s="274"/>
      <c r="N54" s="269"/>
      <c r="O54" s="269"/>
      <c r="P54" s="270"/>
      <c r="Q54" s="27"/>
      <c r="R54" s="27"/>
      <c r="S54" s="27"/>
      <c r="U54" s="27"/>
    </row>
    <row r="55" spans="1:25">
      <c r="A55" s="153" t="s">
        <v>83</v>
      </c>
      <c r="B55" s="43">
        <f t="shared" si="24"/>
        <v>151125.21052631579</v>
      </c>
      <c r="C55" s="43">
        <f t="shared" si="24"/>
        <v>159893.78947368421</v>
      </c>
      <c r="D55" s="43">
        <f t="shared" ref="D55:L55" si="28">+D62/D34</f>
        <v>268121.36842105264</v>
      </c>
      <c r="E55" s="43">
        <f t="shared" si="28"/>
        <v>268867.96491228067</v>
      </c>
      <c r="F55" s="43">
        <f t="shared" si="28"/>
        <v>326023.57894736843</v>
      </c>
      <c r="G55" s="43">
        <f t="shared" si="28"/>
        <v>394200.6724137931</v>
      </c>
      <c r="H55" s="43">
        <f t="shared" si="28"/>
        <v>531231.50847457629</v>
      </c>
      <c r="I55" s="43">
        <f t="shared" si="28"/>
        <v>475602.78688524588</v>
      </c>
      <c r="J55" s="117">
        <f t="shared" si="28"/>
        <v>202678.41104294479</v>
      </c>
      <c r="K55" s="43">
        <f t="shared" si="28"/>
        <v>496238.01818181819</v>
      </c>
      <c r="L55" s="43">
        <f t="shared" si="28"/>
        <v>303452.97116843704</v>
      </c>
      <c r="M55" s="274"/>
      <c r="N55" s="269"/>
      <c r="O55" s="269"/>
      <c r="P55" s="270"/>
      <c r="Q55" s="27"/>
      <c r="R55" s="27"/>
      <c r="S55" s="27"/>
      <c r="U55" s="27"/>
    </row>
    <row r="56" spans="1:25">
      <c r="A56" s="153"/>
      <c r="B56" s="43"/>
      <c r="C56" s="294"/>
      <c r="D56" s="294"/>
      <c r="E56" s="294"/>
      <c r="F56" s="294"/>
      <c r="G56" s="43"/>
      <c r="H56" s="43"/>
      <c r="I56" s="43"/>
      <c r="J56" s="117"/>
      <c r="K56" s="43"/>
      <c r="L56" s="43"/>
      <c r="M56" s="274"/>
      <c r="N56" s="269"/>
      <c r="O56" s="269"/>
      <c r="P56" s="270"/>
      <c r="Q56" s="27"/>
      <c r="R56" s="27"/>
      <c r="S56" s="27"/>
      <c r="U56" s="27"/>
    </row>
    <row r="57" spans="1:25" ht="26.25">
      <c r="A57" s="284" t="s">
        <v>190</v>
      </c>
      <c r="B57" s="205" t="s">
        <v>191</v>
      </c>
      <c r="C57" s="205"/>
      <c r="D57" s="164"/>
      <c r="E57" s="165"/>
      <c r="F57" s="166"/>
      <c r="G57" s="164"/>
      <c r="H57" s="164"/>
      <c r="I57" s="164"/>
      <c r="J57" s="242"/>
      <c r="K57" s="242"/>
      <c r="L57" s="242"/>
      <c r="M57" s="272"/>
      <c r="N57" s="295"/>
      <c r="O57" s="295"/>
      <c r="P57" s="296"/>
      <c r="Q57" s="100"/>
      <c r="R57" s="83"/>
      <c r="S57" s="83"/>
      <c r="T57" s="171"/>
      <c r="U57" s="27"/>
      <c r="W57" s="183">
        <f>12665707+751236+9588936+177500+12049817</f>
        <v>35233196</v>
      </c>
    </row>
    <row r="58" spans="1:25" ht="20.25" customHeight="1">
      <c r="A58" s="302"/>
      <c r="B58" s="129">
        <v>2009</v>
      </c>
      <c r="C58" s="129">
        <v>2010</v>
      </c>
      <c r="D58" s="129">
        <v>2011</v>
      </c>
      <c r="E58" s="129">
        <v>2012</v>
      </c>
      <c r="F58" s="240">
        <v>2013</v>
      </c>
      <c r="G58" s="241">
        <v>2014</v>
      </c>
      <c r="H58" s="241">
        <v>2015</v>
      </c>
      <c r="I58" s="129">
        <v>2016</v>
      </c>
      <c r="J58" s="240">
        <v>2017</v>
      </c>
      <c r="K58" s="241">
        <v>2018</v>
      </c>
      <c r="L58" s="241">
        <v>2019</v>
      </c>
      <c r="M58" s="272" t="s">
        <v>150</v>
      </c>
      <c r="N58" s="240">
        <v>2017</v>
      </c>
      <c r="O58" s="241">
        <v>2018</v>
      </c>
      <c r="P58" s="354" t="s">
        <v>222</v>
      </c>
      <c r="Q58" s="100">
        <v>2016</v>
      </c>
      <c r="R58" s="83">
        <v>2017</v>
      </c>
      <c r="S58" s="83">
        <v>2018</v>
      </c>
      <c r="T58" s="171"/>
      <c r="U58" s="27"/>
    </row>
    <row r="59" spans="1:25">
      <c r="A59" s="232" t="s">
        <v>100</v>
      </c>
      <c r="B59" s="343">
        <f>+Legis!B15+'Exec-Legal'!B16+CClerk!B17+CS!B15+DS!B19+ED!B15+FIN!B15+HR!B16+IT!B15+LIB!B15+'P&amp;R'!B15+POL!B15+PW!B15+'Non Dept '!B25+'Non Dept '!B26+'W&amp;P'!B15+Airport!B26+'Cap Proj'!B35+LFRA!B15</f>
        <v>49642584</v>
      </c>
      <c r="C59" s="343">
        <f>+Legis!C15+'Exec-Legal'!C16+CClerk!C17+CS!C15+DS!C19+ED!C15+FIN!C15+HR!C16+IT!C15+LIB!C15+'P&amp;R'!C15+POL!C15+PW!C15+'Non Dept '!C25+'Non Dept '!C26+'W&amp;P'!C15+Airport!C26+'Cap Proj'!C35+LFRA!C15</f>
        <v>49664459</v>
      </c>
      <c r="D59" s="343">
        <f>+Legis!D15+'Exec-Legal'!D16+CClerk!D17+CS!D15+DS!D19+ED!D15+FIN!D15+HR!D16+IT!D15+LIB!D15+'P&amp;R'!D15+POL!D15+PW!D15+'Non Dept '!D25+'Non Dept '!D26+'W&amp;P'!D15+Airport!D26+'Cap Proj'!D35+LFRA!D15</f>
        <v>54223658</v>
      </c>
      <c r="E59" s="343">
        <f>+Legis!E15+'Exec-Legal'!E16+CClerk!E17+CS!E15+DS!E19+ED!E15+FIN!E15+HR!E16+IT!E15+LIB!E15+'P&amp;R'!E15+POL!E15+PW!E15+'Non Dept '!E25+'Non Dept '!E26+'W&amp;P'!E15+Airport!E26+'Cap Proj'!E35+LFRA!E15</f>
        <v>46873286</v>
      </c>
      <c r="F59" s="343">
        <f>+Legis!F15+'Exec-Legal'!F16+CClerk!F17+CS!F15+DS!F19+ED!F15+FIN!F15+HR!F16+IT!F15+LIB!F15+'P&amp;R'!F15+POL!F15+PW!F15+'Non Dept '!F25+'Non Dept '!F26+'W&amp;P'!F15+Airport!F26+'Cap Proj'!F35+LFRA!F15</f>
        <v>51440407</v>
      </c>
      <c r="G59" s="343">
        <f>+Legis!G15+'Exec-Legal'!G16+CClerk!G17+CS!G15+DS!G19+ED!G15+FIN!G15+HR!G16+IT!G15+LIB!G15+'P&amp;R'!G15+POL!G15+PW!G15+'Non Dept '!G25+'Non Dept '!G26+'W&amp;P'!G15+Airport!G26+'Cap Proj'!G35+LFRA!G15</f>
        <v>61511424</v>
      </c>
      <c r="H59" s="343">
        <f>+Legis!H15+'Exec-Legal'!H16+CClerk!H17+CS!H15+DS!H19+ED!H15+FIN!H15+HR!H16+IT!H15+LIB!H15+'P&amp;R'!H15+POL!H15+PW!H15+'Non Dept '!H25+'Non Dept '!H26+'W&amp;P'!H15+Airport!H26+'Cap Proj'!H35+LFRA!H15</f>
        <v>60468531</v>
      </c>
      <c r="I59" s="343">
        <f>+Legis!I15+'Exec-Legal'!I16+CClerk!I17+CS!I15+DS!I19+ED!I15+FIN!I15+HR!I16+IT!I15+LIB!I15+'P&amp;R'!I15+POL!I15+PW!I15+'Non Dept '!I25+'Non Dept '!I26+'W&amp;P'!I15+Airport!I26+'Cap Proj'!I35+LFRA!I15</f>
        <v>62360855</v>
      </c>
      <c r="J59" s="343">
        <f>+Legis!J15+'Exec-Legal'!J16+CClerk!J17+CS!J15+DS!J19+ED!J15+FIN!J15+HR!J16+IT!J15+LIB!J15+'P&amp;R'!J15+POL!J15+PW!J15+'W&amp;P'!J15+'Cap Proj'!J18+LFRA!J15+'Non Dept '!J15</f>
        <v>103990136</v>
      </c>
      <c r="K59" s="343">
        <f>+Legis!K15+'Exec-Legal'!K16+CClerk!K17+CS!K15+DS!K19+ED!K15+FIN!K15+HR!K16+IT!K15+LIB!K15+'P&amp;R'!K15+POL!K15+PW!K15+'W&amp;P'!K15+'Cap Proj'!K18+LFRA!K15+'Non Dept '!K15</f>
        <v>128815229</v>
      </c>
      <c r="L59" s="343">
        <f>+Legis!L15+'Exec-Legal'!L16+CClerk!L17+CS!L15+DS!L19+ED!L15+FIN!L15+HR!L16+IT!L15+LIB!L15+'P&amp;R'!L15+POL!L15+PW!L15+'W&amp;P'!L15+'Cap Proj'!L18+LFRA!L15+'Non Dept '!L15</f>
        <v>102049572</v>
      </c>
      <c r="M59" s="274">
        <v>48</v>
      </c>
      <c r="N59" s="343">
        <f>103990136</f>
        <v>103990136</v>
      </c>
      <c r="O59" s="343">
        <f>128815229</f>
        <v>128815229</v>
      </c>
      <c r="P59" s="351">
        <f>102049571</f>
        <v>102049571</v>
      </c>
      <c r="Q59" s="27">
        <f t="shared" ref="Q59:S63" si="29">+J78+J88+J97+J106+J115+J124+J133+J142+J151+J160+J169+J178+J187+J196+J205+J214+J222+J230+J238+J254</f>
        <v>103990136</v>
      </c>
      <c r="R59" s="27">
        <f t="shared" si="29"/>
        <v>128815229</v>
      </c>
      <c r="S59" s="27">
        <f t="shared" si="29"/>
        <v>102049572</v>
      </c>
      <c r="T59" s="171"/>
      <c r="U59" s="142">
        <v>113315604</v>
      </c>
      <c r="W59" s="184">
        <f t="shared" ref="W59:X63" si="30">+Q59-J59</f>
        <v>0</v>
      </c>
      <c r="X59" s="184">
        <f t="shared" si="30"/>
        <v>0</v>
      </c>
      <c r="Y59" s="184" t="e">
        <f>+#REF!-L59</f>
        <v>#REF!</v>
      </c>
    </row>
    <row r="60" spans="1:25">
      <c r="A60" s="228" t="s">
        <v>93</v>
      </c>
      <c r="B60" s="343">
        <f>B143+B188</f>
        <v>16078251</v>
      </c>
      <c r="C60" s="343">
        <f>+Legis!C16+'Exec-Legal'!C17+CClerk!C18+CS!C16+DS!C20+ED!C16+FIN!C16+HR!C17+IT!C16+LIB!C16+'P&amp;R'!C16+POL!C16+PW!C16+'W&amp;P'!C16</f>
        <v>15326837</v>
      </c>
      <c r="D60" s="343">
        <f>+Legis!D16+'Exec-Legal'!D17+CClerk!D18+CS!D16+DS!D20+ED!D16+FIN!D16+HR!D17+IT!D16+LIB!D16+'P&amp;R'!D16+POL!D16+PW!D16+'W&amp;P'!D16</f>
        <v>15939646</v>
      </c>
      <c r="E60" s="343">
        <f>+Legis!E16+'Exec-Legal'!E17+CClerk!E18+CS!E16+DS!E20+ED!E16+FIN!E16+HR!E17+IT!E16+LIB!E16+'P&amp;R'!E16+POL!E16+PW!E16+'W&amp;P'!E16</f>
        <v>14646690</v>
      </c>
      <c r="F60" s="343">
        <f>+Legis!F16+'Exec-Legal'!F17+CClerk!F18+CS!F16+DS!F20+ED!F16+FIN!F16+HR!F17+IT!F16+LIB!F16+'P&amp;R'!F16+POL!F16+PW!F16+'W&amp;P'!F16</f>
        <v>17533239</v>
      </c>
      <c r="G60" s="343">
        <f>+Legis!G16+'Exec-Legal'!G17+CClerk!G18+CS!G16+DS!G20+ED!G16+FIN!G16+HR!G17+IT!G16+LIB!G16+'P&amp;R'!G16+POL!G16+PW!G16+'W&amp;P'!G16</f>
        <v>21537660</v>
      </c>
      <c r="H60" s="343">
        <f>+Legis!H16+'Exec-Legal'!H17+CClerk!H18+CS!H16+DS!H20+ED!H16+FIN!H16+HR!H17+IT!H16+LIB!H16+'P&amp;R'!H16+POL!H16+PW!H16+'W&amp;P'!H16</f>
        <v>22752692</v>
      </c>
      <c r="I60" s="343">
        <f>+Legis!I16+'Exec-Legal'!I17+CClerk!I18+CS!I16+DS!I20+ED!I16+FIN!I16+HR!I17+IT!I16+LIB!I16+'P&amp;R'!I16+POL!I16+PW!I16+'W&amp;P'!I16</f>
        <v>20668703</v>
      </c>
      <c r="J60" s="343">
        <f>+Legis!J16+'Exec-Legal'!J17+CClerk!J18+CS!J16+DS!J20+ED!J16+FIN!J16+HR!J17+IT!J16+LIB!J16+'P&amp;R'!J16+POL!J16+PW!J16+'W&amp;P'!J16+'Non Dept '!J16</f>
        <v>23000265</v>
      </c>
      <c r="K60" s="343">
        <f>+Legis!K16+'Exec-Legal'!K17+CClerk!K18+CS!K16+DS!K20+ED!K16+FIN!K16+HR!K17+IT!K16+LIB!K16+'P&amp;R'!K16+POL!K16+PW!K16+'W&amp;P'!K16+'Non Dept '!K16</f>
        <v>27019005</v>
      </c>
      <c r="L60" s="343">
        <f>+Legis!L16+'Exec-Legal'!L17+CClerk!L18+CS!L16+DS!L20+ED!L16+FIN!L16+HR!L17+IT!L16+LIB!L16+'P&amp;R'!L16+POL!L16+PW!L16+'W&amp;P'!L16+'Non Dept '!L16</f>
        <v>27953300</v>
      </c>
      <c r="M60" s="289">
        <v>82</v>
      </c>
      <c r="N60" s="343">
        <v>23000265</v>
      </c>
      <c r="O60" s="343">
        <v>27019005</v>
      </c>
      <c r="P60" s="351">
        <v>27953300</v>
      </c>
      <c r="Q60" s="27">
        <f t="shared" si="29"/>
        <v>23000265</v>
      </c>
      <c r="R60" s="27">
        <f t="shared" si="29"/>
        <v>27019005</v>
      </c>
      <c r="S60" s="27">
        <f t="shared" si="29"/>
        <v>27953300</v>
      </c>
      <c r="T60" s="171"/>
      <c r="U60" s="3">
        <f>U143+U188</f>
        <v>26083392</v>
      </c>
      <c r="V60" s="170"/>
      <c r="W60" s="184">
        <f t="shared" si="30"/>
        <v>0</v>
      </c>
      <c r="X60" s="184">
        <f t="shared" si="30"/>
        <v>0</v>
      </c>
      <c r="Y60" s="184">
        <f>+S60-L60</f>
        <v>0</v>
      </c>
    </row>
    <row r="61" spans="1:25">
      <c r="A61" s="229" t="s">
        <v>155</v>
      </c>
      <c r="B61" s="343">
        <f>+Legis!B17+'Exec-Legal'!B18+CClerk!B19+CS!B17+DS!B21+ED!B17+FIN!B17+HR!B18+IT!B17+LIB!B17+'P&amp;R'!B17+POL!B17+PW!B17+'Non Dept '!B27+'Non Dept '!B28+'W&amp;P'!B17+Airport!B28+'Cap Proj'!B37+LFRA!B17</f>
        <v>76842855</v>
      </c>
      <c r="C61" s="343">
        <f>+Legis!C17+'Exec-Legal'!C18+CClerk!C19+CS!C17+DS!C21+ED!C17+HR!C18+IT!C17+LIB!C17+'P&amp;R'!C17+POL!C17+PW!C17+'W&amp;P'!C17+FIN!C17</f>
        <v>78042609</v>
      </c>
      <c r="D61" s="343">
        <f>+Legis!D17+'Exec-Legal'!D18+CClerk!D19+CS!D17+DS!D21+ED!D17+FIN!D17+HR!D18+IT!D17+LIB!D17+'P&amp;R'!D17+POL!D17+PW!D17+'W&amp;P'!D17</f>
        <v>92362538</v>
      </c>
      <c r="E61" s="343">
        <f>+Legis!E17+'Exec-Legal'!E18+CClerk!E19+CS!E17+DS!E21+ED!E17+FIN!E17+HR!E18+IT!E17+LIB!E17+'P&amp;R'!E17+POL!E17+PW!E17+'W&amp;P'!E17</f>
        <v>87006375</v>
      </c>
      <c r="F61" s="343">
        <f>+Legis!F17+'Exec-Legal'!F18+CClerk!F19+CS!F17+DS!F21+ED!F17+FIN!F17+HR!F18+IT!F17+LIB!F17+'P&amp;R'!F17+POL!F17+PW!F17+'W&amp;P'!F17</f>
        <v>102710060</v>
      </c>
      <c r="G61" s="343">
        <f>+Legis!G17+'Exec-Legal'!G18+CClerk!G19+CS!G17+DS!G21+ED!G17+FIN!G17+HR!G18+IT!G17+LIB!G17+'P&amp;R'!G17+POL!G17+PW!G17+'W&amp;P'!G17</f>
        <v>125788198</v>
      </c>
      <c r="H61" s="343">
        <f>+Legis!H17+'Exec-Legal'!H18+CClerk!H19+CS!H17+DS!H21+ED!H17+FIN!H17+HR!H18+IT!H17+LIB!H17+'P&amp;R'!H17+POL!H17+PW!H17+'W&amp;P'!H17</f>
        <v>143924079</v>
      </c>
      <c r="I61" s="343">
        <f>+Legis!I17+'Exec-Legal'!I18+CClerk!I19+CS!I17+DS!I21+ED!I17+FIN!I17+HR!I18+IT!I17+LIB!I17+'P&amp;R'!I17+POL!I17+PW!I17+'W&amp;P'!I17</f>
        <v>138601594</v>
      </c>
      <c r="J61" s="343">
        <f>+Legis!J17+'Exec-Legal'!J18+CClerk!J19+CS!J17+DS!J21+ED!J17+FIN!J17+HR!J18+IT!J17+LIB!J17+'P&amp;R'!J17+POL!J17+PW!J17+'W&amp;P'!J17+'Non Dept '!J17</f>
        <v>149561039</v>
      </c>
      <c r="K61" s="343">
        <f>+Legis!K17+'Exec-Legal'!K18+CClerk!K19+CS!K17+DS!K21+ED!K17+FIN!K17+HR!K18+IT!K17+LIB!K17+'P&amp;R'!K17+POL!K17+PW!K17+'W&amp;P'!K17+'Non Dept '!K17</f>
        <v>202704817</v>
      </c>
      <c r="L61" s="343">
        <f>+Legis!L17+'Exec-Legal'!L18+CClerk!L19+CS!L17+DS!L21+ED!L17+FIN!L17+HR!L18+IT!L17+LIB!L17+'P&amp;R'!L17+POL!L17+PW!L17+'W&amp;P'!L17+'Non Dept '!L17</f>
        <v>199046694</v>
      </c>
      <c r="M61" s="274">
        <v>73</v>
      </c>
      <c r="N61" s="343">
        <v>149561038</v>
      </c>
      <c r="O61" s="343">
        <v>202704817</v>
      </c>
      <c r="P61" s="351">
        <v>199046693</v>
      </c>
      <c r="Q61" s="27">
        <f t="shared" si="29"/>
        <v>149561039</v>
      </c>
      <c r="R61" s="27">
        <f t="shared" si="29"/>
        <v>202704817</v>
      </c>
      <c r="S61" s="27">
        <f t="shared" si="29"/>
        <v>199046694</v>
      </c>
      <c r="T61" s="171"/>
      <c r="U61" s="142">
        <v>154606556</v>
      </c>
      <c r="W61" s="184">
        <f t="shared" si="30"/>
        <v>0</v>
      </c>
      <c r="X61" s="184">
        <f t="shared" si="30"/>
        <v>0</v>
      </c>
      <c r="Y61" s="184">
        <f>+S61-L61</f>
        <v>0</v>
      </c>
    </row>
    <row r="62" spans="1:25">
      <c r="A62" s="230" t="s">
        <v>220</v>
      </c>
      <c r="B62" s="343">
        <f>+Legis!B19+'Exec-Legal'!B19+CClerk!B20+CS!B18+DS!B22+ED!B18+FIN!B18+HR!B19+IT!B18+LIB!B18+'P&amp;R'!B18+POL!B18+PW!B18+'Non Dept '!B33+'W&amp;P'!B18+'Cap Proj'!B42+LFRA!B42</f>
        <v>8614137</v>
      </c>
      <c r="C62" s="343">
        <f>+Legis!C19+'Exec-Legal'!C19+CClerk!C20+CS!C18+DS!C22+ED!C18+FIN!C18+HR!C19+IT!C18+LIB!C18+'P&amp;R'!C18+POL!C18+PW!C18+'Non Dept '!C33+'W&amp;P'!C18+'Cap Proj'!C42+LFRA!C42</f>
        <v>9113946</v>
      </c>
      <c r="D62" s="343">
        <f>+Legis!D19+'Exec-Legal'!D19+CClerk!D20+CS!D18+DS!D22+ED!D18+FIN!D18+HR!D19+IT!D18+LIB!D18+'P&amp;R'!D18+POL!D18+PW!D18+'Non Dept '!D33+'W&amp;P'!D18+'Cap Proj'!D42+LFRA!D42</f>
        <v>15282918</v>
      </c>
      <c r="E62" s="343">
        <f>+Legis!E19+'Exec-Legal'!E19+CClerk!E20+CS!E18+DS!E22+ED!E18+FIN!E18+HR!E19+IT!E18+LIB!E18+'P&amp;R'!E18+POL!E18+PW!E18+'Non Dept '!E33+'W&amp;P'!E18+'Cap Proj'!E42+LFRA!E42</f>
        <v>15325474</v>
      </c>
      <c r="F62" s="343">
        <f>+Legis!F19+'Exec-Legal'!F19+CClerk!F20+CS!F18+DS!F22+ED!F18+FIN!F18+HR!F19+IT!F18+LIB!F18+'P&amp;R'!F18+POL!F18+PW!F18+'Non Dept '!F33+'W&amp;P'!F18+'Cap Proj'!F42+LFRA!F42</f>
        <v>18583344</v>
      </c>
      <c r="G62" s="343">
        <f>+Legis!G19+'Exec-Legal'!G19+CClerk!G20+CS!G18+DS!G22+ED!G18+FIN!G18+HR!G19+IT!G18+LIB!G18+'P&amp;R'!G18+POL!G18+PW!G18+'Non Dept '!G33+'W&amp;P'!G18+'Cap Proj'!G42+LFRA!G42</f>
        <v>22863639</v>
      </c>
      <c r="H62" s="343">
        <f>+Legis!H19+'Exec-Legal'!H19+CClerk!H20+CS!H18+DS!H22+ED!H18+FIN!H18+HR!H19+IT!H18+LIB!H18+'P&amp;R'!H18+POL!H18+PW!H18+'Non Dept '!H33+'W&amp;P'!H18+'Cap Proj'!H42+LFRA!H42</f>
        <v>31342659</v>
      </c>
      <c r="I62" s="343">
        <f>+Legis!I19+'Exec-Legal'!I19+CClerk!I20+CS!I18+DS!I22+ED!I18+FIN!I18+HR!I19+IT!I18+LIB!I18+'P&amp;R'!I18+POL!I18+PW!I18+'Non Dept '!I33+'W&amp;P'!I18+'Cap Proj'!I42+LFRA!I42</f>
        <v>29011770</v>
      </c>
      <c r="J62" s="343">
        <f>+[1]Legis!J28+'[1]Exec-Legal'!J51+[1]CClerk!J20+[1]CS!J18+[1]DS!J22+[1]ED!J18+[1]FIN!J18+[1]HR!J19+[1]IT!J18+[1]LIB!J18+'[1]P&amp;R'!J18+[1]POL!J18+[1]PW!J18+'[1]W&amp;P'!J18+'[1]Cap Proj'!J45+[1]LFRA!J42+'[1]Other Spec Revenue'!J53</f>
        <v>33036581</v>
      </c>
      <c r="K62" s="343">
        <f>+[1]Legis!K28+'[1]Exec-Legal'!K51+[1]CClerk!K20+[1]CS!K18+[1]DS!K22+[1]ED!K18+[1]FIN!K18+[1]HR!K19+[1]IT!K18+[1]LIB!K18+'[1]P&amp;R'!K18+[1]POL!K18+[1]PW!K18+'[1]W&amp;P'!K18+'[1]Cap Proj'!K45+[1]LFRA!K42+'[1]Other Spec Revenue'!K53</f>
        <v>81879273</v>
      </c>
      <c r="L62" s="343">
        <f>+[1]Legis!L28+'[1]Exec-Legal'!L51+[1]CClerk!L20+[1]CS!L18+[1]DS!L22+[1]ED!L18+[1]FIN!L18+[1]HR!L19+[1]IT!L18+[1]LIB!L18+'[1]P&amp;R'!L18+[1]POL!L18+[1]PW!L18+'[1]W&amp;P'!L18+'[1]Cap Proj'!L45+[1]LFRA!L42+'[1]Other Spec Revenue'!L53</f>
        <v>49993877</v>
      </c>
      <c r="M62" s="274">
        <v>59</v>
      </c>
      <c r="N62" s="343">
        <v>33036581</v>
      </c>
      <c r="O62" s="343">
        <v>81879273</v>
      </c>
      <c r="P62" s="351">
        <v>49993877</v>
      </c>
      <c r="Q62" s="27">
        <f t="shared" si="29"/>
        <v>33116710</v>
      </c>
      <c r="R62" s="27">
        <f t="shared" si="29"/>
        <v>81914273</v>
      </c>
      <c r="S62" s="27">
        <f t="shared" si="29"/>
        <v>50051704</v>
      </c>
      <c r="T62" s="171"/>
      <c r="U62" s="101">
        <v>66753646</v>
      </c>
      <c r="W62" s="184">
        <f t="shared" si="30"/>
        <v>80129</v>
      </c>
      <c r="X62" s="184">
        <f t="shared" si="30"/>
        <v>35000</v>
      </c>
      <c r="Y62" s="184">
        <f>+S62-L62</f>
        <v>57827</v>
      </c>
    </row>
    <row r="63" spans="1:25" ht="16.5" thickBot="1">
      <c r="A63" s="230" t="s">
        <v>157</v>
      </c>
      <c r="B63" s="233">
        <v>0</v>
      </c>
      <c r="C63" s="344">
        <f>+'Non Dept '!C42+Airport!C27+LFRA!C17+LFRA!C18+LFRA!C19</f>
        <v>0</v>
      </c>
      <c r="D63" s="344">
        <f>+'Non Dept '!D42+Airport!D27+LFRA!D17+LFRA!D18+LFRA!D19</f>
        <v>0</v>
      </c>
      <c r="E63" s="344">
        <f>+'Non Dept '!E42+Airport!E27+LFRA!E17+LFRA!E18+LFRA!E19</f>
        <v>0</v>
      </c>
      <c r="F63" s="344">
        <f>+'Non Dept '!F42+Airport!F27+LFRA!F17+LFRA!F18+LFRA!F19</f>
        <v>0</v>
      </c>
      <c r="G63" s="344">
        <f>+'Non Dept '!G42+Airport!G27+LFRA!G17+LFRA!G18+LFRA!G19</f>
        <v>0</v>
      </c>
      <c r="H63" s="344">
        <f>+'Non Dept '!H42+Airport!H27+LFRA!H17+LFRA!H18+LFRA!H19</f>
        <v>0</v>
      </c>
      <c r="I63" s="344">
        <f>+'Non Dept '!I42+Airport!I19+LFRA!I54</f>
        <v>3538650</v>
      </c>
      <c r="J63" s="344">
        <f>+'Non Dept '!J19</f>
        <v>32748950</v>
      </c>
      <c r="K63" s="344">
        <f>+'Non Dept '!K19</f>
        <v>47808333</v>
      </c>
      <c r="L63" s="344">
        <f>+'Non Dept '!L19</f>
        <v>6180557</v>
      </c>
      <c r="M63" s="274">
        <v>56</v>
      </c>
      <c r="N63" s="344">
        <v>32748950</v>
      </c>
      <c r="O63" s="344">
        <v>47808333</v>
      </c>
      <c r="P63" s="345">
        <v>6180557</v>
      </c>
      <c r="Q63" s="27">
        <f t="shared" si="29"/>
        <v>32748950</v>
      </c>
      <c r="R63" s="27">
        <f t="shared" si="29"/>
        <v>47808333</v>
      </c>
      <c r="S63" s="27">
        <f t="shared" si="29"/>
        <v>6180557</v>
      </c>
      <c r="T63" s="171"/>
      <c r="U63" s="125"/>
      <c r="W63" s="184">
        <f t="shared" si="30"/>
        <v>0</v>
      </c>
      <c r="X63" s="184">
        <f t="shared" si="30"/>
        <v>0</v>
      </c>
      <c r="Y63" s="184">
        <f>+S63-L63</f>
        <v>0</v>
      </c>
    </row>
    <row r="64" spans="1:25">
      <c r="A64" s="234" t="s">
        <v>119</v>
      </c>
      <c r="B64" s="343">
        <f>SUM(B59:B63)</f>
        <v>151177827</v>
      </c>
      <c r="C64" s="343">
        <f t="shared" ref="C64:H64" si="31">SUM(C59:C62)</f>
        <v>152147851</v>
      </c>
      <c r="D64" s="343">
        <f t="shared" si="31"/>
        <v>177808760</v>
      </c>
      <c r="E64" s="343">
        <f t="shared" si="31"/>
        <v>163851825</v>
      </c>
      <c r="F64" s="343">
        <f t="shared" si="31"/>
        <v>190267050</v>
      </c>
      <c r="G64" s="343">
        <f t="shared" si="31"/>
        <v>231700921</v>
      </c>
      <c r="H64" s="343">
        <f t="shared" si="31"/>
        <v>258487961</v>
      </c>
      <c r="I64" s="343">
        <f>SUM(I59:I63)</f>
        <v>254181572</v>
      </c>
      <c r="J64" s="343">
        <f>SUM(J59:J63)</f>
        <v>342336971</v>
      </c>
      <c r="K64" s="343">
        <f>SUM(K59:K63)</f>
        <v>488226657</v>
      </c>
      <c r="L64" s="343">
        <f>SUM(L59:L63)</f>
        <v>385224000</v>
      </c>
      <c r="M64" s="274"/>
      <c r="N64" s="343">
        <f>SUM(N59:N63)</f>
        <v>342336970</v>
      </c>
      <c r="O64" s="343">
        <f>SUM(O59:O63)</f>
        <v>488226657</v>
      </c>
      <c r="P64" s="351">
        <f>SUM(P59:P63)</f>
        <v>385223998</v>
      </c>
      <c r="Q64" s="3">
        <f>SUM(Q58:Q63)</f>
        <v>342419116</v>
      </c>
      <c r="R64" s="3">
        <f>SUM(R58:R63)</f>
        <v>488263674</v>
      </c>
      <c r="S64" s="3">
        <f>SUM(S58:S63)</f>
        <v>385283845</v>
      </c>
      <c r="T64" s="171"/>
      <c r="U64" s="3">
        <f>SUM(U59:U63)</f>
        <v>360759198</v>
      </c>
    </row>
    <row r="65" spans="1:28" s="19" customFormat="1">
      <c r="A65" s="236"/>
      <c r="B65" s="235"/>
      <c r="C65" s="235"/>
      <c r="D65" s="235"/>
      <c r="E65" s="235"/>
      <c r="F65" s="235"/>
      <c r="G65" s="235"/>
      <c r="H65" s="235"/>
      <c r="I65" s="235"/>
      <c r="J65" s="235"/>
      <c r="K65" s="235"/>
      <c r="L65" s="235"/>
      <c r="M65" s="274"/>
      <c r="N65" s="235"/>
      <c r="O65" s="235"/>
      <c r="P65" s="304"/>
      <c r="T65" s="171"/>
      <c r="U65" s="27"/>
      <c r="V65" s="171"/>
      <c r="W65" s="183"/>
      <c r="X65" s="183"/>
      <c r="Y65" s="183"/>
      <c r="AA65" s="190"/>
      <c r="AB65" s="245"/>
    </row>
    <row r="66" spans="1:28" s="19" customFormat="1" ht="26.25">
      <c r="A66" s="305" t="s">
        <v>192</v>
      </c>
      <c r="B66" s="117"/>
      <c r="C66" s="117"/>
      <c r="D66" s="117"/>
      <c r="E66" s="117"/>
      <c r="F66" s="117"/>
      <c r="G66" s="117"/>
      <c r="H66" s="117"/>
      <c r="I66" s="117"/>
      <c r="J66" s="117"/>
      <c r="K66" s="117"/>
      <c r="L66" s="117"/>
      <c r="M66" s="274"/>
      <c r="N66" s="269"/>
      <c r="O66" s="269"/>
      <c r="P66" s="270"/>
      <c r="T66" s="171"/>
      <c r="U66" s="27"/>
      <c r="V66" s="171"/>
      <c r="W66" s="183"/>
      <c r="X66" s="183"/>
      <c r="Y66" s="183"/>
      <c r="AA66" s="190"/>
      <c r="AB66" s="245"/>
    </row>
    <row r="67" spans="1:28" s="19" customFormat="1" ht="15.75" customHeight="1">
      <c r="A67" s="302" t="s">
        <v>193</v>
      </c>
      <c r="B67" s="208">
        <v>0</v>
      </c>
      <c r="C67" s="208">
        <v>2.7199999999999998E-2</v>
      </c>
      <c r="D67" s="208">
        <v>4.2599999999999999E-2</v>
      </c>
      <c r="E67" s="208">
        <v>7.3499999999999996E-2</v>
      </c>
      <c r="F67" s="208">
        <v>9.2200000000000004E-2</v>
      </c>
      <c r="G67" s="208">
        <v>0.1086</v>
      </c>
      <c r="H67" s="208">
        <v>0.1169</v>
      </c>
      <c r="I67" s="208">
        <v>0.12509999999999999</v>
      </c>
      <c r="J67" s="208">
        <v>0.1484</v>
      </c>
      <c r="K67" s="208">
        <v>0.17269999999999999</v>
      </c>
      <c r="L67" s="237"/>
      <c r="M67" s="274"/>
      <c r="N67" s="269"/>
      <c r="O67" s="269"/>
      <c r="P67" s="270"/>
      <c r="T67" s="171"/>
      <c r="U67" s="27"/>
      <c r="V67" s="171"/>
      <c r="W67" s="183"/>
      <c r="X67" s="183"/>
      <c r="Y67" s="183"/>
      <c r="AA67" s="190"/>
      <c r="AB67" s="245"/>
    </row>
    <row r="68" spans="1:28" s="19" customFormat="1" ht="15.75" customHeight="1">
      <c r="A68" s="150" t="s">
        <v>100</v>
      </c>
      <c r="B68" s="117">
        <f>+B59</f>
        <v>49642584</v>
      </c>
      <c r="C68" s="117">
        <f>+$B59*(1+C$67)</f>
        <v>50992862.284799993</v>
      </c>
      <c r="D68" s="117">
        <f t="shared" ref="D68:K68" si="32">+$B59*(1+D$67)</f>
        <v>51757358.078400001</v>
      </c>
      <c r="E68" s="117">
        <f t="shared" si="32"/>
        <v>53291313.923999995</v>
      </c>
      <c r="F68" s="117">
        <f t="shared" si="32"/>
        <v>54219630.244800001</v>
      </c>
      <c r="G68" s="117">
        <f t="shared" si="32"/>
        <v>55033768.622400001</v>
      </c>
      <c r="H68" s="117">
        <f t="shared" si="32"/>
        <v>55445802.069600001</v>
      </c>
      <c r="I68" s="117">
        <f t="shared" si="32"/>
        <v>55852871.258400001</v>
      </c>
      <c r="J68" s="117">
        <f t="shared" si="32"/>
        <v>57009543.465600006</v>
      </c>
      <c r="K68" s="117">
        <f t="shared" si="32"/>
        <v>58215858.256800003</v>
      </c>
      <c r="L68" s="117"/>
      <c r="M68" s="274"/>
      <c r="N68" s="269"/>
      <c r="O68" s="269"/>
      <c r="P68" s="270"/>
      <c r="T68" s="171"/>
      <c r="U68" s="27"/>
      <c r="V68" s="171"/>
      <c r="W68" s="183"/>
      <c r="X68" s="183"/>
      <c r="Y68" s="183"/>
      <c r="AA68" s="190"/>
      <c r="AB68" s="245"/>
    </row>
    <row r="69" spans="1:28" s="19" customFormat="1" ht="15.75" customHeight="1">
      <c r="A69" s="151" t="s">
        <v>93</v>
      </c>
      <c r="B69" s="117">
        <f>+B60</f>
        <v>16078251</v>
      </c>
      <c r="C69" s="117">
        <f t="shared" ref="C69:K72" si="33">+$B60*(1+C$67)</f>
        <v>16515579.427199999</v>
      </c>
      <c r="D69" s="117">
        <f t="shared" si="33"/>
        <v>16763184.4926</v>
      </c>
      <c r="E69" s="117">
        <f t="shared" si="33"/>
        <v>17260002.4485</v>
      </c>
      <c r="F69" s="117">
        <f t="shared" si="33"/>
        <v>17560665.742200002</v>
      </c>
      <c r="G69" s="117">
        <f t="shared" si="33"/>
        <v>17824349.058600001</v>
      </c>
      <c r="H69" s="117">
        <f t="shared" si="33"/>
        <v>17957798.541900001</v>
      </c>
      <c r="I69" s="117">
        <f t="shared" si="33"/>
        <v>18089640.200100001</v>
      </c>
      <c r="J69" s="117">
        <f t="shared" si="33"/>
        <v>18464263.448400002</v>
      </c>
      <c r="K69" s="117">
        <f t="shared" si="33"/>
        <v>18854964.947700001</v>
      </c>
      <c r="L69" s="117"/>
      <c r="M69" s="274"/>
      <c r="N69" s="269"/>
      <c r="O69" s="269"/>
      <c r="P69" s="270"/>
      <c r="T69" s="171"/>
      <c r="U69" s="27"/>
      <c r="V69" s="171"/>
      <c r="W69" s="183"/>
      <c r="X69" s="183"/>
      <c r="Y69" s="183"/>
      <c r="AA69" s="190"/>
      <c r="AB69" s="245"/>
    </row>
    <row r="70" spans="1:28" s="19" customFormat="1" ht="15.75" customHeight="1">
      <c r="A70" s="152" t="s">
        <v>155</v>
      </c>
      <c r="B70" s="117">
        <f>+B61</f>
        <v>76842855</v>
      </c>
      <c r="C70" s="117">
        <f t="shared" si="33"/>
        <v>78932980.655999988</v>
      </c>
      <c r="D70" s="117">
        <f t="shared" si="33"/>
        <v>80116360.622999996</v>
      </c>
      <c r="E70" s="117">
        <f t="shared" si="33"/>
        <v>82490804.842499986</v>
      </c>
      <c r="F70" s="117">
        <f t="shared" si="33"/>
        <v>83927766.231000006</v>
      </c>
      <c r="G70" s="117">
        <f t="shared" si="33"/>
        <v>85187989.053000003</v>
      </c>
      <c r="H70" s="117">
        <f t="shared" si="33"/>
        <v>85825784.749500006</v>
      </c>
      <c r="I70" s="117">
        <f t="shared" si="33"/>
        <v>86455896.160500005</v>
      </c>
      <c r="J70" s="117">
        <f t="shared" si="33"/>
        <v>88246334.682000011</v>
      </c>
      <c r="K70" s="117">
        <f t="shared" si="33"/>
        <v>90113616.058500007</v>
      </c>
      <c r="L70" s="117"/>
      <c r="M70" s="274"/>
      <c r="N70" s="133"/>
      <c r="O70" s="133"/>
      <c r="P70" s="270"/>
      <c r="T70" s="171"/>
      <c r="U70" s="27"/>
      <c r="V70" s="171"/>
      <c r="W70" s="183"/>
      <c r="X70" s="183"/>
      <c r="Y70" s="183"/>
      <c r="AA70" s="190"/>
      <c r="AB70" s="245"/>
    </row>
    <row r="71" spans="1:28" s="19" customFormat="1" ht="15.75" customHeight="1">
      <c r="A71" s="153" t="s">
        <v>156</v>
      </c>
      <c r="B71" s="117">
        <f>+B62</f>
        <v>8614137</v>
      </c>
      <c r="C71" s="117">
        <f t="shared" si="33"/>
        <v>8848441.5263999999</v>
      </c>
      <c r="D71" s="117">
        <f t="shared" si="33"/>
        <v>8981099.2361999992</v>
      </c>
      <c r="E71" s="117">
        <f t="shared" si="33"/>
        <v>9247276.0694999993</v>
      </c>
      <c r="F71" s="117">
        <f t="shared" si="33"/>
        <v>9408360.431400001</v>
      </c>
      <c r="G71" s="117">
        <f t="shared" si="33"/>
        <v>9549632.2782000005</v>
      </c>
      <c r="H71" s="117">
        <f t="shared" si="33"/>
        <v>9621129.6152999997</v>
      </c>
      <c r="I71" s="117">
        <f t="shared" si="33"/>
        <v>9691765.5386999995</v>
      </c>
      <c r="J71" s="117">
        <f t="shared" si="33"/>
        <v>9892474.9308000002</v>
      </c>
      <c r="K71" s="117">
        <f t="shared" si="33"/>
        <v>10101798.459900001</v>
      </c>
      <c r="L71" s="117"/>
      <c r="M71" s="274"/>
      <c r="N71" s="133"/>
      <c r="O71" s="133"/>
      <c r="P71" s="270"/>
      <c r="T71" s="171"/>
      <c r="U71" s="27"/>
      <c r="V71" s="171"/>
      <c r="W71" s="183"/>
      <c r="X71" s="183"/>
      <c r="Y71" s="183"/>
      <c r="AA71" s="190"/>
      <c r="AB71" s="245"/>
    </row>
    <row r="72" spans="1:28" s="19" customFormat="1" ht="15.75" customHeight="1" thickBot="1">
      <c r="A72" s="153" t="s">
        <v>157</v>
      </c>
      <c r="B72" s="69">
        <f>+B63</f>
        <v>0</v>
      </c>
      <c r="C72" s="69">
        <f t="shared" si="33"/>
        <v>0</v>
      </c>
      <c r="D72" s="69">
        <f t="shared" si="33"/>
        <v>0</v>
      </c>
      <c r="E72" s="69">
        <f t="shared" si="33"/>
        <v>0</v>
      </c>
      <c r="F72" s="69">
        <f t="shared" si="33"/>
        <v>0</v>
      </c>
      <c r="G72" s="69">
        <f t="shared" si="33"/>
        <v>0</v>
      </c>
      <c r="H72" s="69">
        <f t="shared" si="33"/>
        <v>0</v>
      </c>
      <c r="I72" s="69">
        <f t="shared" si="33"/>
        <v>0</v>
      </c>
      <c r="J72" s="69">
        <f t="shared" si="33"/>
        <v>0</v>
      </c>
      <c r="K72" s="69">
        <f t="shared" si="33"/>
        <v>0</v>
      </c>
      <c r="L72" s="69"/>
      <c r="M72" s="274"/>
      <c r="N72" s="133"/>
      <c r="O72" s="133"/>
      <c r="P72" s="270"/>
      <c r="T72" s="171"/>
      <c r="U72" s="27"/>
      <c r="V72" s="171"/>
      <c r="W72" s="183"/>
      <c r="X72" s="183"/>
      <c r="Y72" s="183"/>
      <c r="AA72" s="190"/>
      <c r="AB72" s="245"/>
    </row>
    <row r="73" spans="1:28" s="19" customFormat="1" ht="15.75" customHeight="1">
      <c r="A73" s="154" t="s">
        <v>119</v>
      </c>
      <c r="B73" s="110">
        <f>SUM(B68:B72)</f>
        <v>151177827</v>
      </c>
      <c r="C73" s="110">
        <f>SUM(C68:C72)</f>
        <v>155289863.89439997</v>
      </c>
      <c r="D73" s="110">
        <f t="shared" ref="D73:K73" si="34">SUM(D68:D72)</f>
        <v>157618002.43020001</v>
      </c>
      <c r="E73" s="110">
        <f t="shared" si="34"/>
        <v>162289397.28449997</v>
      </c>
      <c r="F73" s="110">
        <f t="shared" si="34"/>
        <v>165116422.6494</v>
      </c>
      <c r="G73" s="110">
        <f t="shared" si="34"/>
        <v>167595739.0122</v>
      </c>
      <c r="H73" s="110">
        <f t="shared" si="34"/>
        <v>168850514.9763</v>
      </c>
      <c r="I73" s="110">
        <f t="shared" si="34"/>
        <v>170090173.1577</v>
      </c>
      <c r="J73" s="145">
        <f t="shared" si="34"/>
        <v>173612616.52680001</v>
      </c>
      <c r="K73" s="110">
        <f t="shared" si="34"/>
        <v>177286237.7229</v>
      </c>
      <c r="L73" s="117"/>
      <c r="M73" s="274"/>
      <c r="N73" s="133"/>
      <c r="O73" s="133"/>
      <c r="P73" s="270"/>
      <c r="T73" s="171"/>
      <c r="U73" s="27"/>
      <c r="V73" s="171"/>
      <c r="W73" s="183"/>
      <c r="X73" s="183"/>
      <c r="Y73" s="183"/>
      <c r="AA73" s="190"/>
      <c r="AB73" s="245"/>
    </row>
    <row r="74" spans="1:28">
      <c r="A74" s="153"/>
      <c r="B74" s="43"/>
      <c r="C74" s="294"/>
      <c r="D74" s="294"/>
      <c r="E74" s="294"/>
      <c r="F74" s="294"/>
      <c r="G74" s="43"/>
      <c r="H74" s="43"/>
      <c r="I74" s="43"/>
      <c r="J74" s="117"/>
      <c r="K74" s="43"/>
      <c r="L74" s="43"/>
      <c r="M74" s="274"/>
      <c r="N74" s="133"/>
      <c r="O74" s="133"/>
      <c r="P74" s="270"/>
      <c r="Q74" s="27"/>
      <c r="R74" s="27"/>
      <c r="S74" s="27"/>
      <c r="U74" s="27"/>
    </row>
    <row r="75" spans="1:28" ht="26.25">
      <c r="A75" s="305" t="s">
        <v>177</v>
      </c>
      <c r="B75" s="43"/>
      <c r="C75" s="205" t="s">
        <v>278</v>
      </c>
      <c r="D75" s="50"/>
      <c r="E75" s="50"/>
      <c r="F75" s="50"/>
      <c r="G75" s="50" t="s">
        <v>163</v>
      </c>
      <c r="H75" s="43"/>
      <c r="I75" s="43"/>
      <c r="J75" s="117"/>
      <c r="K75" s="117"/>
      <c r="L75" s="117"/>
      <c r="M75" s="274"/>
      <c r="N75" s="133"/>
      <c r="O75" s="133"/>
      <c r="P75" s="270"/>
      <c r="Q75" s="27"/>
      <c r="R75" s="27"/>
      <c r="S75" s="27"/>
      <c r="U75" s="27"/>
    </row>
    <row r="76" spans="1:28" ht="26.25">
      <c r="A76" s="284"/>
      <c r="B76" s="129">
        <v>2009</v>
      </c>
      <c r="C76" s="129">
        <v>2010</v>
      </c>
      <c r="D76" s="129">
        <v>2011</v>
      </c>
      <c r="E76" s="129">
        <v>2012</v>
      </c>
      <c r="F76" s="240">
        <v>2013</v>
      </c>
      <c r="G76" s="241">
        <v>2014</v>
      </c>
      <c r="H76" s="241">
        <v>2015</v>
      </c>
      <c r="I76" s="241">
        <v>2016</v>
      </c>
      <c r="J76" s="240">
        <v>2017</v>
      </c>
      <c r="K76" s="241">
        <v>2018</v>
      </c>
      <c r="L76" s="241">
        <v>2019</v>
      </c>
      <c r="M76" s="272"/>
      <c r="N76" s="240"/>
      <c r="O76" s="240"/>
      <c r="P76" s="303"/>
      <c r="Q76" s="100">
        <v>2016</v>
      </c>
      <c r="R76" s="83">
        <v>2017</v>
      </c>
      <c r="S76" s="83">
        <v>2018</v>
      </c>
      <c r="U76" s="27"/>
    </row>
    <row r="77" spans="1:28" ht="18.75">
      <c r="A77" s="306" t="s">
        <v>32</v>
      </c>
      <c r="B77" s="164"/>
      <c r="C77" s="164"/>
      <c r="D77" s="164"/>
      <c r="E77" s="165"/>
      <c r="F77" s="166"/>
      <c r="G77" s="164"/>
      <c r="H77" s="164"/>
      <c r="I77" s="164"/>
      <c r="J77" s="242"/>
      <c r="K77" s="242"/>
      <c r="L77" s="242"/>
      <c r="M77" s="272"/>
      <c r="N77" s="242"/>
      <c r="O77" s="242"/>
      <c r="P77" s="283"/>
      <c r="Q77" s="100"/>
      <c r="R77" s="83"/>
      <c r="S77" s="83"/>
      <c r="U77" s="27"/>
    </row>
    <row r="78" spans="1:28">
      <c r="A78" s="307" t="s">
        <v>100</v>
      </c>
      <c r="B78" s="308">
        <f>+Legis!B15</f>
        <v>92527</v>
      </c>
      <c r="C78" s="308">
        <f>+Legis!C15</f>
        <v>106423</v>
      </c>
      <c r="D78" s="308">
        <f>+Legis!D15</f>
        <v>101076</v>
      </c>
      <c r="E78" s="308">
        <f>+Legis!E15</f>
        <v>97102</v>
      </c>
      <c r="F78" s="308">
        <f>+Legis!F15</f>
        <v>118263</v>
      </c>
      <c r="G78" s="308">
        <f>+Legis!G15</f>
        <v>162625</v>
      </c>
      <c r="H78" s="308">
        <f>+Legis!H15</f>
        <v>157812</v>
      </c>
      <c r="I78" s="308">
        <f>+Legis!I15</f>
        <v>151146</v>
      </c>
      <c r="J78" s="308">
        <f>+Legis!J15</f>
        <v>159913</v>
      </c>
      <c r="K78" s="308">
        <f>+Legis!K15</f>
        <v>168523</v>
      </c>
      <c r="L78" s="308">
        <f>+Legis!L15</f>
        <v>139383</v>
      </c>
      <c r="M78" s="274"/>
      <c r="N78" s="308"/>
      <c r="O78" s="308"/>
      <c r="P78" s="309"/>
      <c r="Q78" s="27">
        <v>144678</v>
      </c>
      <c r="R78" s="27">
        <v>149103</v>
      </c>
      <c r="S78" s="27">
        <v>143523</v>
      </c>
      <c r="U78" s="27">
        <v>143523</v>
      </c>
      <c r="W78" s="184">
        <f>+Q78-J78</f>
        <v>-15235</v>
      </c>
      <c r="X78" s="184">
        <f>+R78-K78</f>
        <v>-19420</v>
      </c>
      <c r="Y78" s="184">
        <f>+S78-L78</f>
        <v>4140</v>
      </c>
    </row>
    <row r="79" spans="1:28">
      <c r="A79" s="151" t="s">
        <v>93</v>
      </c>
      <c r="B79" s="308">
        <f>+Legis!B16</f>
        <v>0</v>
      </c>
      <c r="C79" s="308">
        <f>+Legis!C16</f>
        <v>0</v>
      </c>
      <c r="D79" s="308">
        <f>+Legis!D16</f>
        <v>0</v>
      </c>
      <c r="E79" s="308">
        <f>+Legis!E16</f>
        <v>0</v>
      </c>
      <c r="F79" s="308">
        <f>+Legis!F16</f>
        <v>0</v>
      </c>
      <c r="G79" s="308">
        <f>+Legis!G16</f>
        <v>0</v>
      </c>
      <c r="H79" s="308">
        <f>+Legis!H16</f>
        <v>0</v>
      </c>
      <c r="I79" s="308">
        <f>+Legis!I16</f>
        <v>0</v>
      </c>
      <c r="J79" s="308">
        <f>+Legis!J16</f>
        <v>0</v>
      </c>
      <c r="K79" s="308">
        <f>+Legis!K16</f>
        <v>0</v>
      </c>
      <c r="L79" s="308">
        <f>+Legis!L16</f>
        <v>0</v>
      </c>
      <c r="M79" s="274"/>
      <c r="N79" s="167"/>
      <c r="O79" s="167"/>
      <c r="P79" s="168"/>
      <c r="Q79" s="102"/>
      <c r="R79" s="102"/>
      <c r="S79" s="102"/>
      <c r="U79" s="27"/>
    </row>
    <row r="80" spans="1:28" s="19" customFormat="1">
      <c r="A80" s="152" t="s">
        <v>155</v>
      </c>
      <c r="B80" s="308">
        <f>+Legis!B17</f>
        <v>0</v>
      </c>
      <c r="C80" s="308">
        <f>+Legis!C17</f>
        <v>0</v>
      </c>
      <c r="D80" s="308">
        <f>+Legis!D17</f>
        <v>0</v>
      </c>
      <c r="E80" s="308">
        <f>+Legis!E17</f>
        <v>0</v>
      </c>
      <c r="F80" s="308">
        <f>+Legis!F17</f>
        <v>0</v>
      </c>
      <c r="G80" s="308">
        <f>+Legis!G17</f>
        <v>0</v>
      </c>
      <c r="H80" s="308">
        <f>+Legis!H17</f>
        <v>0</v>
      </c>
      <c r="I80" s="308">
        <f>+Legis!I17</f>
        <v>0</v>
      </c>
      <c r="J80" s="308">
        <f>+Legis!J17</f>
        <v>0</v>
      </c>
      <c r="K80" s="308">
        <f>+Legis!K17</f>
        <v>0</v>
      </c>
      <c r="L80" s="308">
        <f>+Legis!L17</f>
        <v>0</v>
      </c>
      <c r="M80" s="274"/>
      <c r="N80" s="167"/>
      <c r="O80" s="167"/>
      <c r="P80" s="168"/>
      <c r="Q80" s="102"/>
      <c r="R80" s="102"/>
      <c r="S80" s="102"/>
      <c r="T80" s="113"/>
      <c r="U80" s="27"/>
      <c r="V80" s="171"/>
      <c r="W80" s="183"/>
      <c r="X80" s="183"/>
      <c r="Y80" s="183"/>
      <c r="AA80" s="190"/>
      <c r="AB80" s="245"/>
    </row>
    <row r="81" spans="1:25">
      <c r="A81" s="310" t="s">
        <v>83</v>
      </c>
      <c r="B81" s="308">
        <f>+Legis!B18</f>
        <v>0</v>
      </c>
      <c r="C81" s="308">
        <f>+Legis!C18</f>
        <v>0</v>
      </c>
      <c r="D81" s="308">
        <f>+Legis!D18</f>
        <v>0</v>
      </c>
      <c r="E81" s="308">
        <f>+Legis!E18</f>
        <v>0</v>
      </c>
      <c r="F81" s="308">
        <f>+Legis!F18</f>
        <v>0</v>
      </c>
      <c r="G81" s="308">
        <f>+Legis!G18</f>
        <v>0</v>
      </c>
      <c r="H81" s="308">
        <f>+Legis!H18</f>
        <v>0</v>
      </c>
      <c r="I81" s="308">
        <f>+Legis!I18</f>
        <v>0</v>
      </c>
      <c r="J81" s="308">
        <f>+Legis!J18</f>
        <v>0</v>
      </c>
      <c r="K81" s="308">
        <f>+Legis!K18</f>
        <v>0</v>
      </c>
      <c r="L81" s="308">
        <f>+Legis!L18</f>
        <v>0</v>
      </c>
      <c r="M81" s="274"/>
      <c r="N81" s="308"/>
      <c r="O81" s="308"/>
      <c r="P81" s="309"/>
      <c r="Q81" s="27">
        <v>2538172</v>
      </c>
      <c r="R81" s="27">
        <v>3888810</v>
      </c>
      <c r="S81" s="27">
        <v>4799183</v>
      </c>
      <c r="U81" s="27">
        <v>4799183</v>
      </c>
      <c r="W81" s="184">
        <f>+Q81-J81</f>
        <v>2538172</v>
      </c>
      <c r="X81" s="184">
        <f>+R81-K81</f>
        <v>3888810</v>
      </c>
      <c r="Y81" s="184">
        <f>+S81-L81</f>
        <v>4799183</v>
      </c>
    </row>
    <row r="82" spans="1:25" ht="16.5" thickBot="1">
      <c r="A82" s="153" t="s">
        <v>157</v>
      </c>
      <c r="B82" s="69">
        <f>+Legis!B19</f>
        <v>0</v>
      </c>
      <c r="C82" s="69">
        <f>+Legis!C19</f>
        <v>0</v>
      </c>
      <c r="D82" s="69">
        <f>+Legis!D19</f>
        <v>0</v>
      </c>
      <c r="E82" s="69">
        <f>+Legis!E19</f>
        <v>0</v>
      </c>
      <c r="F82" s="69">
        <f>+Legis!F19</f>
        <v>0</v>
      </c>
      <c r="G82" s="69">
        <f>+Legis!G19</f>
        <v>0</v>
      </c>
      <c r="H82" s="69">
        <f>+Legis!H19</f>
        <v>0</v>
      </c>
      <c r="I82" s="69">
        <f>+Legis!I19</f>
        <v>0</v>
      </c>
      <c r="J82" s="69">
        <f>+Legis!J19</f>
        <v>0</v>
      </c>
      <c r="K82" s="69">
        <f>+Legis!K19</f>
        <v>0</v>
      </c>
      <c r="L82" s="69">
        <f>+Legis!L19</f>
        <v>0</v>
      </c>
      <c r="M82" s="274"/>
      <c r="N82" s="69"/>
      <c r="O82" s="69"/>
      <c r="P82" s="169"/>
      <c r="Q82" s="27"/>
      <c r="R82" s="27"/>
      <c r="S82" s="27"/>
      <c r="U82" s="27"/>
      <c r="W82" s="184"/>
      <c r="X82" s="184"/>
      <c r="Y82" s="184"/>
    </row>
    <row r="83" spans="1:25" ht="16.5" hidden="1" thickBot="1">
      <c r="A83" s="268"/>
      <c r="B83" s="110">
        <f>+Legis!B20</f>
        <v>92527</v>
      </c>
      <c r="C83" s="110">
        <v>0</v>
      </c>
      <c r="D83" s="110">
        <v>0</v>
      </c>
      <c r="E83" s="110">
        <v>0</v>
      </c>
      <c r="F83" s="110">
        <v>0</v>
      </c>
      <c r="G83" s="110">
        <v>0</v>
      </c>
      <c r="H83" s="110">
        <v>0</v>
      </c>
      <c r="I83" s="110">
        <v>0</v>
      </c>
      <c r="J83" s="145">
        <v>0</v>
      </c>
      <c r="K83" s="110">
        <v>0</v>
      </c>
      <c r="L83" s="117">
        <v>0</v>
      </c>
      <c r="M83" s="274"/>
      <c r="N83" s="120"/>
      <c r="O83" s="120"/>
      <c r="P83" s="311"/>
      <c r="Q83" s="69">
        <v>0</v>
      </c>
      <c r="R83" s="69">
        <v>736070</v>
      </c>
      <c r="S83" s="69">
        <f>557239+316186</f>
        <v>873425</v>
      </c>
      <c r="U83" s="69">
        <v>873425</v>
      </c>
      <c r="W83" s="184">
        <f>+Q83-J83</f>
        <v>0</v>
      </c>
      <c r="X83" s="184">
        <f>+R83-K83</f>
        <v>736070</v>
      </c>
      <c r="Y83" s="184">
        <f>+S83-L83</f>
        <v>873425</v>
      </c>
    </row>
    <row r="84" spans="1:25">
      <c r="A84" s="312" t="s">
        <v>123</v>
      </c>
      <c r="B84" s="117">
        <f>SUM(B78:B82)</f>
        <v>92527</v>
      </c>
      <c r="C84" s="117">
        <f t="shared" ref="C84:L84" si="35">SUM(C78:C82)</f>
        <v>106423</v>
      </c>
      <c r="D84" s="117">
        <f t="shared" si="35"/>
        <v>101076</v>
      </c>
      <c r="E84" s="117">
        <f t="shared" si="35"/>
        <v>97102</v>
      </c>
      <c r="F84" s="117">
        <f t="shared" si="35"/>
        <v>118263</v>
      </c>
      <c r="G84" s="117">
        <f t="shared" si="35"/>
        <v>162625</v>
      </c>
      <c r="H84" s="117">
        <f t="shared" si="35"/>
        <v>157812</v>
      </c>
      <c r="I84" s="117">
        <f t="shared" si="35"/>
        <v>151146</v>
      </c>
      <c r="J84" s="117">
        <f t="shared" si="35"/>
        <v>159913</v>
      </c>
      <c r="K84" s="117">
        <f t="shared" si="35"/>
        <v>168523</v>
      </c>
      <c r="L84" s="117">
        <f t="shared" si="35"/>
        <v>139383</v>
      </c>
      <c r="M84" s="274"/>
      <c r="N84" s="117"/>
      <c r="O84" s="117"/>
      <c r="P84" s="270"/>
      <c r="Q84" s="3">
        <v>2756790</v>
      </c>
      <c r="R84" s="3">
        <v>2756790</v>
      </c>
      <c r="S84" s="3">
        <v>2756790</v>
      </c>
      <c r="U84" s="68">
        <v>2756790</v>
      </c>
    </row>
    <row r="85" spans="1:25">
      <c r="A85" s="312" t="s">
        <v>179</v>
      </c>
      <c r="B85" s="117"/>
      <c r="C85" s="117"/>
      <c r="D85" s="117"/>
      <c r="E85" s="117"/>
      <c r="F85" s="117"/>
      <c r="G85" s="117"/>
      <c r="H85" s="117"/>
      <c r="I85" s="117"/>
      <c r="J85" s="117"/>
      <c r="K85" s="117"/>
      <c r="L85" s="117"/>
      <c r="M85" s="274"/>
      <c r="N85" s="117"/>
      <c r="O85" s="117"/>
      <c r="P85" s="155"/>
      <c r="Q85" s="3"/>
      <c r="R85" s="3"/>
      <c r="S85" s="3"/>
      <c r="U85" s="68"/>
    </row>
    <row r="86" spans="1:25">
      <c r="A86" s="312"/>
      <c r="B86" s="117"/>
      <c r="C86" s="117"/>
      <c r="D86" s="117"/>
      <c r="E86" s="117"/>
      <c r="F86" s="117"/>
      <c r="G86" s="117"/>
      <c r="H86" s="117"/>
      <c r="I86" s="117"/>
      <c r="J86" s="117"/>
      <c r="K86" s="117"/>
      <c r="L86" s="117"/>
      <c r="M86" s="274"/>
      <c r="N86" s="117"/>
      <c r="O86" s="117"/>
      <c r="P86" s="155"/>
      <c r="Q86" s="3"/>
      <c r="R86" s="3"/>
      <c r="S86" s="3"/>
      <c r="U86" s="68"/>
    </row>
    <row r="87" spans="1:25" ht="18.75">
      <c r="A87" s="306" t="s">
        <v>178</v>
      </c>
      <c r="B87" s="117"/>
      <c r="C87" s="117"/>
      <c r="D87" s="117"/>
      <c r="E87" s="117"/>
      <c r="F87" s="117"/>
      <c r="G87" s="117"/>
      <c r="H87" s="117"/>
      <c r="I87" s="117"/>
      <c r="J87" s="117"/>
      <c r="K87" s="117"/>
      <c r="L87" s="117"/>
      <c r="M87" s="274"/>
      <c r="N87" s="117"/>
      <c r="O87" s="117"/>
      <c r="P87" s="155"/>
      <c r="Q87" s="3"/>
      <c r="R87" s="3"/>
      <c r="S87" s="3"/>
      <c r="U87" s="68"/>
    </row>
    <row r="88" spans="1:25">
      <c r="A88" s="307" t="s">
        <v>100</v>
      </c>
      <c r="B88" s="117">
        <f>+'Exec-Legal'!B16</f>
        <v>2657798</v>
      </c>
      <c r="C88" s="117">
        <f>+'Exec-Legal'!C16</f>
        <v>2441449</v>
      </c>
      <c r="D88" s="117">
        <f>+'Exec-Legal'!D16</f>
        <v>2410390</v>
      </c>
      <c r="E88" s="117">
        <f>+'Exec-Legal'!E16</f>
        <v>2301591</v>
      </c>
      <c r="F88" s="117">
        <f>+'Exec-Legal'!F16</f>
        <v>2506070</v>
      </c>
      <c r="G88" s="117">
        <f>+'Exec-Legal'!G16</f>
        <v>2910948</v>
      </c>
      <c r="H88" s="117">
        <f>+'Exec-Legal'!H16</f>
        <v>3292660</v>
      </c>
      <c r="I88" s="117">
        <f>+'Exec-Legal'!I16</f>
        <v>3293352</v>
      </c>
      <c r="J88" s="117">
        <f>+'Exec-Legal'!J16</f>
        <v>4565818</v>
      </c>
      <c r="K88" s="117">
        <f>+'Exec-Legal'!K16</f>
        <v>5185874</v>
      </c>
      <c r="L88" s="117">
        <f>+'Exec-Legal'!L16</f>
        <v>3976867</v>
      </c>
      <c r="M88" s="274"/>
      <c r="N88" s="117"/>
      <c r="O88" s="117"/>
      <c r="P88" s="155"/>
      <c r="Q88" s="3"/>
      <c r="R88" s="3"/>
      <c r="S88" s="3"/>
      <c r="U88" s="68"/>
    </row>
    <row r="89" spans="1:25">
      <c r="A89" s="151" t="s">
        <v>93</v>
      </c>
      <c r="B89" s="117">
        <f>+'Exec-Legal'!B17</f>
        <v>0</v>
      </c>
      <c r="C89" s="117">
        <f>+'Exec-Legal'!C17</f>
        <v>0</v>
      </c>
      <c r="D89" s="117">
        <f>+'Exec-Legal'!D17</f>
        <v>0</v>
      </c>
      <c r="E89" s="117">
        <f>+'Exec-Legal'!E17</f>
        <v>0</v>
      </c>
      <c r="F89" s="117">
        <f>+'Exec-Legal'!F17</f>
        <v>0</v>
      </c>
      <c r="G89" s="117">
        <f>+'Exec-Legal'!G17</f>
        <v>0</v>
      </c>
      <c r="H89" s="117">
        <f>+'Exec-Legal'!H17</f>
        <v>0</v>
      </c>
      <c r="I89" s="117">
        <f>+'Exec-Legal'!I17</f>
        <v>0</v>
      </c>
      <c r="J89" s="117">
        <f>+'Exec-Legal'!J17</f>
        <v>0</v>
      </c>
      <c r="K89" s="117">
        <f>+'Exec-Legal'!K17</f>
        <v>0</v>
      </c>
      <c r="L89" s="117">
        <f>+'[2]Exec-Legal'!L22</f>
        <v>0</v>
      </c>
      <c r="M89" s="274"/>
      <c r="N89" s="117"/>
      <c r="O89" s="117"/>
      <c r="P89" s="155"/>
      <c r="Q89" s="3"/>
      <c r="R89" s="3"/>
      <c r="S89" s="3"/>
      <c r="U89" s="68"/>
    </row>
    <row r="90" spans="1:25">
      <c r="A90" s="152" t="s">
        <v>155</v>
      </c>
      <c r="B90" s="117">
        <f>+'Exec-Legal'!B18</f>
        <v>0</v>
      </c>
      <c r="C90" s="117">
        <f>+'Exec-Legal'!C18</f>
        <v>0</v>
      </c>
      <c r="D90" s="117">
        <f>+'Exec-Legal'!D18</f>
        <v>0</v>
      </c>
      <c r="E90" s="117">
        <f>+'Exec-Legal'!E18</f>
        <v>0</v>
      </c>
      <c r="F90" s="117">
        <f>+'Exec-Legal'!F18</f>
        <v>0</v>
      </c>
      <c r="G90" s="117">
        <f>+'Exec-Legal'!G18</f>
        <v>0</v>
      </c>
      <c r="H90" s="117">
        <f>+'Exec-Legal'!H18</f>
        <v>0</v>
      </c>
      <c r="I90" s="117">
        <f>+'Exec-Legal'!I18</f>
        <v>0</v>
      </c>
      <c r="J90" s="117">
        <f>+'Exec-Legal'!J18</f>
        <v>0</v>
      </c>
      <c r="K90" s="117">
        <f>+'Exec-Legal'!K18</f>
        <v>0</v>
      </c>
      <c r="L90" s="117">
        <f>+'[2]Exec-Legal'!L23</f>
        <v>0</v>
      </c>
      <c r="M90" s="274"/>
      <c r="N90" s="117"/>
      <c r="O90" s="117"/>
      <c r="P90" s="155"/>
      <c r="Q90" s="3"/>
      <c r="R90" s="3"/>
      <c r="S90" s="3"/>
      <c r="U90" s="68"/>
    </row>
    <row r="91" spans="1:25">
      <c r="A91" s="310" t="s">
        <v>83</v>
      </c>
      <c r="B91" s="117">
        <f>+'Exec-Legal'!B19</f>
        <v>458374</v>
      </c>
      <c r="C91" s="117">
        <f>+'Exec-Legal'!C19</f>
        <v>224222</v>
      </c>
      <c r="D91" s="117">
        <f>+'Exec-Legal'!D19</f>
        <v>391874</v>
      </c>
      <c r="E91" s="117">
        <f>+'Exec-Legal'!E19</f>
        <v>240077</v>
      </c>
      <c r="F91" s="117">
        <f>+'Exec-Legal'!F19</f>
        <v>293278</v>
      </c>
      <c r="G91" s="117">
        <f>+'Exec-Legal'!G19</f>
        <v>458233</v>
      </c>
      <c r="H91" s="117">
        <f>+'Exec-Legal'!H19</f>
        <v>576160</v>
      </c>
      <c r="I91" s="117">
        <f>+'Exec-Legal'!I19</f>
        <v>356494</v>
      </c>
      <c r="J91" s="117">
        <f>+'Exec-Legal'!J19</f>
        <v>393939</v>
      </c>
      <c r="K91" s="117">
        <f>+'Exec-Legal'!K19</f>
        <v>1762003</v>
      </c>
      <c r="L91" s="117">
        <f>+'Exec-Legal'!L19</f>
        <v>883133</v>
      </c>
      <c r="M91" s="274"/>
      <c r="N91" s="117"/>
      <c r="O91" s="117"/>
      <c r="P91" s="155"/>
      <c r="Q91" s="3"/>
      <c r="R91" s="3"/>
      <c r="S91" s="3"/>
      <c r="U91" s="68"/>
    </row>
    <row r="92" spans="1:25" ht="16.5" thickBot="1">
      <c r="A92" s="153" t="s">
        <v>157</v>
      </c>
      <c r="B92" s="69">
        <f>+'Exec-Legal'!B20</f>
        <v>0</v>
      </c>
      <c r="C92" s="69">
        <f>+'Exec-Legal'!C20</f>
        <v>0</v>
      </c>
      <c r="D92" s="69">
        <f>+'Exec-Legal'!D20</f>
        <v>0</v>
      </c>
      <c r="E92" s="69">
        <f>+'Exec-Legal'!E20</f>
        <v>0</v>
      </c>
      <c r="F92" s="69">
        <f>+'Exec-Legal'!F20</f>
        <v>0</v>
      </c>
      <c r="G92" s="69">
        <f>+'Exec-Legal'!G20</f>
        <v>0</v>
      </c>
      <c r="H92" s="69">
        <f>+'Exec-Legal'!H20</f>
        <v>0</v>
      </c>
      <c r="I92" s="69">
        <f>+'Exec-Legal'!I20</f>
        <v>0</v>
      </c>
      <c r="J92" s="69">
        <f>+'Exec-Legal'!J20</f>
        <v>0</v>
      </c>
      <c r="K92" s="69">
        <f>+'Exec-Legal'!K20</f>
        <v>0</v>
      </c>
      <c r="L92" s="69">
        <f>+'[2]Exec-Legal'!L25</f>
        <v>0</v>
      </c>
      <c r="M92" s="274"/>
      <c r="N92" s="69"/>
      <c r="O92" s="69"/>
      <c r="P92" s="169"/>
      <c r="Q92" s="3"/>
      <c r="R92" s="3"/>
      <c r="S92" s="3"/>
      <c r="U92" s="68"/>
    </row>
    <row r="93" spans="1:25">
      <c r="A93" s="312" t="s">
        <v>123</v>
      </c>
      <c r="B93" s="117">
        <f t="shared" ref="B93:L93" si="36">SUM(B87:B91)</f>
        <v>3116172</v>
      </c>
      <c r="C93" s="117">
        <f t="shared" si="36"/>
        <v>2665671</v>
      </c>
      <c r="D93" s="117">
        <f t="shared" si="36"/>
        <v>2802264</v>
      </c>
      <c r="E93" s="117">
        <f t="shared" si="36"/>
        <v>2541668</v>
      </c>
      <c r="F93" s="117">
        <f t="shared" si="36"/>
        <v>2799348</v>
      </c>
      <c r="G93" s="117">
        <f t="shared" si="36"/>
        <v>3369181</v>
      </c>
      <c r="H93" s="117">
        <f t="shared" si="36"/>
        <v>3868820</v>
      </c>
      <c r="I93" s="117">
        <f t="shared" si="36"/>
        <v>3649846</v>
      </c>
      <c r="J93" s="117">
        <f t="shared" si="36"/>
        <v>4959757</v>
      </c>
      <c r="K93" s="117">
        <f t="shared" si="36"/>
        <v>6947877</v>
      </c>
      <c r="L93" s="117">
        <f t="shared" si="36"/>
        <v>4860000</v>
      </c>
      <c r="M93" s="274"/>
      <c r="N93" s="117">
        <f>4860001-L93</f>
        <v>1</v>
      </c>
      <c r="O93" s="117"/>
      <c r="P93" s="155"/>
      <c r="Q93" s="3"/>
      <c r="R93" s="3"/>
      <c r="S93" s="3"/>
      <c r="U93" s="68"/>
    </row>
    <row r="94" spans="1:25">
      <c r="A94" s="312" t="s">
        <v>51</v>
      </c>
      <c r="B94" s="313">
        <f>'Exec-Legal'!B29</f>
        <v>17.05</v>
      </c>
      <c r="C94" s="313">
        <f>'Exec-Legal'!C29</f>
        <v>15.25</v>
      </c>
      <c r="D94" s="313">
        <f>'Exec-Legal'!D29</f>
        <v>16.25</v>
      </c>
      <c r="E94" s="313">
        <f>'Exec-Legal'!E29</f>
        <v>16</v>
      </c>
      <c r="F94" s="313">
        <f>'Exec-Legal'!F29</f>
        <v>16.55</v>
      </c>
      <c r="G94" s="313">
        <f>'Exec-Legal'!G29</f>
        <v>18.350000000000001</v>
      </c>
      <c r="H94" s="313">
        <f>'Exec-Legal'!H29</f>
        <v>19.11</v>
      </c>
      <c r="I94" s="313">
        <f>'Exec-Legal'!I29</f>
        <v>20.869999999999997</v>
      </c>
      <c r="J94" s="313">
        <f>'Exec-Legal'!J29</f>
        <v>20.725000000000001</v>
      </c>
      <c r="K94" s="313">
        <f>'Exec-Legal'!K29</f>
        <v>24.975000000000001</v>
      </c>
      <c r="L94" s="313">
        <f>'Exec-Legal'!L29</f>
        <v>24.975000000000001</v>
      </c>
      <c r="M94" s="274"/>
      <c r="N94" s="313"/>
      <c r="O94" s="313"/>
      <c r="P94" s="314"/>
      <c r="Q94" s="19"/>
      <c r="R94" s="19"/>
      <c r="S94" s="78"/>
      <c r="U94" s="27"/>
    </row>
    <row r="95" spans="1:25">
      <c r="A95" s="312"/>
      <c r="B95" s="313"/>
      <c r="C95" s="313"/>
      <c r="D95" s="313"/>
      <c r="E95" s="313"/>
      <c r="F95" s="313"/>
      <c r="G95" s="313"/>
      <c r="H95" s="313"/>
      <c r="I95" s="313"/>
      <c r="J95" s="313"/>
      <c r="K95" s="313"/>
      <c r="L95" s="313">
        <f>+L93-'[3]All Depts'!$O$93</f>
        <v>1764</v>
      </c>
      <c r="M95" s="274"/>
      <c r="N95" s="313"/>
      <c r="O95" s="313"/>
      <c r="P95" s="314"/>
      <c r="Q95" s="19"/>
      <c r="R95" s="19"/>
      <c r="S95" s="78"/>
      <c r="U95" s="27"/>
    </row>
    <row r="96" spans="1:25" ht="18.75">
      <c r="A96" s="306" t="s">
        <v>126</v>
      </c>
      <c r="B96" s="313"/>
      <c r="C96" s="313"/>
      <c r="D96" s="313"/>
      <c r="E96" s="313"/>
      <c r="F96" s="313"/>
      <c r="G96" s="313"/>
      <c r="H96" s="313"/>
      <c r="I96" s="313"/>
      <c r="J96" s="313"/>
      <c r="K96" s="313"/>
      <c r="L96" s="313"/>
      <c r="M96" s="274"/>
      <c r="N96" s="313"/>
      <c r="O96" s="313"/>
      <c r="P96" s="314"/>
      <c r="Q96" s="19"/>
      <c r="R96" s="19"/>
      <c r="S96" s="78"/>
      <c r="U96" s="27"/>
    </row>
    <row r="97" spans="1:25">
      <c r="A97" s="307" t="s">
        <v>100</v>
      </c>
      <c r="B97" s="117">
        <f>+CClerk!B17</f>
        <v>359189</v>
      </c>
      <c r="C97" s="117">
        <f>+CClerk!C17</f>
        <v>492843</v>
      </c>
      <c r="D97" s="117">
        <f>+CClerk!D17</f>
        <v>438062</v>
      </c>
      <c r="E97" s="117">
        <f>+CClerk!E17</f>
        <v>441233</v>
      </c>
      <c r="F97" s="117">
        <f>+CClerk!F17</f>
        <v>454431</v>
      </c>
      <c r="G97" s="117">
        <f>+CClerk!G17</f>
        <v>599214</v>
      </c>
      <c r="H97" s="117">
        <f>+CClerk!H17</f>
        <v>585051</v>
      </c>
      <c r="I97" s="117">
        <f>+CClerk!I17</f>
        <v>586611</v>
      </c>
      <c r="J97" s="117">
        <f>+CClerk!J17</f>
        <v>745450</v>
      </c>
      <c r="K97" s="117">
        <f>+CClerk!K17</f>
        <v>949562</v>
      </c>
      <c r="L97" s="117">
        <f>+CClerk!L17</f>
        <v>719859</v>
      </c>
      <c r="M97" s="274"/>
      <c r="N97" s="117"/>
      <c r="O97" s="117"/>
      <c r="P97" s="155"/>
      <c r="Q97" s="27">
        <v>682856</v>
      </c>
      <c r="R97" s="180">
        <v>733197</v>
      </c>
      <c r="S97" s="27">
        <v>921108</v>
      </c>
      <c r="U97" s="27">
        <v>921108</v>
      </c>
      <c r="W97" s="184">
        <f>+Q97-J97</f>
        <v>-62594</v>
      </c>
      <c r="X97" s="184">
        <f>+R97-K97</f>
        <v>-216365</v>
      </c>
      <c r="Y97" s="184">
        <f>+S97-L97</f>
        <v>201249</v>
      </c>
    </row>
    <row r="98" spans="1:25">
      <c r="A98" s="151" t="s">
        <v>93</v>
      </c>
      <c r="B98" s="117">
        <f>+CClerk!B18</f>
        <v>0</v>
      </c>
      <c r="C98" s="117">
        <f>+CClerk!C18</f>
        <v>0</v>
      </c>
      <c r="D98" s="117">
        <f>+CClerk!D18</f>
        <v>0</v>
      </c>
      <c r="E98" s="117">
        <f>+CClerk!E18</f>
        <v>0</v>
      </c>
      <c r="F98" s="117">
        <f>+CClerk!F18</f>
        <v>0</v>
      </c>
      <c r="G98" s="117">
        <f>+CClerk!G18</f>
        <v>0</v>
      </c>
      <c r="H98" s="117">
        <f>+CClerk!H18</f>
        <v>0</v>
      </c>
      <c r="I98" s="117">
        <f>+CClerk!I18</f>
        <v>0</v>
      </c>
      <c r="J98" s="117">
        <f>+CClerk!J18</f>
        <v>0</v>
      </c>
      <c r="K98" s="117">
        <f>+CClerk!K18</f>
        <v>0</v>
      </c>
      <c r="L98" s="117">
        <f>+[2]CClerk!L22</f>
        <v>0</v>
      </c>
      <c r="M98" s="274"/>
      <c r="N98" s="117"/>
      <c r="O98" s="117"/>
      <c r="P98" s="155"/>
      <c r="Q98" s="27"/>
      <c r="R98" s="180"/>
      <c r="S98" s="27"/>
      <c r="U98" s="27"/>
      <c r="W98" s="184"/>
      <c r="X98" s="184"/>
      <c r="Y98" s="184"/>
    </row>
    <row r="99" spans="1:25">
      <c r="A99" s="152" t="s">
        <v>155</v>
      </c>
      <c r="B99" s="117">
        <f>+CClerk!B19</f>
        <v>0</v>
      </c>
      <c r="C99" s="117">
        <f>+CClerk!C19</f>
        <v>0</v>
      </c>
      <c r="D99" s="117">
        <f>+CClerk!D19</f>
        <v>0</v>
      </c>
      <c r="E99" s="117">
        <f>+CClerk!E19</f>
        <v>0</v>
      </c>
      <c r="F99" s="117">
        <f>+CClerk!F19</f>
        <v>0</v>
      </c>
      <c r="G99" s="117">
        <f>+CClerk!G19</f>
        <v>0</v>
      </c>
      <c r="H99" s="117">
        <f>+CClerk!H19</f>
        <v>0</v>
      </c>
      <c r="I99" s="117">
        <f>+CClerk!I19</f>
        <v>0</v>
      </c>
      <c r="J99" s="117">
        <f>+CClerk!J19</f>
        <v>0</v>
      </c>
      <c r="K99" s="117">
        <f>+CClerk!K19</f>
        <v>0</v>
      </c>
      <c r="L99" s="117">
        <f>+[2]CClerk!L23</f>
        <v>0</v>
      </c>
      <c r="M99" s="274"/>
      <c r="N99" s="117"/>
      <c r="O99" s="117"/>
      <c r="P99" s="155"/>
      <c r="Q99" s="27"/>
      <c r="R99" s="180"/>
      <c r="S99" s="27"/>
      <c r="U99" s="27"/>
      <c r="W99" s="184"/>
      <c r="X99" s="184"/>
      <c r="Y99" s="184"/>
    </row>
    <row r="100" spans="1:25">
      <c r="A100" s="310" t="s">
        <v>83</v>
      </c>
      <c r="B100" s="117">
        <f>+CClerk!B20</f>
        <v>0</v>
      </c>
      <c r="C100" s="117">
        <f>+CClerk!C20</f>
        <v>0</v>
      </c>
      <c r="D100" s="117">
        <f>+CClerk!D20</f>
        <v>0</v>
      </c>
      <c r="E100" s="117">
        <f>+CClerk!E20</f>
        <v>0</v>
      </c>
      <c r="F100" s="117">
        <f>+CClerk!F20</f>
        <v>0</v>
      </c>
      <c r="G100" s="117">
        <f>+CClerk!G20</f>
        <v>0</v>
      </c>
      <c r="H100" s="117">
        <f>+CClerk!H20</f>
        <v>0</v>
      </c>
      <c r="I100" s="117">
        <f>+CClerk!I20</f>
        <v>0</v>
      </c>
      <c r="J100" s="117">
        <f>+CClerk!J20</f>
        <v>0</v>
      </c>
      <c r="K100" s="117">
        <f>+CClerk!K20</f>
        <v>0</v>
      </c>
      <c r="L100" s="117">
        <f>+[2]CClerk!L24</f>
        <v>0</v>
      </c>
      <c r="M100" s="274"/>
      <c r="N100" s="117"/>
      <c r="O100" s="117"/>
      <c r="P100" s="155"/>
      <c r="Q100" s="27"/>
      <c r="R100" s="180"/>
      <c r="S100" s="27"/>
      <c r="U100" s="27"/>
      <c r="W100" s="184"/>
      <c r="X100" s="184"/>
      <c r="Y100" s="184"/>
    </row>
    <row r="101" spans="1:25" ht="16.5" thickBot="1">
      <c r="A101" s="153" t="s">
        <v>157</v>
      </c>
      <c r="B101" s="69">
        <f>+CClerk!B21</f>
        <v>0</v>
      </c>
      <c r="C101" s="69">
        <f>+CClerk!C21</f>
        <v>0</v>
      </c>
      <c r="D101" s="69">
        <f>+CClerk!D21</f>
        <v>0</v>
      </c>
      <c r="E101" s="69">
        <f>+CClerk!E21</f>
        <v>0</v>
      </c>
      <c r="F101" s="69">
        <f>+CClerk!F21</f>
        <v>0</v>
      </c>
      <c r="G101" s="69">
        <f>+CClerk!G21</f>
        <v>0</v>
      </c>
      <c r="H101" s="69">
        <f>+CClerk!H21</f>
        <v>0</v>
      </c>
      <c r="I101" s="69">
        <f>+CClerk!I21</f>
        <v>0</v>
      </c>
      <c r="J101" s="69">
        <f>+CClerk!J21</f>
        <v>0</v>
      </c>
      <c r="K101" s="69">
        <f>+CClerk!K21</f>
        <v>0</v>
      </c>
      <c r="L101" s="69">
        <f>+[2]CClerk!L25</f>
        <v>0</v>
      </c>
      <c r="M101" s="274"/>
      <c r="N101" s="69"/>
      <c r="O101" s="69"/>
      <c r="P101" s="169"/>
      <c r="Q101" s="27"/>
      <c r="R101" s="180"/>
      <c r="S101" s="27"/>
      <c r="U101" s="27"/>
      <c r="W101" s="184"/>
      <c r="X101" s="184"/>
      <c r="Y101" s="184"/>
    </row>
    <row r="102" spans="1:25">
      <c r="A102" s="312" t="s">
        <v>123</v>
      </c>
      <c r="B102" s="117">
        <f t="shared" ref="B102:L102" si="37">SUM(B96:B100)</f>
        <v>359189</v>
      </c>
      <c r="C102" s="117">
        <f t="shared" si="37"/>
        <v>492843</v>
      </c>
      <c r="D102" s="117">
        <f t="shared" si="37"/>
        <v>438062</v>
      </c>
      <c r="E102" s="117">
        <f t="shared" si="37"/>
        <v>441233</v>
      </c>
      <c r="F102" s="117">
        <f t="shared" si="37"/>
        <v>454431</v>
      </c>
      <c r="G102" s="117">
        <f t="shared" si="37"/>
        <v>599214</v>
      </c>
      <c r="H102" s="117">
        <f t="shared" si="37"/>
        <v>585051</v>
      </c>
      <c r="I102" s="117">
        <f t="shared" si="37"/>
        <v>586611</v>
      </c>
      <c r="J102" s="117">
        <f t="shared" si="37"/>
        <v>745450</v>
      </c>
      <c r="K102" s="117">
        <f t="shared" si="37"/>
        <v>949562</v>
      </c>
      <c r="L102" s="117">
        <f t="shared" si="37"/>
        <v>719859</v>
      </c>
      <c r="M102" s="274"/>
      <c r="N102" s="117"/>
      <c r="O102" s="117"/>
      <c r="P102" s="155"/>
      <c r="Q102" s="27"/>
      <c r="R102" s="180"/>
      <c r="S102" s="27"/>
      <c r="U102" s="27"/>
      <c r="W102" s="184"/>
      <c r="X102" s="184"/>
      <c r="Y102" s="184"/>
    </row>
    <row r="103" spans="1:25">
      <c r="A103" s="312" t="s">
        <v>179</v>
      </c>
      <c r="B103" s="313">
        <f>CClerk!B61</f>
        <v>0</v>
      </c>
      <c r="C103" s="313">
        <f>CClerk!C61</f>
        <v>0</v>
      </c>
      <c r="D103" s="313">
        <f>CClerk!D61</f>
        <v>0</v>
      </c>
      <c r="E103" s="313">
        <f>CClerk!E61</f>
        <v>0</v>
      </c>
      <c r="F103" s="313">
        <f>CClerk!F61</f>
        <v>0</v>
      </c>
      <c r="G103" s="313">
        <f>CClerk!G61</f>
        <v>0</v>
      </c>
      <c r="H103" s="313">
        <f>CClerk!H61</f>
        <v>0</v>
      </c>
      <c r="I103" s="313">
        <f>CClerk!I61</f>
        <v>0</v>
      </c>
      <c r="J103" s="313">
        <f>CClerk!J61</f>
        <v>0</v>
      </c>
      <c r="K103" s="313">
        <f>CClerk!K61</f>
        <v>0</v>
      </c>
      <c r="L103" s="313">
        <f>CClerk!L61</f>
        <v>0</v>
      </c>
      <c r="M103" s="274"/>
      <c r="N103" s="313"/>
      <c r="O103" s="313"/>
      <c r="P103" s="314"/>
      <c r="Q103" s="19"/>
      <c r="R103" s="19"/>
      <c r="S103" s="19"/>
      <c r="U103" s="27"/>
    </row>
    <row r="104" spans="1:25">
      <c r="A104" s="312"/>
      <c r="B104" s="313"/>
      <c r="C104" s="313"/>
      <c r="D104" s="313"/>
      <c r="E104" s="313"/>
      <c r="F104" s="313"/>
      <c r="G104" s="313"/>
      <c r="H104" s="313"/>
      <c r="I104" s="313"/>
      <c r="J104" s="313"/>
      <c r="K104" s="313"/>
      <c r="L104" s="313"/>
      <c r="M104" s="274"/>
      <c r="N104" s="313"/>
      <c r="O104" s="313"/>
      <c r="P104" s="314"/>
      <c r="Q104" s="19"/>
      <c r="R104" s="19"/>
      <c r="S104" s="19"/>
      <c r="U104" s="27"/>
    </row>
    <row r="105" spans="1:25" ht="18.75">
      <c r="A105" s="306" t="s">
        <v>180</v>
      </c>
      <c r="B105" s="313"/>
      <c r="C105" s="313"/>
      <c r="D105" s="313"/>
      <c r="E105" s="313"/>
      <c r="F105" s="313"/>
      <c r="G105" s="313"/>
      <c r="H105" s="313"/>
      <c r="I105" s="313"/>
      <c r="J105" s="313"/>
      <c r="K105" s="313"/>
      <c r="L105" s="313"/>
      <c r="M105" s="274"/>
      <c r="N105" s="313"/>
      <c r="O105" s="313"/>
      <c r="P105" s="314"/>
      <c r="Q105" s="19"/>
      <c r="R105" s="19"/>
      <c r="S105" s="19"/>
      <c r="U105" s="27"/>
    </row>
    <row r="106" spans="1:25">
      <c r="A106" s="307" t="s">
        <v>100</v>
      </c>
      <c r="B106" s="117">
        <f>+CS!B15</f>
        <v>1248068</v>
      </c>
      <c r="C106" s="117">
        <f>+CS!C15</f>
        <v>1133935</v>
      </c>
      <c r="D106" s="117">
        <f>+CS!D15</f>
        <v>1224116</v>
      </c>
      <c r="E106" s="117">
        <f>+CS!E15</f>
        <v>1360178</v>
      </c>
      <c r="F106" s="117">
        <f>+CS!F15</f>
        <v>1719180</v>
      </c>
      <c r="G106" s="117">
        <f>+CS!G15</f>
        <v>1922206</v>
      </c>
      <c r="H106" s="117">
        <f>+CS!H15</f>
        <v>1980562</v>
      </c>
      <c r="I106" s="117">
        <f>+CS!I15</f>
        <v>2104255</v>
      </c>
      <c r="J106" s="117">
        <f>+CS!J15</f>
        <v>2333239</v>
      </c>
      <c r="K106" s="117">
        <f>+CS!K15</f>
        <v>2590726</v>
      </c>
      <c r="L106" s="117">
        <f>+CS!L15</f>
        <v>2002310</v>
      </c>
      <c r="M106" s="274"/>
      <c r="N106" s="117"/>
      <c r="O106" s="117"/>
      <c r="P106" s="155"/>
      <c r="Q106" s="180">
        <v>1921173</v>
      </c>
      <c r="R106" s="27">
        <v>2172196</v>
      </c>
      <c r="S106" s="27">
        <v>2586626</v>
      </c>
      <c r="U106" s="27">
        <v>2586626</v>
      </c>
      <c r="W106" s="184">
        <f>+Q106-J106</f>
        <v>-412066</v>
      </c>
      <c r="X106" s="184">
        <f>+R106-K106</f>
        <v>-418530</v>
      </c>
      <c r="Y106" s="184">
        <f>+S106-L106</f>
        <v>584316</v>
      </c>
    </row>
    <row r="107" spans="1:25">
      <c r="A107" s="151" t="s">
        <v>93</v>
      </c>
      <c r="B107" s="117">
        <f>+CS!B16</f>
        <v>0</v>
      </c>
      <c r="C107" s="117">
        <f>+CS!C16</f>
        <v>0</v>
      </c>
      <c r="D107" s="117">
        <f>+CS!D16</f>
        <v>0</v>
      </c>
      <c r="E107" s="117">
        <f>+CS!E16</f>
        <v>0</v>
      </c>
      <c r="F107" s="117">
        <f>+CS!F16</f>
        <v>0</v>
      </c>
      <c r="G107" s="117">
        <f>+CS!G16</f>
        <v>0</v>
      </c>
      <c r="H107" s="117">
        <f>+CS!H16</f>
        <v>0</v>
      </c>
      <c r="I107" s="117">
        <f>+CS!I16</f>
        <v>0</v>
      </c>
      <c r="J107" s="117">
        <f>+CS!J16</f>
        <v>0</v>
      </c>
      <c r="K107" s="117">
        <f>+CS!K16</f>
        <v>0</v>
      </c>
      <c r="L107" s="117">
        <f>+[2]CS!L19</f>
        <v>0</v>
      </c>
      <c r="M107" s="274"/>
      <c r="N107" s="117"/>
      <c r="O107" s="117"/>
      <c r="P107" s="155"/>
      <c r="Q107" s="180"/>
      <c r="R107" s="27"/>
      <c r="S107" s="27"/>
      <c r="U107" s="27"/>
      <c r="W107" s="184"/>
      <c r="X107" s="184"/>
      <c r="Y107" s="184"/>
    </row>
    <row r="108" spans="1:25">
      <c r="A108" s="152" t="s">
        <v>155</v>
      </c>
      <c r="B108" s="117">
        <f>+CS!B17</f>
        <v>0</v>
      </c>
      <c r="C108" s="117">
        <f>+CS!C17</f>
        <v>0</v>
      </c>
      <c r="D108" s="117">
        <f>+CS!D17</f>
        <v>0</v>
      </c>
      <c r="E108" s="117">
        <f>+CS!E17</f>
        <v>0</v>
      </c>
      <c r="F108" s="117">
        <f>+CS!F17</f>
        <v>0</v>
      </c>
      <c r="G108" s="117">
        <f>+CS!G17</f>
        <v>0</v>
      </c>
      <c r="H108" s="117">
        <f>+CS!H17</f>
        <v>0</v>
      </c>
      <c r="I108" s="117">
        <f>+CS!I17</f>
        <v>0</v>
      </c>
      <c r="J108" s="117">
        <f>+CS!J17</f>
        <v>0</v>
      </c>
      <c r="K108" s="117">
        <f>+CS!K17</f>
        <v>0</v>
      </c>
      <c r="L108" s="117">
        <f>+[2]CS!L20</f>
        <v>0</v>
      </c>
      <c r="M108" s="274"/>
      <c r="N108" s="117"/>
      <c r="O108" s="117"/>
      <c r="P108" s="155"/>
      <c r="Q108" s="180"/>
      <c r="R108" s="27"/>
      <c r="S108" s="27"/>
      <c r="U108" s="27"/>
      <c r="W108" s="184"/>
      <c r="X108" s="184"/>
      <c r="Y108" s="184"/>
    </row>
    <row r="109" spans="1:25">
      <c r="A109" s="310" t="s">
        <v>83</v>
      </c>
      <c r="B109" s="117">
        <f>+CS!B18</f>
        <v>235494</v>
      </c>
      <c r="C109" s="117">
        <f>+CS!C18</f>
        <v>283940</v>
      </c>
      <c r="D109" s="117">
        <f>+CS!D18</f>
        <v>329925</v>
      </c>
      <c r="E109" s="117">
        <f>+CS!E18</f>
        <v>430949</v>
      </c>
      <c r="F109" s="117">
        <f>+CS!F18</f>
        <v>273501</v>
      </c>
      <c r="G109" s="117">
        <f>+CS!G18</f>
        <v>558053</v>
      </c>
      <c r="H109" s="117">
        <f>+CS!H18</f>
        <v>167400</v>
      </c>
      <c r="I109" s="117">
        <f>+CS!I18</f>
        <v>218061</v>
      </c>
      <c r="J109" s="117">
        <f>+CS!J18</f>
        <v>297275</v>
      </c>
      <c r="K109" s="117">
        <f>+CS!K18</f>
        <v>903064</v>
      </c>
      <c r="L109" s="117">
        <f>+CS!L18</f>
        <v>377489</v>
      </c>
      <c r="M109" s="274"/>
      <c r="N109" s="117"/>
      <c r="O109" s="117"/>
      <c r="P109" s="155"/>
      <c r="Q109" s="180"/>
      <c r="R109" s="27"/>
      <c r="S109" s="27"/>
      <c r="U109" s="27"/>
      <c r="W109" s="184"/>
      <c r="X109" s="184"/>
      <c r="Y109" s="184"/>
    </row>
    <row r="110" spans="1:25" ht="16.5" thickBot="1">
      <c r="A110" s="153" t="s">
        <v>157</v>
      </c>
      <c r="B110" s="69">
        <f>+CS!B19</f>
        <v>0</v>
      </c>
      <c r="C110" s="69">
        <f>+CS!C19</f>
        <v>0</v>
      </c>
      <c r="D110" s="69">
        <f>+CS!D19</f>
        <v>0</v>
      </c>
      <c r="E110" s="69">
        <f>+CS!E19</f>
        <v>0</v>
      </c>
      <c r="F110" s="69">
        <f>+CS!F19</f>
        <v>0</v>
      </c>
      <c r="G110" s="69">
        <f>+CS!G19</f>
        <v>0</v>
      </c>
      <c r="H110" s="69">
        <f>+CS!H19</f>
        <v>0</v>
      </c>
      <c r="I110" s="69">
        <f>+CS!I19</f>
        <v>0</v>
      </c>
      <c r="J110" s="69">
        <f>+CS!J19</f>
        <v>0</v>
      </c>
      <c r="K110" s="69">
        <f>+CS!K19</f>
        <v>0</v>
      </c>
      <c r="L110" s="69">
        <f>+[2]CS!L22</f>
        <v>0</v>
      </c>
      <c r="M110" s="274"/>
      <c r="N110" s="69"/>
      <c r="O110" s="69"/>
      <c r="P110" s="169"/>
      <c r="Q110" s="72">
        <v>327407</v>
      </c>
      <c r="R110" s="72">
        <v>470477</v>
      </c>
      <c r="S110" s="134">
        <v>170164</v>
      </c>
      <c r="U110" s="115">
        <v>205164</v>
      </c>
      <c r="W110" s="184">
        <f>+Q110-J110</f>
        <v>327407</v>
      </c>
      <c r="X110" s="184">
        <f>+R110-K110</f>
        <v>470477</v>
      </c>
      <c r="Y110" s="184">
        <f>+S110-L110</f>
        <v>170164</v>
      </c>
    </row>
    <row r="111" spans="1:25">
      <c r="A111" s="312" t="s">
        <v>123</v>
      </c>
      <c r="B111" s="117">
        <f>SUM(B106:B110)</f>
        <v>1483562</v>
      </c>
      <c r="C111" s="117">
        <f t="shared" ref="C111:L111" si="38">SUM(C106:C110)</f>
        <v>1417875</v>
      </c>
      <c r="D111" s="117">
        <f t="shared" si="38"/>
        <v>1554041</v>
      </c>
      <c r="E111" s="117">
        <f t="shared" si="38"/>
        <v>1791127</v>
      </c>
      <c r="F111" s="117">
        <f t="shared" si="38"/>
        <v>1992681</v>
      </c>
      <c r="G111" s="117">
        <f t="shared" si="38"/>
        <v>2480259</v>
      </c>
      <c r="H111" s="117">
        <f t="shared" si="38"/>
        <v>2147962</v>
      </c>
      <c r="I111" s="117">
        <f t="shared" si="38"/>
        <v>2322316</v>
      </c>
      <c r="J111" s="117">
        <f t="shared" si="38"/>
        <v>2630514</v>
      </c>
      <c r="K111" s="117">
        <f t="shared" si="38"/>
        <v>3493790</v>
      </c>
      <c r="L111" s="117">
        <f t="shared" si="38"/>
        <v>2379799</v>
      </c>
      <c r="M111" s="274"/>
      <c r="N111" s="117"/>
      <c r="O111" s="117"/>
      <c r="P111" s="155"/>
      <c r="Q111" s="27">
        <f>SUM(Q106:Q110)</f>
        <v>2248580</v>
      </c>
      <c r="R111" s="27">
        <f>SUM(R106:R110)</f>
        <v>2642673</v>
      </c>
      <c r="S111" s="27">
        <f>SUM(S106:S110)</f>
        <v>2756790</v>
      </c>
      <c r="U111" s="27">
        <f>SUM(U106:U110)</f>
        <v>2791790</v>
      </c>
    </row>
    <row r="112" spans="1:25">
      <c r="A112" s="312" t="s">
        <v>179</v>
      </c>
      <c r="B112" s="313">
        <f>CS!B98</f>
        <v>0</v>
      </c>
      <c r="C112" s="313">
        <f>CS!C98</f>
        <v>0</v>
      </c>
      <c r="D112" s="313">
        <f>CS!D98</f>
        <v>0</v>
      </c>
      <c r="E112" s="313">
        <f>CS!E98</f>
        <v>0</v>
      </c>
      <c r="F112" s="313">
        <f>CS!F98</f>
        <v>0</v>
      </c>
      <c r="G112" s="313">
        <f>CS!G98</f>
        <v>0</v>
      </c>
      <c r="H112" s="313">
        <f>CS!H98</f>
        <v>0</v>
      </c>
      <c r="I112" s="313">
        <f>CS!I98</f>
        <v>0</v>
      </c>
      <c r="J112" s="159">
        <f>CS!J98</f>
        <v>0</v>
      </c>
      <c r="K112" s="159">
        <f>CS!K98</f>
        <v>0</v>
      </c>
      <c r="L112" s="159">
        <f>CS!L98</f>
        <v>0</v>
      </c>
      <c r="M112" s="274"/>
      <c r="N112" s="159"/>
      <c r="O112" s="159"/>
      <c r="P112" s="161"/>
      <c r="Q112" s="27"/>
      <c r="R112" s="27"/>
      <c r="S112" s="27"/>
      <c r="U112" s="27"/>
    </row>
    <row r="113" spans="1:28">
      <c r="A113" s="210"/>
      <c r="B113" s="313"/>
      <c r="C113" s="313"/>
      <c r="D113" s="313"/>
      <c r="E113" s="313"/>
      <c r="F113" s="313"/>
      <c r="G113" s="313"/>
      <c r="H113" s="313"/>
      <c r="I113" s="313"/>
      <c r="J113" s="159"/>
      <c r="K113" s="159"/>
      <c r="L113" s="159"/>
      <c r="M113" s="274"/>
      <c r="N113" s="159"/>
      <c r="O113" s="159"/>
      <c r="P113" s="161"/>
      <c r="Q113" s="27"/>
      <c r="R113" s="27"/>
      <c r="S113" s="27"/>
      <c r="U113" s="27"/>
    </row>
    <row r="114" spans="1:28" ht="18.75">
      <c r="A114" s="306" t="s">
        <v>181</v>
      </c>
      <c r="B114" s="313"/>
      <c r="C114" s="313"/>
      <c r="D114" s="313"/>
      <c r="E114" s="313"/>
      <c r="F114" s="313"/>
      <c r="G114" s="313"/>
      <c r="H114" s="313"/>
      <c r="I114" s="313"/>
      <c r="J114" s="159"/>
      <c r="K114" s="159"/>
      <c r="L114" s="159"/>
      <c r="M114" s="274"/>
      <c r="N114" s="159"/>
      <c r="O114" s="159"/>
      <c r="P114" s="161"/>
      <c r="Q114" s="27"/>
      <c r="R114" s="27"/>
      <c r="S114" s="27"/>
      <c r="U114" s="27"/>
    </row>
    <row r="115" spans="1:28" s="19" customFormat="1">
      <c r="A115" s="307" t="s">
        <v>100</v>
      </c>
      <c r="B115" s="117">
        <f>+DS!B19</f>
        <v>2419353</v>
      </c>
      <c r="C115" s="117">
        <f>+DS!C19</f>
        <v>2548898</v>
      </c>
      <c r="D115" s="117">
        <f>+DS!D19</f>
        <v>2526055</v>
      </c>
      <c r="E115" s="117">
        <f>+DS!E19</f>
        <v>1880044</v>
      </c>
      <c r="F115" s="117">
        <f>+DS!F19</f>
        <v>2403192</v>
      </c>
      <c r="G115" s="117">
        <f>+DS!G19</f>
        <v>3074904</v>
      </c>
      <c r="H115" s="117">
        <f>+DS!H19</f>
        <v>3348110</v>
      </c>
      <c r="I115" s="117">
        <f>+DS!I19</f>
        <v>3414726</v>
      </c>
      <c r="J115" s="117">
        <f>+DS!J19</f>
        <v>3632285</v>
      </c>
      <c r="K115" s="117">
        <f>+DS!K19</f>
        <v>4040885</v>
      </c>
      <c r="L115" s="117">
        <f>+DS!L19</f>
        <v>3135765</v>
      </c>
      <c r="M115" s="274"/>
      <c r="N115" s="117"/>
      <c r="O115" s="117"/>
      <c r="P115" s="155"/>
      <c r="Q115" s="27">
        <v>4055001</v>
      </c>
      <c r="R115" s="27">
        <v>3735279</v>
      </c>
      <c r="S115" s="27">
        <v>3878480</v>
      </c>
      <c r="T115" s="113"/>
      <c r="U115" s="27">
        <v>3878480</v>
      </c>
      <c r="V115" s="171"/>
      <c r="W115" s="184">
        <f>+Q115-J115</f>
        <v>422716</v>
      </c>
      <c r="X115" s="184">
        <f>+R115-K115</f>
        <v>-305606</v>
      </c>
      <c r="Y115" s="184">
        <f>+S115-L115</f>
        <v>742715</v>
      </c>
      <c r="AA115" s="190"/>
      <c r="AB115" s="245"/>
    </row>
    <row r="116" spans="1:28" s="19" customFormat="1">
      <c r="A116" s="151" t="s">
        <v>93</v>
      </c>
      <c r="B116" s="117">
        <f>+DS!B20</f>
        <v>0</v>
      </c>
      <c r="C116" s="117">
        <f>+DS!C20</f>
        <v>0</v>
      </c>
      <c r="D116" s="117">
        <f>+DS!D20</f>
        <v>0</v>
      </c>
      <c r="E116" s="117">
        <f>+DS!E20</f>
        <v>0</v>
      </c>
      <c r="F116" s="117">
        <f>+DS!F20</f>
        <v>0</v>
      </c>
      <c r="G116" s="117">
        <f>+DS!G20</f>
        <v>0</v>
      </c>
      <c r="H116" s="117">
        <f>+DS!H20</f>
        <v>0</v>
      </c>
      <c r="I116" s="117">
        <f>+DS!I20</f>
        <v>0</v>
      </c>
      <c r="J116" s="117">
        <f>+DS!J20</f>
        <v>0</v>
      </c>
      <c r="K116" s="117">
        <f>+DS!K20</f>
        <v>0</v>
      </c>
      <c r="L116" s="117">
        <f>+[2]DS!L20</f>
        <v>0</v>
      </c>
      <c r="M116" s="274"/>
      <c r="N116" s="117"/>
      <c r="O116" s="117"/>
      <c r="P116" s="155"/>
      <c r="Q116" s="27"/>
      <c r="R116" s="27"/>
      <c r="S116" s="27"/>
      <c r="T116" s="113"/>
      <c r="U116" s="27"/>
      <c r="V116" s="171"/>
      <c r="W116" s="184"/>
      <c r="X116" s="184"/>
      <c r="Y116" s="184"/>
      <c r="AA116" s="190"/>
      <c r="AB116" s="245"/>
    </row>
    <row r="117" spans="1:28" s="19" customFormat="1">
      <c r="A117" s="152" t="s">
        <v>155</v>
      </c>
      <c r="B117" s="117">
        <f>+DS!B21</f>
        <v>0</v>
      </c>
      <c r="C117" s="117">
        <f>+DS!C21</f>
        <v>0</v>
      </c>
      <c r="D117" s="117">
        <f>+DS!D21</f>
        <v>0</v>
      </c>
      <c r="E117" s="117">
        <f>+DS!E21</f>
        <v>0</v>
      </c>
      <c r="F117" s="117">
        <f>+DS!F21</f>
        <v>0</v>
      </c>
      <c r="G117" s="117">
        <f>+DS!G21</f>
        <v>0</v>
      </c>
      <c r="H117" s="117">
        <f>+DS!H21</f>
        <v>0</v>
      </c>
      <c r="I117" s="117">
        <f>+DS!I21</f>
        <v>0</v>
      </c>
      <c r="J117" s="117">
        <f>+DS!J21</f>
        <v>0</v>
      </c>
      <c r="K117" s="117">
        <f>+DS!K21</f>
        <v>0</v>
      </c>
      <c r="L117" s="117">
        <f>+[2]DS!L21</f>
        <v>0</v>
      </c>
      <c r="M117" s="274"/>
      <c r="N117" s="117"/>
      <c r="O117" s="117"/>
      <c r="P117" s="155"/>
      <c r="Q117" s="27"/>
      <c r="R117" s="27"/>
      <c r="S117" s="27"/>
      <c r="T117" s="113"/>
      <c r="U117" s="27"/>
      <c r="V117" s="171"/>
      <c r="W117" s="184"/>
      <c r="X117" s="184"/>
      <c r="Y117" s="184"/>
      <c r="AA117" s="190"/>
      <c r="AB117" s="245"/>
    </row>
    <row r="118" spans="1:28" s="19" customFormat="1">
      <c r="A118" s="310" t="s">
        <v>83</v>
      </c>
      <c r="B118" s="117">
        <f>+DS!B22</f>
        <v>0</v>
      </c>
      <c r="C118" s="117">
        <f>+DS!C22</f>
        <v>0</v>
      </c>
      <c r="D118" s="117">
        <f>+DS!D22</f>
        <v>0</v>
      </c>
      <c r="E118" s="117">
        <f>+DS!E22</f>
        <v>0</v>
      </c>
      <c r="F118" s="117">
        <f>+DS!F22</f>
        <v>0</v>
      </c>
      <c r="G118" s="117">
        <f>+DS!G22</f>
        <v>0</v>
      </c>
      <c r="H118" s="117">
        <f>+DS!H22</f>
        <v>0</v>
      </c>
      <c r="I118" s="117">
        <f>+DS!I22</f>
        <v>0</v>
      </c>
      <c r="J118" s="117">
        <f>+DS!J22</f>
        <v>0</v>
      </c>
      <c r="K118" s="117">
        <f>+DS!K22</f>
        <v>0</v>
      </c>
      <c r="L118" s="117">
        <f>+[2]DS!L22</f>
        <v>0</v>
      </c>
      <c r="M118" s="274"/>
      <c r="N118" s="117"/>
      <c r="O118" s="117"/>
      <c r="P118" s="155"/>
      <c r="Q118" s="27"/>
      <c r="R118" s="27"/>
      <c r="S118" s="27"/>
      <c r="T118" s="113"/>
      <c r="U118" s="27"/>
      <c r="V118" s="171"/>
      <c r="W118" s="184"/>
      <c r="X118" s="184"/>
      <c r="Y118" s="184"/>
      <c r="AA118" s="190"/>
      <c r="AB118" s="245"/>
    </row>
    <row r="119" spans="1:28" s="19" customFormat="1" ht="16.5" thickBot="1">
      <c r="A119" s="153" t="s">
        <v>157</v>
      </c>
      <c r="B119" s="69">
        <f>+DS!B23</f>
        <v>0</v>
      </c>
      <c r="C119" s="69">
        <f>+DS!C23</f>
        <v>0</v>
      </c>
      <c r="D119" s="69">
        <f>+DS!D23</f>
        <v>0</v>
      </c>
      <c r="E119" s="69">
        <f>+DS!E23</f>
        <v>0</v>
      </c>
      <c r="F119" s="69">
        <f>+DS!F23</f>
        <v>0</v>
      </c>
      <c r="G119" s="69">
        <f>+DS!G23</f>
        <v>0</v>
      </c>
      <c r="H119" s="69">
        <f>+DS!H23</f>
        <v>0</v>
      </c>
      <c r="I119" s="69">
        <f>+DS!I23</f>
        <v>0</v>
      </c>
      <c r="J119" s="69">
        <f>+DS!J23</f>
        <v>0</v>
      </c>
      <c r="K119" s="69">
        <f>+DS!K23</f>
        <v>0</v>
      </c>
      <c r="L119" s="69">
        <f>+[2]DS!L23</f>
        <v>0</v>
      </c>
      <c r="M119" s="274"/>
      <c r="N119" s="69"/>
      <c r="O119" s="69"/>
      <c r="P119" s="169"/>
      <c r="Q119" s="27"/>
      <c r="R119" s="27"/>
      <c r="S119" s="27"/>
      <c r="T119" s="113"/>
      <c r="U119" s="27"/>
      <c r="V119" s="171"/>
      <c r="W119" s="184"/>
      <c r="X119" s="184"/>
      <c r="Y119" s="184"/>
      <c r="AA119" s="190"/>
      <c r="AB119" s="245"/>
    </row>
    <row r="120" spans="1:28" s="19" customFormat="1">
      <c r="A120" s="312" t="s">
        <v>123</v>
      </c>
      <c r="B120" s="117">
        <f t="shared" ref="B120:L120" si="39">SUM(B115:B119)</f>
        <v>2419353</v>
      </c>
      <c r="C120" s="117">
        <f t="shared" si="39"/>
        <v>2548898</v>
      </c>
      <c r="D120" s="117">
        <f t="shared" si="39"/>
        <v>2526055</v>
      </c>
      <c r="E120" s="117">
        <f t="shared" si="39"/>
        <v>1880044</v>
      </c>
      <c r="F120" s="117">
        <f t="shared" si="39"/>
        <v>2403192</v>
      </c>
      <c r="G120" s="117">
        <f t="shared" si="39"/>
        <v>3074904</v>
      </c>
      <c r="H120" s="117">
        <f t="shared" si="39"/>
        <v>3348110</v>
      </c>
      <c r="I120" s="117">
        <f t="shared" si="39"/>
        <v>3414726</v>
      </c>
      <c r="J120" s="117">
        <f t="shared" si="39"/>
        <v>3632285</v>
      </c>
      <c r="K120" s="117">
        <f t="shared" si="39"/>
        <v>4040885</v>
      </c>
      <c r="L120" s="117">
        <f t="shared" si="39"/>
        <v>3135765</v>
      </c>
      <c r="M120" s="274"/>
      <c r="N120" s="117"/>
      <c r="O120" s="117"/>
      <c r="P120" s="155"/>
      <c r="Q120" s="27"/>
      <c r="R120" s="27"/>
      <c r="S120" s="27"/>
      <c r="T120" s="113"/>
      <c r="U120" s="27"/>
      <c r="V120" s="171"/>
      <c r="W120" s="184"/>
      <c r="X120" s="184"/>
      <c r="Y120" s="184"/>
      <c r="AA120" s="190"/>
      <c r="AB120" s="245"/>
    </row>
    <row r="121" spans="1:28" s="19" customFormat="1">
      <c r="A121" s="312" t="s">
        <v>179</v>
      </c>
      <c r="B121" s="159">
        <f>DS!B34</f>
        <v>29.25</v>
      </c>
      <c r="C121" s="159">
        <f>DS!C34</f>
        <v>23.75</v>
      </c>
      <c r="D121" s="159">
        <f>DS!D34</f>
        <v>23.75</v>
      </c>
      <c r="E121" s="159">
        <f>DS!E34</f>
        <v>23.75</v>
      </c>
      <c r="F121" s="159">
        <f>DS!F34</f>
        <v>23.43</v>
      </c>
      <c r="G121" s="159">
        <f>DS!G34</f>
        <v>23.98</v>
      </c>
      <c r="H121" s="159">
        <f>DS!H34</f>
        <v>26.43</v>
      </c>
      <c r="I121" s="159">
        <f>DS!I34</f>
        <v>29.18</v>
      </c>
      <c r="J121" s="159">
        <f>DS!J34</f>
        <v>28.375</v>
      </c>
      <c r="K121" s="159">
        <f>DS!K34</f>
        <v>29.375</v>
      </c>
      <c r="L121" s="159">
        <f>DS!L34</f>
        <v>29.375</v>
      </c>
      <c r="M121" s="274"/>
      <c r="N121" s="159"/>
      <c r="O121" s="159"/>
      <c r="P121" s="161"/>
      <c r="Q121" s="28">
        <f>DS!J34</f>
        <v>28.375</v>
      </c>
      <c r="R121" s="28"/>
      <c r="S121" s="28"/>
      <c r="T121" s="113"/>
      <c r="U121" s="27"/>
      <c r="V121" s="171"/>
      <c r="W121" s="183"/>
      <c r="X121" s="183"/>
      <c r="Y121" s="183"/>
      <c r="AA121" s="190"/>
      <c r="AB121" s="245"/>
    </row>
    <row r="122" spans="1:28" s="19" customFormat="1">
      <c r="A122" s="312"/>
      <c r="B122" s="159"/>
      <c r="C122" s="159"/>
      <c r="D122" s="159"/>
      <c r="E122" s="159"/>
      <c r="F122" s="159"/>
      <c r="G122" s="159"/>
      <c r="H122" s="159"/>
      <c r="I122" s="159"/>
      <c r="J122" s="159"/>
      <c r="K122" s="159"/>
      <c r="L122" s="159"/>
      <c r="M122" s="274"/>
      <c r="N122" s="159"/>
      <c r="O122" s="159"/>
      <c r="P122" s="161"/>
      <c r="Q122" s="28"/>
      <c r="R122" s="28"/>
      <c r="S122" s="28"/>
      <c r="T122" s="113"/>
      <c r="U122" s="27"/>
      <c r="V122" s="171"/>
      <c r="W122" s="183"/>
      <c r="X122" s="183"/>
      <c r="Y122" s="183"/>
      <c r="AA122" s="190"/>
      <c r="AB122" s="245"/>
    </row>
    <row r="123" spans="1:28" s="19" customFormat="1" ht="18.75">
      <c r="A123" s="306" t="s">
        <v>182</v>
      </c>
      <c r="B123" s="159"/>
      <c r="C123" s="159"/>
      <c r="D123" s="159"/>
      <c r="E123" s="159"/>
      <c r="F123" s="159"/>
      <c r="G123" s="159"/>
      <c r="H123" s="159"/>
      <c r="I123" s="159"/>
      <c r="J123" s="159"/>
      <c r="K123" s="159"/>
      <c r="L123" s="159"/>
      <c r="M123" s="274"/>
      <c r="N123" s="159"/>
      <c r="O123" s="159"/>
      <c r="P123" s="161"/>
      <c r="Q123" s="28"/>
      <c r="R123" s="28"/>
      <c r="S123" s="28"/>
      <c r="T123" s="113"/>
      <c r="U123" s="27"/>
      <c r="V123" s="171"/>
      <c r="W123" s="183"/>
      <c r="X123" s="183"/>
      <c r="Y123" s="183"/>
      <c r="AA123" s="190"/>
      <c r="AB123" s="245"/>
    </row>
    <row r="124" spans="1:28">
      <c r="A124" s="307" t="s">
        <v>100</v>
      </c>
      <c r="B124" s="117">
        <f>+ED!B15</f>
        <v>138175</v>
      </c>
      <c r="C124" s="117">
        <f>+ED!C15</f>
        <v>492384</v>
      </c>
      <c r="D124" s="117">
        <f>+ED!D15</f>
        <v>968122</v>
      </c>
      <c r="E124" s="117">
        <f>+ED!E15</f>
        <v>1275952</v>
      </c>
      <c r="F124" s="117">
        <f>+ED!F15</f>
        <v>1824776</v>
      </c>
      <c r="G124" s="117">
        <f>+ED!G15</f>
        <v>5071156</v>
      </c>
      <c r="H124" s="117">
        <f>+ED!H15</f>
        <v>2749680</v>
      </c>
      <c r="I124" s="117">
        <f>+ED!I15</f>
        <v>2627052</v>
      </c>
      <c r="J124" s="117">
        <f>+ED!J15</f>
        <v>1766951</v>
      </c>
      <c r="K124" s="117">
        <f>+ED!K15</f>
        <v>2109215</v>
      </c>
      <c r="L124" s="117">
        <f>+ED!L15</f>
        <v>1512339</v>
      </c>
      <c r="M124" s="274"/>
      <c r="N124" s="117"/>
      <c r="O124" s="117"/>
      <c r="P124" s="155"/>
      <c r="Q124" s="27">
        <v>1646521</v>
      </c>
      <c r="R124" s="27">
        <v>1220794</v>
      </c>
      <c r="S124" s="27">
        <v>1301029</v>
      </c>
      <c r="U124" s="27">
        <v>1301029</v>
      </c>
      <c r="W124" s="184">
        <f>+Q124-J124</f>
        <v>-120430</v>
      </c>
      <c r="X124" s="184">
        <f>+R124-K124</f>
        <v>-888421</v>
      </c>
      <c r="Y124" s="184">
        <f>+S124-L124</f>
        <v>-211310</v>
      </c>
    </row>
    <row r="125" spans="1:28">
      <c r="A125" s="151" t="s">
        <v>93</v>
      </c>
      <c r="B125" s="117">
        <f>+ED!B16</f>
        <v>0</v>
      </c>
      <c r="C125" s="117">
        <f>+ED!C16</f>
        <v>0</v>
      </c>
      <c r="D125" s="117">
        <f>+ED!D16</f>
        <v>0</v>
      </c>
      <c r="E125" s="117">
        <f>+ED!E16</f>
        <v>0</v>
      </c>
      <c r="F125" s="117">
        <f>+ED!F16</f>
        <v>0</v>
      </c>
      <c r="G125" s="117">
        <f>+ED!G16</f>
        <v>0</v>
      </c>
      <c r="H125" s="117">
        <f>+ED!H16</f>
        <v>0</v>
      </c>
      <c r="I125" s="117">
        <f>+ED!I16</f>
        <v>0</v>
      </c>
      <c r="J125" s="117">
        <f>+ED!J16</f>
        <v>0</v>
      </c>
      <c r="K125" s="117">
        <f>+ED!K16</f>
        <v>0</v>
      </c>
      <c r="L125" s="117">
        <f>+[2]ED!L19</f>
        <v>0</v>
      </c>
      <c r="M125" s="274"/>
      <c r="N125" s="117"/>
      <c r="O125" s="117"/>
      <c r="P125" s="155"/>
      <c r="Q125" s="27"/>
      <c r="R125" s="27"/>
      <c r="S125" s="27"/>
      <c r="U125" s="27"/>
      <c r="W125" s="184"/>
      <c r="X125" s="184"/>
      <c r="Y125" s="184"/>
    </row>
    <row r="126" spans="1:28">
      <c r="A126" s="152" t="s">
        <v>155</v>
      </c>
      <c r="B126" s="117">
        <f>+ED!B17</f>
        <v>0</v>
      </c>
      <c r="C126" s="117">
        <f>+ED!C17</f>
        <v>0</v>
      </c>
      <c r="D126" s="117">
        <f>+ED!D17</f>
        <v>0</v>
      </c>
      <c r="E126" s="117">
        <f>+ED!E17</f>
        <v>0</v>
      </c>
      <c r="F126" s="117">
        <f>+ED!F17</f>
        <v>0</v>
      </c>
      <c r="G126" s="117">
        <f>+ED!G17</f>
        <v>0</v>
      </c>
      <c r="H126" s="117">
        <f>+ED!H17</f>
        <v>0</v>
      </c>
      <c r="I126" s="117">
        <f>+ED!I17</f>
        <v>0</v>
      </c>
      <c r="J126" s="117">
        <f>+ED!J17</f>
        <v>0</v>
      </c>
      <c r="K126" s="117">
        <f>+ED!K17</f>
        <v>0</v>
      </c>
      <c r="L126" s="117">
        <f>+[2]ED!L20</f>
        <v>0</v>
      </c>
      <c r="M126" s="274"/>
      <c r="N126" s="117"/>
      <c r="O126" s="117"/>
      <c r="P126" s="155"/>
      <c r="Q126" s="27"/>
      <c r="R126" s="27"/>
      <c r="S126" s="27"/>
      <c r="U126" s="27"/>
      <c r="W126" s="184"/>
      <c r="X126" s="184"/>
      <c r="Y126" s="184"/>
    </row>
    <row r="127" spans="1:28" ht="16.5" thickBot="1">
      <c r="A127" s="310" t="s">
        <v>83</v>
      </c>
      <c r="B127" s="117">
        <f>+ED!B18</f>
        <v>0</v>
      </c>
      <c r="C127" s="117">
        <f>+ED!C18</f>
        <v>117129</v>
      </c>
      <c r="D127" s="117">
        <f>+ED!D18</f>
        <v>277274</v>
      </c>
      <c r="E127" s="117">
        <f>+ED!E18</f>
        <v>494701</v>
      </c>
      <c r="F127" s="117">
        <f>+ED!F18</f>
        <v>759006</v>
      </c>
      <c r="G127" s="117">
        <f>+ED!G18</f>
        <v>1824347</v>
      </c>
      <c r="H127" s="117">
        <f>+ED!H18</f>
        <v>4149754</v>
      </c>
      <c r="I127" s="117">
        <f>+ED!I18</f>
        <v>2062438</v>
      </c>
      <c r="J127" s="117">
        <f>+ED!J18</f>
        <v>1337481</v>
      </c>
      <c r="K127" s="117">
        <f>+ED!K18</f>
        <v>1117488</v>
      </c>
      <c r="L127" s="117">
        <f>+ED!L18</f>
        <v>997524</v>
      </c>
      <c r="M127" s="274"/>
      <c r="N127" s="117"/>
      <c r="O127" s="117"/>
      <c r="P127" s="155"/>
      <c r="Q127" s="69">
        <v>940523</v>
      </c>
      <c r="R127" s="69">
        <v>1582787</v>
      </c>
      <c r="S127" s="69">
        <v>1452408</v>
      </c>
      <c r="U127" s="69">
        <v>1452408</v>
      </c>
      <c r="W127" s="184">
        <f>+Q127-J127</f>
        <v>-396958</v>
      </c>
      <c r="X127" s="184">
        <f>+R127-K127</f>
        <v>465299</v>
      </c>
      <c r="Y127" s="184">
        <f>+S127-L127</f>
        <v>454884</v>
      </c>
    </row>
    <row r="128" spans="1:28" ht="16.5" thickBot="1">
      <c r="A128" s="153" t="s">
        <v>157</v>
      </c>
      <c r="B128" s="69">
        <f>+ED!B19</f>
        <v>0</v>
      </c>
      <c r="C128" s="69">
        <f>+ED!C19</f>
        <v>0</v>
      </c>
      <c r="D128" s="69">
        <f>+ED!D19</f>
        <v>0</v>
      </c>
      <c r="E128" s="69">
        <f>+ED!E19</f>
        <v>0</v>
      </c>
      <c r="F128" s="69">
        <f>+ED!F19</f>
        <v>0</v>
      </c>
      <c r="G128" s="69">
        <f>+ED!G19</f>
        <v>0</v>
      </c>
      <c r="H128" s="69">
        <f>+ED!H19</f>
        <v>0</v>
      </c>
      <c r="I128" s="69">
        <f>+ED!I19</f>
        <v>0</v>
      </c>
      <c r="J128" s="69">
        <f>+ED!J19</f>
        <v>0</v>
      </c>
      <c r="K128" s="69">
        <f>+ED!K19</f>
        <v>0</v>
      </c>
      <c r="L128" s="69">
        <f>+[2]ED!L22</f>
        <v>0</v>
      </c>
      <c r="M128" s="274"/>
      <c r="N128" s="69"/>
      <c r="O128" s="69"/>
      <c r="P128" s="169"/>
      <c r="Q128" s="117"/>
      <c r="R128" s="117"/>
      <c r="S128" s="117"/>
      <c r="U128" s="117"/>
      <c r="W128" s="184"/>
      <c r="X128" s="184"/>
      <c r="Y128" s="184"/>
    </row>
    <row r="129" spans="1:28">
      <c r="A129" s="312" t="s">
        <v>123</v>
      </c>
      <c r="B129" s="117">
        <f>B124+B127</f>
        <v>138175</v>
      </c>
      <c r="C129" s="117">
        <f t="shared" ref="C129:L129" si="40">C124+C127</f>
        <v>609513</v>
      </c>
      <c r="D129" s="117">
        <f t="shared" si="40"/>
        <v>1245396</v>
      </c>
      <c r="E129" s="117">
        <f t="shared" si="40"/>
        <v>1770653</v>
      </c>
      <c r="F129" s="117">
        <f t="shared" si="40"/>
        <v>2583782</v>
      </c>
      <c r="G129" s="117">
        <f t="shared" si="40"/>
        <v>6895503</v>
      </c>
      <c r="H129" s="117">
        <f t="shared" si="40"/>
        <v>6899434</v>
      </c>
      <c r="I129" s="117">
        <f t="shared" si="40"/>
        <v>4689490</v>
      </c>
      <c r="J129" s="117">
        <f t="shared" si="40"/>
        <v>3104432</v>
      </c>
      <c r="K129" s="117">
        <f t="shared" si="40"/>
        <v>3226703</v>
      </c>
      <c r="L129" s="117">
        <f t="shared" si="40"/>
        <v>2509863</v>
      </c>
      <c r="M129" s="274"/>
      <c r="N129" s="117"/>
      <c r="O129" s="117"/>
      <c r="P129" s="155"/>
      <c r="Q129" s="27">
        <f>SUM(Q124:Q127)</f>
        <v>2587044</v>
      </c>
      <c r="R129" s="27">
        <f>SUM(R124:R127)</f>
        <v>2803581</v>
      </c>
      <c r="S129" s="27">
        <f>SUM(S124:S127)</f>
        <v>2753437</v>
      </c>
      <c r="U129" s="27">
        <f>SUM(U124:U127)</f>
        <v>2753437</v>
      </c>
    </row>
    <row r="130" spans="1:28">
      <c r="A130" s="312" t="s">
        <v>179</v>
      </c>
      <c r="B130" s="159">
        <f>ED!B28</f>
        <v>1.5</v>
      </c>
      <c r="C130" s="159">
        <f>ED!C28</f>
        <v>1</v>
      </c>
      <c r="D130" s="159">
        <f>ED!D28</f>
        <v>4.63</v>
      </c>
      <c r="E130" s="159">
        <f>ED!E28</f>
        <v>4.63</v>
      </c>
      <c r="F130" s="159">
        <f>ED!F28</f>
        <v>6.63</v>
      </c>
      <c r="G130" s="159">
        <f>ED!G28</f>
        <v>7.5</v>
      </c>
      <c r="H130" s="159">
        <f>ED!H28</f>
        <v>7.5</v>
      </c>
      <c r="I130" s="159">
        <f>ED!I28</f>
        <v>8</v>
      </c>
      <c r="J130" s="159">
        <f>ED!J28</f>
        <v>8</v>
      </c>
      <c r="K130" s="159">
        <f>ED!K28</f>
        <v>8</v>
      </c>
      <c r="L130" s="159">
        <f>[2]ED!L66</f>
        <v>8</v>
      </c>
      <c r="M130" s="274"/>
      <c r="N130" s="159"/>
      <c r="O130" s="159"/>
      <c r="P130" s="161"/>
      <c r="S130" s="19"/>
      <c r="U130" s="27"/>
    </row>
    <row r="131" spans="1:28">
      <c r="A131" s="210"/>
      <c r="B131" s="159"/>
      <c r="C131" s="159"/>
      <c r="D131" s="159"/>
      <c r="E131" s="159"/>
      <c r="F131" s="159"/>
      <c r="G131" s="159"/>
      <c r="H131" s="159"/>
      <c r="I131" s="159"/>
      <c r="J131" s="159"/>
      <c r="K131" s="159"/>
      <c r="L131" s="159"/>
      <c r="M131" s="274"/>
      <c r="N131" s="159"/>
      <c r="O131" s="159"/>
      <c r="P131" s="161"/>
      <c r="Q131" s="140">
        <f>+Q127-J127</f>
        <v>-396958</v>
      </c>
      <c r="S131" s="19"/>
      <c r="U131" s="27"/>
    </row>
    <row r="132" spans="1:28" ht="18.75">
      <c r="A132" s="306" t="s">
        <v>33</v>
      </c>
      <c r="B132" s="159"/>
      <c r="C132" s="159"/>
      <c r="D132" s="159"/>
      <c r="E132" s="159"/>
      <c r="F132" s="159"/>
      <c r="G132" s="159"/>
      <c r="H132" s="159"/>
      <c r="I132" s="159"/>
      <c r="J132" s="159"/>
      <c r="K132" s="159"/>
      <c r="L132" s="159"/>
      <c r="M132" s="274"/>
      <c r="N132" s="159"/>
      <c r="O132" s="159"/>
      <c r="P132" s="161"/>
      <c r="Q132" s="140"/>
      <c r="S132" s="19"/>
      <c r="U132" s="27"/>
    </row>
    <row r="133" spans="1:28">
      <c r="A133" s="307" t="s">
        <v>100</v>
      </c>
      <c r="B133" s="117">
        <f>+FIN!B15</f>
        <v>1730612</v>
      </c>
      <c r="C133" s="117">
        <f>+FIN!C15</f>
        <v>1311393</v>
      </c>
      <c r="D133" s="117">
        <f>+FIN!D15</f>
        <v>3607144</v>
      </c>
      <c r="E133" s="117">
        <f>+FIN!E15</f>
        <v>3728933</v>
      </c>
      <c r="F133" s="117">
        <f>+FIN!F15</f>
        <v>4221458</v>
      </c>
      <c r="G133" s="117">
        <f>+FIN!G15</f>
        <v>4730495</v>
      </c>
      <c r="H133" s="117">
        <f>+FIN!H15</f>
        <v>4677191</v>
      </c>
      <c r="I133" s="117">
        <f>+FIN!I15</f>
        <v>5095909</v>
      </c>
      <c r="J133" s="117">
        <f>+FIN!J15</f>
        <v>5963225</v>
      </c>
      <c r="K133" s="117">
        <f>+FIN!K15</f>
        <v>6881917</v>
      </c>
      <c r="L133" s="117">
        <f>+FIN!L15</f>
        <v>5795486</v>
      </c>
      <c r="M133" s="274"/>
      <c r="N133" s="117"/>
      <c r="O133" s="117"/>
      <c r="P133" s="155"/>
      <c r="Q133" s="27">
        <v>5146315</v>
      </c>
      <c r="R133" s="27">
        <v>5935457</v>
      </c>
      <c r="S133" s="27">
        <v>6913073</v>
      </c>
      <c r="U133" s="27">
        <v>6913073</v>
      </c>
      <c r="W133" s="184">
        <f>+Q133-J133</f>
        <v>-816910</v>
      </c>
      <c r="X133" s="184">
        <f>+R133-K133</f>
        <v>-946460</v>
      </c>
      <c r="Y133" s="184">
        <f>+S133-L133</f>
        <v>1117587</v>
      </c>
    </row>
    <row r="134" spans="1:28">
      <c r="A134" s="151" t="s">
        <v>93</v>
      </c>
      <c r="B134" s="117">
        <f>+FIN!B16</f>
        <v>0</v>
      </c>
      <c r="C134" s="117">
        <f>+FIN!C16</f>
        <v>0</v>
      </c>
      <c r="D134" s="117">
        <f>+FIN!D16</f>
        <v>0</v>
      </c>
      <c r="E134" s="117">
        <f>+FIN!E16</f>
        <v>0</v>
      </c>
      <c r="F134" s="117">
        <f>+FIN!F16</f>
        <v>0</v>
      </c>
      <c r="G134" s="117">
        <f>+FIN!G16</f>
        <v>0</v>
      </c>
      <c r="H134" s="117">
        <f>+FIN!H16</f>
        <v>0</v>
      </c>
      <c r="I134" s="117">
        <f>+FIN!I16</f>
        <v>0</v>
      </c>
      <c r="J134" s="117">
        <f>+FIN!J16</f>
        <v>0</v>
      </c>
      <c r="K134" s="117">
        <f>+FIN!K16</f>
        <v>0</v>
      </c>
      <c r="L134" s="117">
        <f>+[2]FIN!L22</f>
        <v>0</v>
      </c>
      <c r="M134" s="274"/>
      <c r="N134" s="117"/>
      <c r="O134" s="117"/>
      <c r="P134" s="155"/>
      <c r="Q134" s="27"/>
      <c r="R134" s="27"/>
      <c r="S134" s="27"/>
      <c r="U134" s="27"/>
      <c r="W134" s="184"/>
      <c r="X134" s="184"/>
      <c r="Y134" s="184"/>
    </row>
    <row r="135" spans="1:28" ht="16.5" thickBot="1">
      <c r="A135" s="152" t="s">
        <v>155</v>
      </c>
      <c r="B135" s="117">
        <f>+FIN!B17</f>
        <v>1969044</v>
      </c>
      <c r="C135" s="117">
        <f>+FIN!C17</f>
        <v>1851784</v>
      </c>
      <c r="D135" s="117">
        <f>+FIN!D17</f>
        <v>0</v>
      </c>
      <c r="E135" s="117">
        <f>+FIN!E17</f>
        <v>0</v>
      </c>
      <c r="F135" s="117">
        <f>+FIN!F17</f>
        <v>0</v>
      </c>
      <c r="G135" s="117">
        <f>+FIN!G17</f>
        <v>0</v>
      </c>
      <c r="H135" s="117">
        <f>+FIN!H17</f>
        <v>0</v>
      </c>
      <c r="I135" s="117">
        <f>+FIN!I17</f>
        <v>0</v>
      </c>
      <c r="J135" s="117">
        <f>+FIN!J17</f>
        <v>0</v>
      </c>
      <c r="K135" s="117">
        <f>+FIN!K17</f>
        <v>0</v>
      </c>
      <c r="L135" s="117">
        <f>+[2]FIN!L23</f>
        <v>0</v>
      </c>
      <c r="M135" s="274"/>
      <c r="N135" s="117"/>
      <c r="O135" s="117"/>
      <c r="P135" s="155"/>
      <c r="Q135" s="69"/>
      <c r="R135" s="69"/>
      <c r="S135" s="69"/>
      <c r="U135" s="69"/>
    </row>
    <row r="136" spans="1:28">
      <c r="A136" s="310" t="s">
        <v>83</v>
      </c>
      <c r="B136" s="117">
        <f>+FIN!B18</f>
        <v>0</v>
      </c>
      <c r="C136" s="117">
        <f>+FIN!C18</f>
        <v>0</v>
      </c>
      <c r="D136" s="117">
        <f>+FIN!D18</f>
        <v>0</v>
      </c>
      <c r="E136" s="117">
        <f>+FIN!E18</f>
        <v>0</v>
      </c>
      <c r="F136" s="117">
        <f>+FIN!F18</f>
        <v>0</v>
      </c>
      <c r="G136" s="117">
        <f>+FIN!G18</f>
        <v>0</v>
      </c>
      <c r="H136" s="117">
        <f>+FIN!H18</f>
        <v>0</v>
      </c>
      <c r="I136" s="117">
        <f>+FIN!I18</f>
        <v>0</v>
      </c>
      <c r="J136" s="117">
        <f>+FIN!J18</f>
        <v>0</v>
      </c>
      <c r="K136" s="117">
        <f>+FIN!K18</f>
        <v>0</v>
      </c>
      <c r="L136" s="117">
        <f>+[2]FIN!L24</f>
        <v>0</v>
      </c>
      <c r="M136" s="274"/>
      <c r="N136" s="117"/>
      <c r="O136" s="117"/>
      <c r="P136" s="155"/>
      <c r="Q136" s="117"/>
      <c r="R136" s="117"/>
      <c r="S136" s="117"/>
      <c r="U136" s="117"/>
    </row>
    <row r="137" spans="1:28" ht="16.5" thickBot="1">
      <c r="A137" s="153" t="s">
        <v>157</v>
      </c>
      <c r="B137" s="69">
        <f>+FIN!B19</f>
        <v>0</v>
      </c>
      <c r="C137" s="69">
        <f>+FIN!C19</f>
        <v>0</v>
      </c>
      <c r="D137" s="69">
        <f>+FIN!D19</f>
        <v>0</v>
      </c>
      <c r="E137" s="69">
        <f>+FIN!E19</f>
        <v>0</v>
      </c>
      <c r="F137" s="69">
        <f>+FIN!F19</f>
        <v>0</v>
      </c>
      <c r="G137" s="69">
        <f>+FIN!G19</f>
        <v>0</v>
      </c>
      <c r="H137" s="69">
        <f>+FIN!H19</f>
        <v>0</v>
      </c>
      <c r="I137" s="69">
        <f>+FIN!I19</f>
        <v>0</v>
      </c>
      <c r="J137" s="69">
        <f>+FIN!J19</f>
        <v>0</v>
      </c>
      <c r="K137" s="69">
        <f>+FIN!K19</f>
        <v>0</v>
      </c>
      <c r="L137" s="69">
        <f>+[2]FIN!L25</f>
        <v>0</v>
      </c>
      <c r="M137" s="274"/>
      <c r="N137" s="69"/>
      <c r="O137" s="69"/>
      <c r="P137" s="169"/>
      <c r="Q137" s="117"/>
      <c r="R137" s="117"/>
      <c r="S137" s="117"/>
      <c r="U137" s="117"/>
    </row>
    <row r="138" spans="1:28">
      <c r="A138" s="312" t="s">
        <v>123</v>
      </c>
      <c r="B138" s="117">
        <f t="shared" ref="B138:L138" si="41">SUM(B133:B135)</f>
        <v>3699656</v>
      </c>
      <c r="C138" s="117">
        <f t="shared" si="41"/>
        <v>3163177</v>
      </c>
      <c r="D138" s="117">
        <f t="shared" si="41"/>
        <v>3607144</v>
      </c>
      <c r="E138" s="117">
        <f t="shared" si="41"/>
        <v>3728933</v>
      </c>
      <c r="F138" s="117">
        <f t="shared" si="41"/>
        <v>4221458</v>
      </c>
      <c r="G138" s="117">
        <f t="shared" si="41"/>
        <v>4730495</v>
      </c>
      <c r="H138" s="117">
        <f t="shared" si="41"/>
        <v>4677191</v>
      </c>
      <c r="I138" s="117">
        <f t="shared" si="41"/>
        <v>5095909</v>
      </c>
      <c r="J138" s="117">
        <f t="shared" si="41"/>
        <v>5963225</v>
      </c>
      <c r="K138" s="117">
        <f t="shared" si="41"/>
        <v>6881917</v>
      </c>
      <c r="L138" s="117">
        <f t="shared" si="41"/>
        <v>5795486</v>
      </c>
      <c r="M138" s="274"/>
      <c r="N138" s="117"/>
      <c r="O138" s="117"/>
      <c r="P138" s="155"/>
      <c r="Q138" s="27">
        <f>SUM(Q133:Q135)</f>
        <v>5146315</v>
      </c>
      <c r="R138" s="27">
        <f>SUM(R133:R135)</f>
        <v>5935457</v>
      </c>
      <c r="S138" s="27">
        <f>SUM(S133:S135)</f>
        <v>6913073</v>
      </c>
      <c r="U138" s="27">
        <f>SUM(U133:U135)</f>
        <v>6913073</v>
      </c>
    </row>
    <row r="139" spans="1:28">
      <c r="A139" s="312" t="s">
        <v>179</v>
      </c>
      <c r="B139" s="159">
        <f>FIN!B30</f>
        <v>44.15</v>
      </c>
      <c r="C139" s="159">
        <f>FIN!C30</f>
        <v>44.15</v>
      </c>
      <c r="D139" s="159">
        <f>FIN!D30</f>
        <v>43.65</v>
      </c>
      <c r="E139" s="159">
        <f>FIN!E30</f>
        <v>43.9</v>
      </c>
      <c r="F139" s="159">
        <f>FIN!F30</f>
        <v>44.73</v>
      </c>
      <c r="G139" s="159">
        <f>FIN!G30</f>
        <v>44.9</v>
      </c>
      <c r="H139" s="159">
        <f>FIN!H30</f>
        <v>44.78</v>
      </c>
      <c r="I139" s="159">
        <f>FIN!I30</f>
        <v>45.78</v>
      </c>
      <c r="J139" s="159">
        <f>FIN!J30</f>
        <v>40.75</v>
      </c>
      <c r="K139" s="159">
        <f>FIN!K30</f>
        <v>42.75</v>
      </c>
      <c r="L139" s="159">
        <f>FIN!L30</f>
        <v>42.75</v>
      </c>
      <c r="M139" s="274"/>
      <c r="N139" s="159"/>
      <c r="O139" s="159"/>
      <c r="P139" s="161"/>
      <c r="Q139" s="14"/>
      <c r="R139" s="14"/>
      <c r="S139" s="14"/>
      <c r="U139" s="27"/>
    </row>
    <row r="140" spans="1:28" s="19" customFormat="1">
      <c r="A140" s="210"/>
      <c r="B140" s="159"/>
      <c r="C140" s="159"/>
      <c r="D140" s="159"/>
      <c r="E140" s="159"/>
      <c r="F140" s="159"/>
      <c r="G140" s="159"/>
      <c r="H140" s="159"/>
      <c r="I140" s="159"/>
      <c r="J140" s="159"/>
      <c r="K140" s="159"/>
      <c r="L140" s="159"/>
      <c r="M140" s="274"/>
      <c r="N140" s="159"/>
      <c r="O140" s="159"/>
      <c r="P140" s="161"/>
      <c r="T140" s="113"/>
      <c r="U140" s="27"/>
      <c r="V140" s="171"/>
      <c r="W140" s="183"/>
      <c r="X140" s="183"/>
      <c r="Y140" s="183"/>
      <c r="AA140" s="190"/>
      <c r="AB140" s="245"/>
    </row>
    <row r="141" spans="1:28" s="19" customFormat="1" ht="18.75">
      <c r="A141" s="306" t="s">
        <v>31</v>
      </c>
      <c r="B141" s="159"/>
      <c r="C141" s="159"/>
      <c r="D141" s="159"/>
      <c r="E141" s="159"/>
      <c r="F141" s="159"/>
      <c r="G141" s="159"/>
      <c r="H141" s="159"/>
      <c r="I141" s="159"/>
      <c r="J141" s="159"/>
      <c r="K141" s="159"/>
      <c r="L141" s="159"/>
      <c r="M141" s="274"/>
      <c r="N141" s="159"/>
      <c r="O141" s="159"/>
      <c r="P141" s="161"/>
      <c r="T141" s="113"/>
      <c r="U141" s="27"/>
      <c r="V141" s="171"/>
      <c r="W141" s="183"/>
      <c r="X141" s="183"/>
      <c r="Y141" s="183"/>
      <c r="AA141" s="190"/>
      <c r="AB141" s="245"/>
    </row>
    <row r="142" spans="1:28">
      <c r="A142" s="307" t="s">
        <v>100</v>
      </c>
      <c r="B142" s="117">
        <f>+HR!B16</f>
        <v>994705</v>
      </c>
      <c r="C142" s="117">
        <f>+HR!C16</f>
        <v>865256</v>
      </c>
      <c r="D142" s="117">
        <f>+HR!D16</f>
        <v>743474</v>
      </c>
      <c r="E142" s="117">
        <f>+HR!E16</f>
        <v>859665</v>
      </c>
      <c r="F142" s="117">
        <f>+HR!F16</f>
        <v>962311</v>
      </c>
      <c r="G142" s="117">
        <f>+HR!G16</f>
        <v>1108001</v>
      </c>
      <c r="H142" s="117">
        <f>+HR!H16</f>
        <v>1136292</v>
      </c>
      <c r="I142" s="117">
        <f>+HR!I16</f>
        <v>1193313</v>
      </c>
      <c r="J142" s="117">
        <f>+HR!J16</f>
        <v>1414939</v>
      </c>
      <c r="K142" s="117">
        <f>+HR!K16</f>
        <v>1813328</v>
      </c>
      <c r="L142" s="117">
        <f>+HR!L16</f>
        <v>1839400</v>
      </c>
      <c r="M142" s="274"/>
      <c r="N142" s="117"/>
      <c r="O142" s="117"/>
      <c r="P142" s="155"/>
      <c r="Q142" s="27">
        <v>1288939</v>
      </c>
      <c r="R142" s="27">
        <v>1439376</v>
      </c>
      <c r="S142" s="27">
        <v>1813328</v>
      </c>
      <c r="U142" s="27">
        <v>1813328</v>
      </c>
      <c r="W142" s="184">
        <f t="shared" ref="W142:Y143" si="42">+Q142-J142</f>
        <v>-126000</v>
      </c>
      <c r="X142" s="184">
        <f t="shared" si="42"/>
        <v>-373952</v>
      </c>
      <c r="Y142" s="184">
        <f t="shared" si="42"/>
        <v>-26072</v>
      </c>
    </row>
    <row r="143" spans="1:28" ht="16.5" thickBot="1">
      <c r="A143" s="151" t="s">
        <v>93</v>
      </c>
      <c r="B143" s="117">
        <f>+HR!B17</f>
        <v>11116066</v>
      </c>
      <c r="C143" s="117">
        <f>+HR!C17</f>
        <v>11068481</v>
      </c>
      <c r="D143" s="117">
        <f>+HR!D17</f>
        <v>11778660</v>
      </c>
      <c r="E143" s="117">
        <f>+HR!E17</f>
        <v>10540253</v>
      </c>
      <c r="F143" s="117">
        <f>+HR!F17</f>
        <v>12678268</v>
      </c>
      <c r="G143" s="117">
        <f>+HR!G17</f>
        <v>14080963</v>
      </c>
      <c r="H143" s="117">
        <f>+HR!H17</f>
        <v>17722974</v>
      </c>
      <c r="I143" s="117">
        <f>+HR!I17</f>
        <v>15894286</v>
      </c>
      <c r="J143" s="117">
        <f>+HR!J17</f>
        <v>14351941</v>
      </c>
      <c r="K143" s="117">
        <f>+HR!K17</f>
        <v>19015038</v>
      </c>
      <c r="L143" s="117">
        <f>+HR!L17</f>
        <v>20299627</v>
      </c>
      <c r="M143" s="274"/>
      <c r="N143" s="117"/>
      <c r="O143" s="117"/>
      <c r="P143" s="155"/>
      <c r="Q143" s="69">
        <v>17674040</v>
      </c>
      <c r="R143" s="69">
        <v>19720836</v>
      </c>
      <c r="S143" s="69">
        <f>3153537+15746850</f>
        <v>18900387</v>
      </c>
      <c r="U143" s="69">
        <v>18900387</v>
      </c>
      <c r="W143" s="184">
        <f t="shared" si="42"/>
        <v>3322099</v>
      </c>
      <c r="X143" s="184">
        <f t="shared" si="42"/>
        <v>705798</v>
      </c>
      <c r="Y143" s="184">
        <f t="shared" si="42"/>
        <v>-1399240</v>
      </c>
    </row>
    <row r="144" spans="1:28">
      <c r="A144" s="152" t="s">
        <v>155</v>
      </c>
      <c r="B144" s="117">
        <f>+HR!B18</f>
        <v>0</v>
      </c>
      <c r="C144" s="117">
        <f>+HR!C18</f>
        <v>0</v>
      </c>
      <c r="D144" s="117">
        <f>+HR!D18</f>
        <v>0</v>
      </c>
      <c r="E144" s="117">
        <f>+HR!E18</f>
        <v>0</v>
      </c>
      <c r="F144" s="117">
        <f>+HR!F18</f>
        <v>0</v>
      </c>
      <c r="G144" s="117">
        <f>+HR!G18</f>
        <v>0</v>
      </c>
      <c r="H144" s="117">
        <f>+HR!H18</f>
        <v>0</v>
      </c>
      <c r="I144" s="117">
        <f>+HR!I18</f>
        <v>0</v>
      </c>
      <c r="J144" s="117">
        <f>+HR!J18</f>
        <v>0</v>
      </c>
      <c r="K144" s="117">
        <f>+HR!K18</f>
        <v>0</v>
      </c>
      <c r="L144" s="117">
        <f>+[2]HR!L23</f>
        <v>0</v>
      </c>
      <c r="M144" s="274"/>
      <c r="N144" s="117"/>
      <c r="O144" s="117"/>
      <c r="P144" s="155"/>
      <c r="Q144" s="117"/>
      <c r="R144" s="117"/>
      <c r="S144" s="117"/>
      <c r="U144" s="117"/>
      <c r="W144" s="184"/>
      <c r="X144" s="184"/>
      <c r="Y144" s="184"/>
    </row>
    <row r="145" spans="1:25">
      <c r="A145" s="310" t="s">
        <v>83</v>
      </c>
      <c r="B145" s="117">
        <f>+HR!B19</f>
        <v>0</v>
      </c>
      <c r="C145" s="117">
        <f>+HR!C19</f>
        <v>0</v>
      </c>
      <c r="D145" s="117">
        <f>+HR!D19</f>
        <v>0</v>
      </c>
      <c r="E145" s="117">
        <f>+HR!E19</f>
        <v>0</v>
      </c>
      <c r="F145" s="117">
        <f>+HR!F19</f>
        <v>0</v>
      </c>
      <c r="G145" s="117">
        <f>+HR!G19</f>
        <v>0</v>
      </c>
      <c r="H145" s="117">
        <f>+HR!H19</f>
        <v>0</v>
      </c>
      <c r="I145" s="117">
        <f>+HR!I19</f>
        <v>0</v>
      </c>
      <c r="J145" s="117">
        <f>+HR!J19</f>
        <v>0</v>
      </c>
      <c r="K145" s="117">
        <f>+HR!K19</f>
        <v>0</v>
      </c>
      <c r="L145" s="117">
        <f>+[2]HR!L24</f>
        <v>0</v>
      </c>
      <c r="M145" s="274"/>
      <c r="N145" s="117"/>
      <c r="O145" s="117"/>
      <c r="P145" s="155"/>
      <c r="Q145" s="117"/>
      <c r="R145" s="117"/>
      <c r="S145" s="117"/>
      <c r="U145" s="117"/>
      <c r="W145" s="184"/>
      <c r="X145" s="184"/>
      <c r="Y145" s="184"/>
    </row>
    <row r="146" spans="1:25" ht="16.5" thickBot="1">
      <c r="A146" s="153" t="s">
        <v>157</v>
      </c>
      <c r="B146" s="69">
        <f>+HR!B20</f>
        <v>0</v>
      </c>
      <c r="C146" s="69">
        <f>+HR!C20</f>
        <v>0</v>
      </c>
      <c r="D146" s="69">
        <f>+HR!D20</f>
        <v>0</v>
      </c>
      <c r="E146" s="69">
        <f>+HR!E20</f>
        <v>0</v>
      </c>
      <c r="F146" s="69">
        <f>+HR!F20</f>
        <v>0</v>
      </c>
      <c r="G146" s="69">
        <f>+HR!G20</f>
        <v>0</v>
      </c>
      <c r="H146" s="69">
        <f>+HR!H20</f>
        <v>0</v>
      </c>
      <c r="I146" s="69">
        <f>+HR!I20</f>
        <v>0</v>
      </c>
      <c r="J146" s="69">
        <f>+HR!J20</f>
        <v>0</v>
      </c>
      <c r="K146" s="69">
        <f>+HR!K20</f>
        <v>0</v>
      </c>
      <c r="L146" s="69">
        <f>+[2]HR!L25</f>
        <v>0</v>
      </c>
      <c r="M146" s="274"/>
      <c r="N146" s="69"/>
      <c r="O146" s="69"/>
      <c r="P146" s="169"/>
      <c r="Q146" s="117"/>
      <c r="R146" s="117"/>
      <c r="S146" s="117"/>
      <c r="U146" s="117"/>
      <c r="W146" s="184"/>
      <c r="X146" s="184"/>
      <c r="Y146" s="184"/>
    </row>
    <row r="147" spans="1:25">
      <c r="A147" s="312" t="s">
        <v>123</v>
      </c>
      <c r="B147" s="117">
        <f>B142+B143</f>
        <v>12110771</v>
      </c>
      <c r="C147" s="117">
        <f t="shared" ref="C147:L147" si="43">C142+C143</f>
        <v>11933737</v>
      </c>
      <c r="D147" s="117">
        <f t="shared" si="43"/>
        <v>12522134</v>
      </c>
      <c r="E147" s="117">
        <f t="shared" si="43"/>
        <v>11399918</v>
      </c>
      <c r="F147" s="117">
        <f t="shared" si="43"/>
        <v>13640579</v>
      </c>
      <c r="G147" s="117">
        <f t="shared" si="43"/>
        <v>15188964</v>
      </c>
      <c r="H147" s="117">
        <f t="shared" si="43"/>
        <v>18859266</v>
      </c>
      <c r="I147" s="117">
        <f t="shared" si="43"/>
        <v>17087599</v>
      </c>
      <c r="J147" s="117">
        <f t="shared" si="43"/>
        <v>15766880</v>
      </c>
      <c r="K147" s="117">
        <f t="shared" si="43"/>
        <v>20828366</v>
      </c>
      <c r="L147" s="117">
        <f t="shared" si="43"/>
        <v>22139027</v>
      </c>
      <c r="M147" s="274"/>
      <c r="N147" s="117"/>
      <c r="O147" s="117"/>
      <c r="P147" s="155"/>
      <c r="Q147" s="27">
        <f>SUM(Q142:Q143)</f>
        <v>18962979</v>
      </c>
      <c r="R147" s="27">
        <f>SUM(R142:R143)</f>
        <v>21160212</v>
      </c>
      <c r="S147" s="27">
        <f>SUM(S142:S143)</f>
        <v>20713715</v>
      </c>
      <c r="U147" s="27">
        <f>SUM(U142:U143)</f>
        <v>20713715</v>
      </c>
    </row>
    <row r="148" spans="1:25">
      <c r="A148" s="312" t="s">
        <v>179</v>
      </c>
      <c r="B148" s="159">
        <f>HR!B31</f>
        <v>10</v>
      </c>
      <c r="C148" s="159">
        <f>HR!C31</f>
        <v>10</v>
      </c>
      <c r="D148" s="159">
        <f>HR!D31</f>
        <v>9.75</v>
      </c>
      <c r="E148" s="159">
        <f>HR!E31</f>
        <v>9</v>
      </c>
      <c r="F148" s="159">
        <f>HR!F31</f>
        <v>9</v>
      </c>
      <c r="G148" s="159">
        <f>HR!G31</f>
        <v>9</v>
      </c>
      <c r="H148" s="159">
        <f>HR!H31</f>
        <v>9</v>
      </c>
      <c r="I148" s="159">
        <f>HR!I31</f>
        <v>9</v>
      </c>
      <c r="J148" s="159">
        <f>+HR!J77</f>
        <v>0</v>
      </c>
      <c r="K148" s="159">
        <f>+HR!K77</f>
        <v>0</v>
      </c>
      <c r="L148" s="159">
        <f>+HR!L77</f>
        <v>0</v>
      </c>
      <c r="M148" s="274"/>
      <c r="N148" s="159"/>
      <c r="O148" s="159"/>
      <c r="P148" s="161"/>
      <c r="S148" s="28"/>
      <c r="U148" s="27"/>
    </row>
    <row r="149" spans="1:25">
      <c r="A149" s="210"/>
      <c r="B149" s="159"/>
      <c r="C149" s="159"/>
      <c r="D149" s="159"/>
      <c r="E149" s="159"/>
      <c r="F149" s="159"/>
      <c r="G149" s="159"/>
      <c r="H149" s="159"/>
      <c r="I149" s="159"/>
      <c r="J149" s="159"/>
      <c r="K149" s="159"/>
      <c r="L149" s="159"/>
      <c r="M149" s="274"/>
      <c r="N149" s="159"/>
      <c r="O149" s="159"/>
      <c r="P149" s="161"/>
      <c r="S149" s="28"/>
      <c r="U149" s="27"/>
    </row>
    <row r="150" spans="1:25" ht="18.75">
      <c r="A150" s="306" t="s">
        <v>183</v>
      </c>
      <c r="B150" s="159"/>
      <c r="C150" s="159"/>
      <c r="D150" s="159"/>
      <c r="E150" s="159"/>
      <c r="F150" s="159"/>
      <c r="G150" s="159"/>
      <c r="H150" s="159"/>
      <c r="I150" s="159"/>
      <c r="J150" s="159"/>
      <c r="K150" s="159"/>
      <c r="L150" s="159"/>
      <c r="M150" s="274"/>
      <c r="N150" s="159"/>
      <c r="O150" s="159"/>
      <c r="P150" s="161"/>
      <c r="S150" s="28"/>
      <c r="U150" s="27"/>
    </row>
    <row r="151" spans="1:25">
      <c r="A151" s="307" t="s">
        <v>100</v>
      </c>
      <c r="B151" s="117">
        <f>+IT!B15</f>
        <v>3150350</v>
      </c>
      <c r="C151" s="117">
        <f>+IT!C15</f>
        <v>2931210</v>
      </c>
      <c r="D151" s="117">
        <f>+IT!D15</f>
        <v>3188644</v>
      </c>
      <c r="E151" s="117">
        <f>+IT!E15</f>
        <v>3125625</v>
      </c>
      <c r="F151" s="117">
        <f>+IT!F15</f>
        <v>3516179</v>
      </c>
      <c r="G151" s="117">
        <f>+IT!G15</f>
        <v>3464762</v>
      </c>
      <c r="H151" s="117">
        <f>+IT!H15</f>
        <v>3851712</v>
      </c>
      <c r="I151" s="117">
        <f>+IT!I15</f>
        <v>3971864</v>
      </c>
      <c r="J151" s="117">
        <f>+IT!J15</f>
        <v>4665671</v>
      </c>
      <c r="K151" s="117">
        <f>+IT!K15</f>
        <v>5718302</v>
      </c>
      <c r="L151" s="117">
        <f>+IT!L15</f>
        <v>4821194</v>
      </c>
      <c r="M151" s="274"/>
      <c r="N151" s="117"/>
      <c r="O151" s="117"/>
      <c r="P151" s="155"/>
      <c r="Q151" s="27">
        <v>4131016</v>
      </c>
      <c r="R151" s="27">
        <v>4614554</v>
      </c>
      <c r="S151" s="27">
        <v>5416696</v>
      </c>
      <c r="U151" s="27">
        <v>5416696</v>
      </c>
      <c r="W151" s="184">
        <f>+Q151-J151</f>
        <v>-534655</v>
      </c>
      <c r="X151" s="184">
        <f>+R151-K151</f>
        <v>-1103748</v>
      </c>
      <c r="Y151" s="184">
        <f>+S151-L151</f>
        <v>595502</v>
      </c>
    </row>
    <row r="152" spans="1:25">
      <c r="A152" s="151" t="s">
        <v>93</v>
      </c>
      <c r="B152" s="117">
        <f>+IT!B16</f>
        <v>0</v>
      </c>
      <c r="C152" s="117">
        <f>+IT!C16</f>
        <v>0</v>
      </c>
      <c r="D152" s="117">
        <f>+IT!D16</f>
        <v>0</v>
      </c>
      <c r="E152" s="117">
        <f>+IT!E16</f>
        <v>0</v>
      </c>
      <c r="F152" s="117">
        <f>+IT!F16</f>
        <v>0</v>
      </c>
      <c r="G152" s="117">
        <f>+IT!G16</f>
        <v>0</v>
      </c>
      <c r="H152" s="117">
        <f>+IT!H16</f>
        <v>0</v>
      </c>
      <c r="I152" s="117">
        <f>+IT!I16</f>
        <v>0</v>
      </c>
      <c r="J152" s="117">
        <f>+IT!J16</f>
        <v>0</v>
      </c>
      <c r="K152" s="117">
        <f>+IT!K16</f>
        <v>0</v>
      </c>
      <c r="L152" s="117">
        <f>+[2]IT!L22</f>
        <v>0</v>
      </c>
      <c r="M152" s="274"/>
      <c r="N152" s="117"/>
      <c r="O152" s="117"/>
      <c r="P152" s="155"/>
      <c r="Q152" s="27"/>
      <c r="R152" s="27"/>
      <c r="S152" s="27"/>
      <c r="U152" s="27"/>
      <c r="W152" s="184"/>
      <c r="X152" s="184"/>
      <c r="Y152" s="184"/>
    </row>
    <row r="153" spans="1:25">
      <c r="A153" s="152" t="s">
        <v>155</v>
      </c>
      <c r="B153" s="117">
        <f>+IT!B17</f>
        <v>0</v>
      </c>
      <c r="C153" s="117">
        <f>+IT!C17</f>
        <v>0</v>
      </c>
      <c r="D153" s="117">
        <f>+IT!D17</f>
        <v>0</v>
      </c>
      <c r="E153" s="117">
        <f>+IT!E17</f>
        <v>0</v>
      </c>
      <c r="F153" s="117">
        <f>+IT!F17</f>
        <v>0</v>
      </c>
      <c r="G153" s="117">
        <f>+IT!G17</f>
        <v>0</v>
      </c>
      <c r="H153" s="117">
        <f>+IT!H17</f>
        <v>0</v>
      </c>
      <c r="I153" s="117">
        <f>+IT!I17</f>
        <v>0</v>
      </c>
      <c r="J153" s="117">
        <f>+IT!J17</f>
        <v>0</v>
      </c>
      <c r="K153" s="117">
        <f>+IT!K17</f>
        <v>0</v>
      </c>
      <c r="L153" s="117">
        <f>+[2]IT!L23</f>
        <v>0</v>
      </c>
      <c r="M153" s="274"/>
      <c r="N153" s="117"/>
      <c r="O153" s="117"/>
      <c r="P153" s="155"/>
      <c r="Q153" s="27"/>
      <c r="R153" s="27"/>
      <c r="S153" s="27"/>
      <c r="U153" s="27"/>
      <c r="W153" s="184"/>
      <c r="X153" s="184"/>
      <c r="Y153" s="184"/>
    </row>
    <row r="154" spans="1:25" ht="16.5" thickBot="1">
      <c r="A154" s="310" t="s">
        <v>83</v>
      </c>
      <c r="B154" s="117">
        <f>+IT!B18</f>
        <v>0</v>
      </c>
      <c r="C154" s="117">
        <f>+IT!C18</f>
        <v>29256</v>
      </c>
      <c r="D154" s="117">
        <f>+IT!D18</f>
        <v>2444</v>
      </c>
      <c r="E154" s="117">
        <f>+IT!E18</f>
        <v>55370</v>
      </c>
      <c r="F154" s="117">
        <f>+IT!F18</f>
        <v>21418</v>
      </c>
      <c r="G154" s="117">
        <f>+IT!G18</f>
        <v>2873</v>
      </c>
      <c r="H154" s="117">
        <f>+IT!H18</f>
        <v>7138</v>
      </c>
      <c r="I154" s="117">
        <f>+IT!I18</f>
        <v>123233</v>
      </c>
      <c r="J154" s="117">
        <f>+IT!J18</f>
        <v>324471</v>
      </c>
      <c r="K154" s="117">
        <f>+IT!K18</f>
        <v>404435</v>
      </c>
      <c r="L154" s="117">
        <f>+IT!L18</f>
        <v>389000</v>
      </c>
      <c r="M154" s="274"/>
      <c r="N154" s="117"/>
      <c r="O154" s="117"/>
      <c r="P154" s="155"/>
      <c r="Q154" s="69">
        <v>0</v>
      </c>
      <c r="R154" s="69">
        <f>100000+190000</f>
        <v>290000</v>
      </c>
      <c r="S154" s="69">
        <f>100000+190000</f>
        <v>290000</v>
      </c>
      <c r="U154" s="69">
        <v>290000</v>
      </c>
      <c r="W154" s="184">
        <f>+Q154-J154</f>
        <v>-324471</v>
      </c>
      <c r="X154" s="184">
        <f>+R154-K154</f>
        <v>-114435</v>
      </c>
      <c r="Y154" s="184">
        <f>+S154-L154</f>
        <v>-99000</v>
      </c>
    </row>
    <row r="155" spans="1:25" ht="16.5" thickBot="1">
      <c r="A155" s="153" t="s">
        <v>157</v>
      </c>
      <c r="B155" s="69">
        <f>+IT!B19</f>
        <v>0</v>
      </c>
      <c r="C155" s="69">
        <f>+IT!C19</f>
        <v>0</v>
      </c>
      <c r="D155" s="69">
        <f>+IT!D19</f>
        <v>0</v>
      </c>
      <c r="E155" s="69">
        <f>+IT!E19</f>
        <v>0</v>
      </c>
      <c r="F155" s="69">
        <f>+IT!F19</f>
        <v>0</v>
      </c>
      <c r="G155" s="69">
        <f>+IT!G19</f>
        <v>0</v>
      </c>
      <c r="H155" s="69">
        <f>+IT!H19</f>
        <v>0</v>
      </c>
      <c r="I155" s="69">
        <f>+IT!I19</f>
        <v>0</v>
      </c>
      <c r="J155" s="69">
        <f>+IT!J19</f>
        <v>0</v>
      </c>
      <c r="K155" s="69">
        <f>+IT!K19</f>
        <v>0</v>
      </c>
      <c r="L155" s="69">
        <f>+[2]IT!L25</f>
        <v>0</v>
      </c>
      <c r="M155" s="274"/>
      <c r="N155" s="69"/>
      <c r="O155" s="69"/>
      <c r="P155" s="169"/>
      <c r="Q155" s="117"/>
      <c r="R155" s="117"/>
      <c r="S155" s="117"/>
      <c r="U155" s="117"/>
      <c r="W155" s="184"/>
      <c r="X155" s="184"/>
      <c r="Y155" s="184"/>
    </row>
    <row r="156" spans="1:25" ht="16.5" thickBot="1">
      <c r="A156" s="312" t="s">
        <v>123</v>
      </c>
      <c r="B156" s="117">
        <f>B151+B154</f>
        <v>3150350</v>
      </c>
      <c r="C156" s="117">
        <f t="shared" ref="C156:L156" si="44">C151+C154</f>
        <v>2960466</v>
      </c>
      <c r="D156" s="117">
        <f t="shared" si="44"/>
        <v>3191088</v>
      </c>
      <c r="E156" s="117">
        <f t="shared" si="44"/>
        <v>3180995</v>
      </c>
      <c r="F156" s="117">
        <f t="shared" si="44"/>
        <v>3537597</v>
      </c>
      <c r="G156" s="117">
        <f t="shared" si="44"/>
        <v>3467635</v>
      </c>
      <c r="H156" s="117">
        <f t="shared" si="44"/>
        <v>3858850</v>
      </c>
      <c r="I156" s="117">
        <f t="shared" si="44"/>
        <v>4095097</v>
      </c>
      <c r="J156" s="117">
        <f t="shared" si="44"/>
        <v>4990142</v>
      </c>
      <c r="K156" s="117">
        <f t="shared" si="44"/>
        <v>6122737</v>
      </c>
      <c r="L156" s="117">
        <f t="shared" si="44"/>
        <v>5210194</v>
      </c>
      <c r="M156" s="274"/>
      <c r="N156" s="69"/>
      <c r="O156" s="69"/>
      <c r="P156" s="169"/>
      <c r="Q156" s="3">
        <v>2756790</v>
      </c>
      <c r="R156" s="3">
        <v>2756790</v>
      </c>
      <c r="S156" s="3">
        <v>2756790</v>
      </c>
      <c r="U156" s="68">
        <v>2756790</v>
      </c>
    </row>
    <row r="157" spans="1:25">
      <c r="A157" s="312" t="s">
        <v>179</v>
      </c>
      <c r="B157" s="159">
        <f>IT!B31</f>
        <v>24.5</v>
      </c>
      <c r="C157" s="159">
        <f>IT!C31</f>
        <v>17.5</v>
      </c>
      <c r="D157" s="159">
        <f>IT!D31</f>
        <v>20.5</v>
      </c>
      <c r="E157" s="159">
        <f>IT!E31</f>
        <v>20.5</v>
      </c>
      <c r="F157" s="159">
        <f>IT!F31</f>
        <v>20.5</v>
      </c>
      <c r="G157" s="159">
        <f>IT!G31</f>
        <v>20.5</v>
      </c>
      <c r="H157" s="159">
        <f>IT!H31</f>
        <v>22.5</v>
      </c>
      <c r="I157" s="159">
        <f>IT!I31</f>
        <v>22.5</v>
      </c>
      <c r="J157" s="159">
        <f>IT!J31</f>
        <v>22.5</v>
      </c>
      <c r="K157" s="159">
        <f>IT!K31</f>
        <v>23</v>
      </c>
      <c r="L157" s="159">
        <f>[2]IT!L69</f>
        <v>23</v>
      </c>
      <c r="M157" s="274"/>
      <c r="N157" s="159"/>
      <c r="O157" s="159"/>
      <c r="P157" s="161"/>
      <c r="S157" s="19"/>
      <c r="U157" s="27"/>
    </row>
    <row r="158" spans="1:25">
      <c r="A158" s="210"/>
      <c r="B158" s="159"/>
      <c r="C158" s="159"/>
      <c r="D158" s="159"/>
      <c r="E158" s="159"/>
      <c r="F158" s="159"/>
      <c r="G158" s="159"/>
      <c r="H158" s="159"/>
      <c r="I158" s="159"/>
      <c r="J158" s="159"/>
      <c r="K158" s="159"/>
      <c r="L158" s="159"/>
      <c r="M158" s="274"/>
      <c r="N158" s="159"/>
      <c r="O158" s="159"/>
      <c r="P158" s="161"/>
      <c r="S158" s="19"/>
      <c r="U158" s="27"/>
    </row>
    <row r="159" spans="1:25" ht="18.75">
      <c r="A159" s="306" t="s">
        <v>40</v>
      </c>
      <c r="B159" s="159"/>
      <c r="C159" s="159"/>
      <c r="D159" s="159"/>
      <c r="E159" s="159"/>
      <c r="F159" s="159"/>
      <c r="G159" s="159"/>
      <c r="H159" s="159"/>
      <c r="I159" s="159"/>
      <c r="J159" s="159"/>
      <c r="K159" s="159"/>
      <c r="L159" s="159"/>
      <c r="M159" s="274"/>
      <c r="N159" s="159"/>
      <c r="O159" s="159"/>
      <c r="P159" s="161"/>
      <c r="S159" s="19"/>
      <c r="U159" s="27"/>
    </row>
    <row r="160" spans="1:25">
      <c r="A160" s="307" t="s">
        <v>100</v>
      </c>
      <c r="B160" s="117">
        <f>LIB!B15</f>
        <v>2705755</v>
      </c>
      <c r="C160" s="117">
        <f>+LIB!C15</f>
        <v>2423439</v>
      </c>
      <c r="D160" s="117">
        <f>+LIB!D15</f>
        <v>2318491</v>
      </c>
      <c r="E160" s="117">
        <f>+LIB!E15</f>
        <v>2799235</v>
      </c>
      <c r="F160" s="117">
        <f>+LIB!F15</f>
        <v>2799235</v>
      </c>
      <c r="G160" s="117">
        <f>+LIB!G15</f>
        <v>3065549</v>
      </c>
      <c r="H160" s="117">
        <f>+LIB!H15</f>
        <v>3158827</v>
      </c>
      <c r="I160" s="117">
        <f>+LIB!I15</f>
        <v>3283976</v>
      </c>
      <c r="J160" s="117">
        <f>+LIB!J15</f>
        <v>3762506</v>
      </c>
      <c r="K160" s="117">
        <f>+LIB!K15</f>
        <v>4389757</v>
      </c>
      <c r="L160" s="117">
        <f>+LIB!L15</f>
        <v>3230342</v>
      </c>
      <c r="M160" s="274"/>
      <c r="N160" s="117"/>
      <c r="O160" s="117"/>
      <c r="P160" s="155"/>
      <c r="Q160" s="27">
        <v>3274525</v>
      </c>
      <c r="R160" s="27">
        <v>3746795</v>
      </c>
      <c r="S160" s="27">
        <v>4278817</v>
      </c>
      <c r="U160" s="27">
        <v>4278817</v>
      </c>
      <c r="W160" s="184">
        <f>+Q160-J160</f>
        <v>-487981</v>
      </c>
      <c r="X160" s="184">
        <f>+R160-K160</f>
        <v>-642962</v>
      </c>
      <c r="Y160" s="184">
        <f>+S160-L160</f>
        <v>1048475</v>
      </c>
    </row>
    <row r="161" spans="1:28">
      <c r="A161" s="151" t="s">
        <v>93</v>
      </c>
      <c r="B161" s="117">
        <f>LIB!B16</f>
        <v>0</v>
      </c>
      <c r="C161" s="117">
        <f>+LIB!C16</f>
        <v>0</v>
      </c>
      <c r="D161" s="117">
        <f>+LIB!D16</f>
        <v>0</v>
      </c>
      <c r="E161" s="117">
        <f>+LIB!E16</f>
        <v>0</v>
      </c>
      <c r="F161" s="117">
        <f>+LIB!F16</f>
        <v>0</v>
      </c>
      <c r="G161" s="117">
        <f>+LIB!G16</f>
        <v>0</v>
      </c>
      <c r="H161" s="117">
        <f>+LIB!H16</f>
        <v>0</v>
      </c>
      <c r="I161" s="117">
        <f>+LIB!I16</f>
        <v>0</v>
      </c>
      <c r="J161" s="117">
        <f>+LIB!J16</f>
        <v>0</v>
      </c>
      <c r="K161" s="117">
        <f>+LIB!K16</f>
        <v>0</v>
      </c>
      <c r="L161" s="117">
        <f>+[2]LIB!L22</f>
        <v>0</v>
      </c>
      <c r="M161" s="274"/>
      <c r="N161" s="117"/>
      <c r="O161" s="117"/>
      <c r="P161" s="155"/>
      <c r="Q161" s="27"/>
      <c r="R161" s="27"/>
      <c r="S161" s="27"/>
      <c r="U161" s="27"/>
      <c r="W161" s="184"/>
      <c r="X161" s="184"/>
      <c r="Y161" s="184"/>
    </row>
    <row r="162" spans="1:28">
      <c r="A162" s="152" t="s">
        <v>155</v>
      </c>
      <c r="B162" s="117">
        <f>LIB!B17</f>
        <v>0</v>
      </c>
      <c r="C162" s="117">
        <f>+LIB!C17</f>
        <v>0</v>
      </c>
      <c r="D162" s="117">
        <f>+LIB!D17</f>
        <v>0</v>
      </c>
      <c r="E162" s="117">
        <f>+LIB!E17</f>
        <v>0</v>
      </c>
      <c r="F162" s="117">
        <f>+LIB!F17</f>
        <v>0</v>
      </c>
      <c r="G162" s="117">
        <f>+LIB!G17</f>
        <v>0</v>
      </c>
      <c r="H162" s="117">
        <f>+LIB!H17</f>
        <v>0</v>
      </c>
      <c r="I162" s="117">
        <f>+LIB!I17</f>
        <v>0</v>
      </c>
      <c r="J162" s="117">
        <f>+LIB!J17</f>
        <v>0</v>
      </c>
      <c r="K162" s="117">
        <f>+LIB!K17</f>
        <v>0</v>
      </c>
      <c r="L162" s="117">
        <f>+[2]LIB!L23</f>
        <v>0</v>
      </c>
      <c r="M162" s="274"/>
      <c r="N162" s="117"/>
      <c r="O162" s="117"/>
      <c r="P162" s="155"/>
      <c r="Q162" s="27"/>
      <c r="R162" s="27"/>
      <c r="S162" s="27"/>
      <c r="U162" s="27"/>
      <c r="W162" s="184"/>
      <c r="X162" s="184"/>
      <c r="Y162" s="184"/>
    </row>
    <row r="163" spans="1:28">
      <c r="A163" s="310" t="s">
        <v>83</v>
      </c>
      <c r="B163" s="117">
        <f>LIB!B18</f>
        <v>0</v>
      </c>
      <c r="C163" s="117">
        <f>+LIB!C18</f>
        <v>0</v>
      </c>
      <c r="D163" s="117">
        <f>+LIB!D18</f>
        <v>0</v>
      </c>
      <c r="E163" s="117">
        <f>+LIB!E18</f>
        <v>0</v>
      </c>
      <c r="F163" s="117">
        <f>+LIB!F18</f>
        <v>0</v>
      </c>
      <c r="G163" s="117">
        <f>+LIB!G18</f>
        <v>0</v>
      </c>
      <c r="H163" s="117">
        <f>+LIB!H18</f>
        <v>0</v>
      </c>
      <c r="I163" s="117">
        <f>+LIB!I18</f>
        <v>0</v>
      </c>
      <c r="J163" s="117">
        <f>+LIB!J18</f>
        <v>0</v>
      </c>
      <c r="K163" s="117">
        <f>+LIB!K18</f>
        <v>0</v>
      </c>
      <c r="L163" s="117">
        <f>+LIB!L18</f>
        <v>0</v>
      </c>
      <c r="M163" s="274"/>
      <c r="N163" s="117"/>
      <c r="O163" s="117"/>
      <c r="P163" s="155"/>
      <c r="Q163" s="27"/>
      <c r="R163" s="27"/>
      <c r="S163" s="27"/>
      <c r="U163" s="27"/>
    </row>
    <row r="164" spans="1:28" ht="16.5" thickBot="1">
      <c r="A164" s="153" t="s">
        <v>157</v>
      </c>
      <c r="B164" s="69">
        <f>LIB!B19</f>
        <v>0</v>
      </c>
      <c r="C164" s="69">
        <f>+LIB!C19</f>
        <v>0</v>
      </c>
      <c r="D164" s="69">
        <f>+LIB!D19</f>
        <v>0</v>
      </c>
      <c r="E164" s="69">
        <f>+LIB!E19</f>
        <v>0</v>
      </c>
      <c r="F164" s="69">
        <f>+LIB!F19</f>
        <v>0</v>
      </c>
      <c r="G164" s="69">
        <f>+LIB!G19</f>
        <v>0</v>
      </c>
      <c r="H164" s="69">
        <f>+LIB!H19</f>
        <v>0</v>
      </c>
      <c r="I164" s="69">
        <f>+LIB!I19</f>
        <v>0</v>
      </c>
      <c r="J164" s="69">
        <f>+LIB!J19</f>
        <v>0</v>
      </c>
      <c r="K164" s="69">
        <f>+LIB!K19</f>
        <v>0</v>
      </c>
      <c r="L164" s="69">
        <f>+[2]LIB!L25</f>
        <v>0</v>
      </c>
      <c r="M164" s="274"/>
      <c r="N164" s="69"/>
      <c r="O164" s="69"/>
      <c r="P164" s="169"/>
      <c r="Q164" s="27"/>
      <c r="R164" s="27"/>
      <c r="S164" s="27"/>
      <c r="U164" s="27"/>
    </row>
    <row r="165" spans="1:28" ht="16.5" thickBot="1">
      <c r="A165" s="312" t="s">
        <v>123</v>
      </c>
      <c r="B165" s="117">
        <f>B160+B163</f>
        <v>2705755</v>
      </c>
      <c r="C165" s="117">
        <f t="shared" ref="C165:L165" si="45">C160+C163</f>
        <v>2423439</v>
      </c>
      <c r="D165" s="117">
        <f t="shared" si="45"/>
        <v>2318491</v>
      </c>
      <c r="E165" s="117">
        <f t="shared" si="45"/>
        <v>2799235</v>
      </c>
      <c r="F165" s="117">
        <f t="shared" si="45"/>
        <v>2799235</v>
      </c>
      <c r="G165" s="117">
        <f t="shared" si="45"/>
        <v>3065549</v>
      </c>
      <c r="H165" s="117">
        <f t="shared" si="45"/>
        <v>3158827</v>
      </c>
      <c r="I165" s="117">
        <f t="shared" si="45"/>
        <v>3283976</v>
      </c>
      <c r="J165" s="117">
        <f t="shared" si="45"/>
        <v>3762506</v>
      </c>
      <c r="K165" s="117">
        <f>SUM(K160:K164)</f>
        <v>4389757</v>
      </c>
      <c r="L165" s="117">
        <f t="shared" si="45"/>
        <v>3230342</v>
      </c>
      <c r="M165" s="274"/>
      <c r="N165" s="69"/>
      <c r="O165" s="69"/>
      <c r="P165" s="169"/>
      <c r="Q165" s="27"/>
      <c r="R165" s="27"/>
      <c r="S165" s="27"/>
      <c r="U165" s="27"/>
    </row>
    <row r="166" spans="1:28">
      <c r="A166" s="312" t="s">
        <v>179</v>
      </c>
      <c r="B166" s="159">
        <f>LIB!B29</f>
        <v>27.54</v>
      </c>
      <c r="C166" s="159">
        <f>LIB!C29</f>
        <v>27.54</v>
      </c>
      <c r="D166" s="159">
        <f>LIB!D29</f>
        <v>29.93</v>
      </c>
      <c r="E166" s="159">
        <f>LIB!E29</f>
        <v>53.260000000000005</v>
      </c>
      <c r="F166" s="159">
        <f>LIB!F29</f>
        <v>30.8</v>
      </c>
      <c r="G166" s="159">
        <f>LIB!G29</f>
        <v>30.93</v>
      </c>
      <c r="H166" s="159">
        <f>LIB!H29</f>
        <v>31.88</v>
      </c>
      <c r="I166" s="159">
        <f>LIB!I29</f>
        <v>32.129999999999995</v>
      </c>
      <c r="J166" s="159">
        <f>LIB!J29</f>
        <v>32.75</v>
      </c>
      <c r="K166" s="159">
        <f>LIB!K29</f>
        <v>32.75</v>
      </c>
      <c r="L166" s="159">
        <f>LIB!L29</f>
        <v>33.125</v>
      </c>
      <c r="M166" s="274"/>
      <c r="N166" s="159"/>
      <c r="O166" s="159"/>
      <c r="P166" s="161"/>
      <c r="S166" s="19"/>
      <c r="U166" s="27"/>
    </row>
    <row r="167" spans="1:28">
      <c r="A167" s="210"/>
      <c r="B167" s="159"/>
      <c r="C167" s="159"/>
      <c r="D167" s="159"/>
      <c r="E167" s="159"/>
      <c r="F167" s="159"/>
      <c r="G167" s="159"/>
      <c r="H167" s="159"/>
      <c r="I167" s="159"/>
      <c r="J167" s="159"/>
      <c r="K167" s="159"/>
      <c r="L167" s="159"/>
      <c r="M167" s="274"/>
      <c r="N167" s="159"/>
      <c r="O167" s="159"/>
      <c r="P167" s="161"/>
      <c r="S167" s="19"/>
      <c r="U167" s="27"/>
    </row>
    <row r="168" spans="1:28" ht="18.75">
      <c r="A168" s="306" t="s">
        <v>184</v>
      </c>
      <c r="B168" s="159"/>
      <c r="C168" s="159"/>
      <c r="D168" s="159"/>
      <c r="E168" s="159"/>
      <c r="F168" s="159"/>
      <c r="G168" s="159"/>
      <c r="H168" s="159"/>
      <c r="I168" s="159"/>
      <c r="J168" s="159"/>
      <c r="K168" s="159"/>
      <c r="L168" s="159"/>
      <c r="M168" s="274"/>
      <c r="N168" s="159"/>
      <c r="O168" s="159"/>
      <c r="P168" s="161"/>
      <c r="S168" s="19"/>
      <c r="U168" s="27"/>
    </row>
    <row r="169" spans="1:28" s="19" customFormat="1">
      <c r="A169" s="307" t="s">
        <v>100</v>
      </c>
      <c r="B169" s="117">
        <f>+'P&amp;R'!B15</f>
        <v>6924090</v>
      </c>
      <c r="C169" s="117">
        <f>+'P&amp;R'!C15</f>
        <v>7551787</v>
      </c>
      <c r="D169" s="117">
        <f>+'P&amp;R'!D15</f>
        <v>7789038</v>
      </c>
      <c r="E169" s="117">
        <f>+'P&amp;R'!E15</f>
        <v>8209400</v>
      </c>
      <c r="F169" s="117">
        <f>+'P&amp;R'!F15</f>
        <v>8639517</v>
      </c>
      <c r="G169" s="117">
        <f>+'P&amp;R'!G15</f>
        <v>11449771</v>
      </c>
      <c r="H169" s="117">
        <f>+'P&amp;R'!H15</f>
        <v>10457343</v>
      </c>
      <c r="I169" s="117">
        <f>+'P&amp;R'!I15</f>
        <v>10372472</v>
      </c>
      <c r="J169" s="117">
        <f>+'P&amp;R'!J15</f>
        <v>11803103</v>
      </c>
      <c r="K169" s="117">
        <f>+'P&amp;R'!K15</f>
        <v>13207903</v>
      </c>
      <c r="L169" s="117">
        <f>+'P&amp;R'!L15</f>
        <v>11891350</v>
      </c>
      <c r="M169" s="274"/>
      <c r="N169" s="117"/>
      <c r="O169" s="117"/>
      <c r="P169" s="155"/>
      <c r="Q169" s="27">
        <v>10917554</v>
      </c>
      <c r="R169" s="27">
        <v>11795289</v>
      </c>
      <c r="S169" s="27">
        <v>12864910</v>
      </c>
      <c r="T169" s="113"/>
      <c r="U169" s="27">
        <v>12864910</v>
      </c>
      <c r="V169" s="171"/>
      <c r="W169" s="184">
        <f>+Q169-J169</f>
        <v>-885549</v>
      </c>
      <c r="X169" s="184">
        <f>+R169-K169</f>
        <v>-1412614</v>
      </c>
      <c r="Y169" s="184">
        <f>+S169-L169</f>
        <v>973560</v>
      </c>
      <c r="AA169" s="190"/>
      <c r="AB169" s="245"/>
    </row>
    <row r="170" spans="1:28" s="19" customFormat="1">
      <c r="A170" s="151" t="s">
        <v>93</v>
      </c>
      <c r="B170" s="117">
        <f>+'P&amp;R'!B16</f>
        <v>0</v>
      </c>
      <c r="C170" s="117">
        <f>+'P&amp;R'!C16</f>
        <v>0</v>
      </c>
      <c r="D170" s="117">
        <f>+'P&amp;R'!D16</f>
        <v>0</v>
      </c>
      <c r="E170" s="117">
        <f>+'P&amp;R'!E16</f>
        <v>0</v>
      </c>
      <c r="F170" s="117">
        <f>+'P&amp;R'!F16</f>
        <v>0</v>
      </c>
      <c r="G170" s="117">
        <f>+'P&amp;R'!G16</f>
        <v>0</v>
      </c>
      <c r="H170" s="117">
        <f>+'P&amp;R'!H16</f>
        <v>0</v>
      </c>
      <c r="I170" s="117">
        <f>+'P&amp;R'!I16</f>
        <v>0</v>
      </c>
      <c r="J170" s="117">
        <f>+'P&amp;R'!J16</f>
        <v>0</v>
      </c>
      <c r="K170" s="117">
        <f>+'P&amp;R'!K16</f>
        <v>0</v>
      </c>
      <c r="L170" s="117">
        <f>+'[2]P&amp;R'!L22</f>
        <v>0</v>
      </c>
      <c r="M170" s="274"/>
      <c r="N170" s="117"/>
      <c r="O170" s="117"/>
      <c r="P170" s="155"/>
      <c r="Q170" s="27"/>
      <c r="R170" s="27"/>
      <c r="S170" s="27"/>
      <c r="T170" s="113"/>
      <c r="U170" s="27"/>
      <c r="V170" s="171"/>
      <c r="W170" s="184"/>
      <c r="X170" s="184"/>
      <c r="Y170" s="184"/>
      <c r="AA170" s="190"/>
      <c r="AB170" s="245"/>
    </row>
    <row r="171" spans="1:28" s="19" customFormat="1">
      <c r="A171" s="152" t="s">
        <v>155</v>
      </c>
      <c r="B171" s="117">
        <f>+'P&amp;R'!B17</f>
        <v>5241595</v>
      </c>
      <c r="C171" s="117">
        <f>+'P&amp;R'!C17</f>
        <v>3140781</v>
      </c>
      <c r="D171" s="117">
        <f>+'P&amp;R'!D17</f>
        <v>2833380</v>
      </c>
      <c r="E171" s="117">
        <f>+'P&amp;R'!E17</f>
        <v>3287046</v>
      </c>
      <c r="F171" s="117">
        <f>+'P&amp;R'!F17</f>
        <v>2806142</v>
      </c>
      <c r="G171" s="117">
        <f>+'P&amp;R'!G17</f>
        <v>3849000</v>
      </c>
      <c r="H171" s="117">
        <f>+'P&amp;R'!H17</f>
        <v>3764678</v>
      </c>
      <c r="I171" s="117">
        <f>+'P&amp;R'!I17</f>
        <v>4584652</v>
      </c>
      <c r="J171" s="117">
        <f>+'P&amp;R'!J17</f>
        <v>4185637</v>
      </c>
      <c r="K171" s="117">
        <f>+'P&amp;R'!K17</f>
        <v>4540987</v>
      </c>
      <c r="L171" s="117">
        <f>+'P&amp;R'!L17</f>
        <v>4002992</v>
      </c>
      <c r="M171" s="274"/>
      <c r="N171" s="117"/>
      <c r="O171" s="117"/>
      <c r="P171" s="155"/>
      <c r="Q171" s="27">
        <v>4150247</v>
      </c>
      <c r="R171" s="27">
        <v>4271147</v>
      </c>
      <c r="S171" s="27">
        <v>4540987</v>
      </c>
      <c r="T171" s="113"/>
      <c r="U171" s="27">
        <v>4540987</v>
      </c>
      <c r="V171" s="171"/>
      <c r="W171" s="184">
        <f t="shared" ref="W171:Y172" si="46">+Q171-J171</f>
        <v>-35390</v>
      </c>
      <c r="X171" s="184">
        <f t="shared" si="46"/>
        <v>-269840</v>
      </c>
      <c r="Y171" s="184">
        <f t="shared" si="46"/>
        <v>537995</v>
      </c>
      <c r="AA171" s="190"/>
      <c r="AB171" s="245"/>
    </row>
    <row r="172" spans="1:28" s="19" customFormat="1" ht="16.5" thickBot="1">
      <c r="A172" s="310" t="s">
        <v>83</v>
      </c>
      <c r="B172" s="117">
        <f>+'P&amp;R'!B18</f>
        <v>1851640</v>
      </c>
      <c r="C172" s="117">
        <f>+'P&amp;R'!C18</f>
        <v>1715645</v>
      </c>
      <c r="D172" s="117">
        <f>+'P&amp;R'!D18</f>
        <v>641189</v>
      </c>
      <c r="E172" s="117">
        <f>+'P&amp;R'!E18</f>
        <v>1207489</v>
      </c>
      <c r="F172" s="117">
        <f>+'P&amp;R'!F18</f>
        <v>3704651</v>
      </c>
      <c r="G172" s="117">
        <f>+'P&amp;R'!G18</f>
        <v>5010360</v>
      </c>
      <c r="H172" s="117">
        <f>+'P&amp;R'!H18</f>
        <v>9374069</v>
      </c>
      <c r="I172" s="117">
        <f>+'P&amp;R'!I18</f>
        <v>7460251</v>
      </c>
      <c r="J172" s="117">
        <f>+'P&amp;R'!J18</f>
        <v>6146405</v>
      </c>
      <c r="K172" s="117">
        <f>+'P&amp;R'!K18</f>
        <v>6512729</v>
      </c>
      <c r="L172" s="117">
        <f>+'P&amp;R'!L18</f>
        <v>8662467</v>
      </c>
      <c r="M172" s="274"/>
      <c r="N172" s="117"/>
      <c r="O172" s="117"/>
      <c r="P172" s="155"/>
      <c r="Q172" s="69">
        <v>6639543</v>
      </c>
      <c r="R172" s="69">
        <v>4648828</v>
      </c>
      <c r="S172" s="115">
        <f>607446+1768372+0+405500</f>
        <v>2781318</v>
      </c>
      <c r="T172" s="113"/>
      <c r="U172" s="115">
        <v>9659319</v>
      </c>
      <c r="V172" s="171"/>
      <c r="W172" s="185">
        <f t="shared" si="46"/>
        <v>493138</v>
      </c>
      <c r="X172" s="185">
        <f t="shared" si="46"/>
        <v>-1863901</v>
      </c>
      <c r="Y172" s="185">
        <f t="shared" si="46"/>
        <v>-5881149</v>
      </c>
      <c r="Z172" s="187" t="s">
        <v>172</v>
      </c>
      <c r="AA172" s="190"/>
      <c r="AB172" s="245"/>
    </row>
    <row r="173" spans="1:28" s="19" customFormat="1" ht="16.5" thickBot="1">
      <c r="A173" s="153" t="s">
        <v>157</v>
      </c>
      <c r="B173" s="69">
        <f>+'P&amp;R'!B19</f>
        <v>0</v>
      </c>
      <c r="C173" s="69">
        <f>+'P&amp;R'!C19</f>
        <v>0</v>
      </c>
      <c r="D173" s="69">
        <f>+'P&amp;R'!D19</f>
        <v>0</v>
      </c>
      <c r="E173" s="69">
        <f>+'P&amp;R'!E19</f>
        <v>0</v>
      </c>
      <c r="F173" s="69">
        <f>+'P&amp;R'!F19</f>
        <v>0</v>
      </c>
      <c r="G173" s="69">
        <f>+'P&amp;R'!G19</f>
        <v>0</v>
      </c>
      <c r="H173" s="69">
        <f>+'P&amp;R'!H19</f>
        <v>0</v>
      </c>
      <c r="I173" s="69">
        <f>+'P&amp;R'!I19</f>
        <v>0</v>
      </c>
      <c r="J173" s="69">
        <f>+'P&amp;R'!J19</f>
        <v>0</v>
      </c>
      <c r="K173" s="69">
        <f>+'P&amp;R'!K19</f>
        <v>0</v>
      </c>
      <c r="L173" s="69">
        <f>+'[2]P&amp;R'!L25</f>
        <v>0</v>
      </c>
      <c r="M173" s="274"/>
      <c r="N173" s="69"/>
      <c r="O173" s="69"/>
      <c r="P173" s="169"/>
      <c r="Q173" s="117"/>
      <c r="R173" s="117"/>
      <c r="S173" s="201"/>
      <c r="T173" s="113"/>
      <c r="U173" s="201"/>
      <c r="V173" s="171"/>
      <c r="W173" s="185"/>
      <c r="X173" s="185"/>
      <c r="Y173" s="185"/>
      <c r="Z173" s="187"/>
      <c r="AA173" s="190"/>
      <c r="AB173" s="245"/>
    </row>
    <row r="174" spans="1:28" s="19" customFormat="1">
      <c r="A174" s="312" t="s">
        <v>123</v>
      </c>
      <c r="B174" s="117">
        <f>SUM(B169:B172)</f>
        <v>14017325</v>
      </c>
      <c r="C174" s="117">
        <f t="shared" ref="C174:L174" si="47">SUM(C169:C172)</f>
        <v>12408213</v>
      </c>
      <c r="D174" s="117">
        <f t="shared" si="47"/>
        <v>11263607</v>
      </c>
      <c r="E174" s="117">
        <f t="shared" si="47"/>
        <v>12703935</v>
      </c>
      <c r="F174" s="117">
        <f t="shared" si="47"/>
        <v>15150310</v>
      </c>
      <c r="G174" s="117">
        <f t="shared" si="47"/>
        <v>20309131</v>
      </c>
      <c r="H174" s="117">
        <f t="shared" si="47"/>
        <v>23596090</v>
      </c>
      <c r="I174" s="117">
        <f t="shared" si="47"/>
        <v>22417375</v>
      </c>
      <c r="J174" s="117">
        <f t="shared" si="47"/>
        <v>22135145</v>
      </c>
      <c r="K174" s="117">
        <f t="shared" si="47"/>
        <v>24261619</v>
      </c>
      <c r="L174" s="117">
        <f t="shared" si="47"/>
        <v>24556809</v>
      </c>
      <c r="M174" s="274"/>
      <c r="N174" s="117"/>
      <c r="O174" s="117"/>
      <c r="P174" s="155"/>
      <c r="Q174" s="27">
        <f>SUM(Q169:Q172)</f>
        <v>21707344</v>
      </c>
      <c r="R174" s="27">
        <f>SUM(R169:R172)</f>
        <v>20715264</v>
      </c>
      <c r="S174" s="27">
        <f>SUM(S169:S172)</f>
        <v>20187215</v>
      </c>
      <c r="T174" s="113"/>
      <c r="U174" s="27">
        <f>SUM(U169:U172)</f>
        <v>27065216</v>
      </c>
      <c r="V174" s="171"/>
      <c r="W174" s="183"/>
      <c r="X174" s="183"/>
      <c r="Y174" s="183"/>
      <c r="AA174" s="190"/>
      <c r="AB174" s="245"/>
    </row>
    <row r="175" spans="1:28" s="19" customFormat="1">
      <c r="A175" s="312" t="s">
        <v>179</v>
      </c>
      <c r="B175" s="159">
        <f>'P&amp;R'!B364</f>
        <v>168</v>
      </c>
      <c r="C175" s="159">
        <f>'P&amp;R'!C364</f>
        <v>162</v>
      </c>
      <c r="D175" s="159">
        <f>'P&amp;R'!D364</f>
        <v>156</v>
      </c>
      <c r="E175" s="159">
        <f>'P&amp;R'!E364</f>
        <v>156</v>
      </c>
      <c r="F175" s="159">
        <f>'P&amp;R'!F364</f>
        <v>160</v>
      </c>
      <c r="G175" s="159">
        <f>'P&amp;R'!G364</f>
        <v>156</v>
      </c>
      <c r="H175" s="159">
        <f>'P&amp;R'!H364</f>
        <v>158</v>
      </c>
      <c r="I175" s="159">
        <f>'P&amp;R'!I364</f>
        <v>162</v>
      </c>
      <c r="J175" s="159">
        <f>'P&amp;R'!J364</f>
        <v>83.125</v>
      </c>
      <c r="K175" s="159">
        <f>'P&amp;R'!K364</f>
        <v>85.25</v>
      </c>
      <c r="L175" s="159">
        <f>'P&amp;R'!L364</f>
        <v>84.75</v>
      </c>
      <c r="M175" s="274"/>
      <c r="N175" s="159"/>
      <c r="O175" s="159"/>
      <c r="P175" s="161"/>
      <c r="Q175" s="28">
        <f>'P&amp;R'!J285</f>
        <v>61.9</v>
      </c>
      <c r="R175" s="28"/>
      <c r="S175" s="28"/>
      <c r="T175" s="113"/>
      <c r="U175" s="27"/>
      <c r="V175" s="171"/>
      <c r="W175" s="183"/>
      <c r="X175" s="183"/>
      <c r="Y175" s="183"/>
      <c r="AA175" s="190"/>
      <c r="AB175" s="245"/>
    </row>
    <row r="176" spans="1:28" s="19" customFormat="1">
      <c r="A176" s="210"/>
      <c r="B176" s="159"/>
      <c r="C176" s="159"/>
      <c r="D176" s="159"/>
      <c r="E176" s="159"/>
      <c r="F176" s="159"/>
      <c r="G176" s="159"/>
      <c r="H176" s="159"/>
      <c r="I176" s="159"/>
      <c r="J176" s="159">
        <f>+J174-'[3]All Depts'!M174</f>
        <v>-975262</v>
      </c>
      <c r="K176" s="159">
        <f>+K174-'[3]All Depts'!N174</f>
        <v>-8413086</v>
      </c>
      <c r="L176" s="159">
        <f>+L174-'[3]All Depts'!O174</f>
        <v>-3530708</v>
      </c>
      <c r="M176" s="274"/>
      <c r="N176" s="159"/>
      <c r="O176" s="159"/>
      <c r="P176" s="161"/>
      <c r="Q176" s="28"/>
      <c r="R176" s="28"/>
      <c r="S176" s="28"/>
      <c r="T176" s="113"/>
      <c r="U176" s="27"/>
      <c r="V176" s="171"/>
      <c r="W176" s="183"/>
      <c r="X176" s="183"/>
      <c r="Y176" s="183"/>
      <c r="AA176" s="190"/>
      <c r="AB176" s="245"/>
    </row>
    <row r="177" spans="1:28" s="19" customFormat="1" ht="18.75">
      <c r="A177" s="306" t="s">
        <v>185</v>
      </c>
      <c r="B177" s="159"/>
      <c r="C177" s="159"/>
      <c r="D177" s="159"/>
      <c r="E177" s="159"/>
      <c r="F177" s="159"/>
      <c r="G177" s="159"/>
      <c r="H177" s="159"/>
      <c r="I177" s="159"/>
      <c r="J177" s="159"/>
      <c r="K177" s="159"/>
      <c r="L177" s="159"/>
      <c r="M177" s="274"/>
      <c r="N177" s="159"/>
      <c r="O177" s="159"/>
      <c r="P177" s="161"/>
      <c r="Q177" s="28"/>
      <c r="R177" s="28"/>
      <c r="S177" s="28"/>
      <c r="T177" s="113"/>
      <c r="U177" s="27"/>
      <c r="V177" s="171"/>
      <c r="W177" s="183"/>
      <c r="X177" s="183"/>
      <c r="Y177" s="183"/>
      <c r="AA177" s="190"/>
      <c r="AB177" s="245"/>
    </row>
    <row r="178" spans="1:28" s="19" customFormat="1">
      <c r="A178" s="307" t="s">
        <v>100</v>
      </c>
      <c r="B178" s="117">
        <f>+POL!B15</f>
        <v>15281636</v>
      </c>
      <c r="C178" s="117">
        <f>+POL!C15</f>
        <v>15707233</v>
      </c>
      <c r="D178" s="117">
        <f>+POL!D15</f>
        <v>16496905</v>
      </c>
      <c r="E178" s="117">
        <f>+POL!E15</f>
        <v>16174985</v>
      </c>
      <c r="F178" s="117">
        <f>+POL!F15</f>
        <v>17097730</v>
      </c>
      <c r="G178" s="117">
        <f>+POL!G15</f>
        <v>18444764</v>
      </c>
      <c r="H178" s="117">
        <f>+POL!H15</f>
        <v>19758838</v>
      </c>
      <c r="I178" s="117">
        <f>+POL!I15</f>
        <v>20829121</v>
      </c>
      <c r="J178" s="117">
        <f>+POL!J15</f>
        <v>24480952</v>
      </c>
      <c r="K178" s="117">
        <f>+POL!K15</f>
        <v>26765644</v>
      </c>
      <c r="L178" s="117">
        <f>+POL!L15</f>
        <v>24457482</v>
      </c>
      <c r="M178" s="274"/>
      <c r="N178" s="117"/>
      <c r="O178" s="117"/>
      <c r="P178" s="155"/>
      <c r="Q178" s="27">
        <v>20275941</v>
      </c>
      <c r="R178" s="27">
        <v>24452610</v>
      </c>
      <c r="S178" s="27">
        <v>26198103</v>
      </c>
      <c r="T178" s="113"/>
      <c r="U178" s="27">
        <v>26198103</v>
      </c>
      <c r="V178" s="171"/>
      <c r="W178" s="184">
        <f>+Q178-J178</f>
        <v>-4205011</v>
      </c>
      <c r="X178" s="184">
        <f>+R178-K178</f>
        <v>-2313034</v>
      </c>
      <c r="Y178" s="184">
        <f>+S178-L178</f>
        <v>1740621</v>
      </c>
      <c r="AA178" s="190"/>
      <c r="AB178" s="245"/>
    </row>
    <row r="179" spans="1:28" s="19" customFormat="1">
      <c r="A179" s="151" t="s">
        <v>93</v>
      </c>
      <c r="B179" s="117">
        <f>+POL!B16</f>
        <v>0</v>
      </c>
      <c r="C179" s="117">
        <f>+POL!C16</f>
        <v>0</v>
      </c>
      <c r="D179" s="117">
        <f>+POL!D16</f>
        <v>0</v>
      </c>
      <c r="E179" s="117">
        <f>+POL!E16</f>
        <v>0</v>
      </c>
      <c r="F179" s="117">
        <f>+POL!F16</f>
        <v>0</v>
      </c>
      <c r="G179" s="117">
        <f>+POL!G16</f>
        <v>0</v>
      </c>
      <c r="H179" s="117">
        <f>+POL!H16</f>
        <v>0</v>
      </c>
      <c r="I179" s="117">
        <f>+POL!I16</f>
        <v>0</v>
      </c>
      <c r="J179" s="117">
        <f>+POL!J16</f>
        <v>0</v>
      </c>
      <c r="K179" s="117">
        <f>+POL!K16</f>
        <v>0</v>
      </c>
      <c r="L179" s="117">
        <f>+[2]POL!L22</f>
        <v>0</v>
      </c>
      <c r="M179" s="274"/>
      <c r="N179" s="117"/>
      <c r="O179" s="117"/>
      <c r="P179" s="155"/>
      <c r="Q179" s="27"/>
      <c r="R179" s="27"/>
      <c r="S179" s="27"/>
      <c r="T179" s="113"/>
      <c r="U179" s="27"/>
      <c r="V179" s="171"/>
      <c r="W179" s="184"/>
      <c r="X179" s="184"/>
      <c r="Y179" s="184"/>
      <c r="AA179" s="190"/>
      <c r="AB179" s="245"/>
    </row>
    <row r="180" spans="1:28" s="19" customFormat="1">
      <c r="A180" s="152" t="s">
        <v>155</v>
      </c>
      <c r="B180" s="117">
        <f>+POL!B17</f>
        <v>0</v>
      </c>
      <c r="C180" s="117">
        <f>+POL!C17</f>
        <v>0</v>
      </c>
      <c r="D180" s="117">
        <f>+POL!D17</f>
        <v>0</v>
      </c>
      <c r="E180" s="117">
        <f>+POL!E17</f>
        <v>0</v>
      </c>
      <c r="F180" s="117">
        <f>+POL!F17</f>
        <v>0</v>
      </c>
      <c r="G180" s="117">
        <f>+POL!G17</f>
        <v>0</v>
      </c>
      <c r="H180" s="117">
        <f>+POL!H17</f>
        <v>0</v>
      </c>
      <c r="I180" s="117">
        <f>+POL!I17</f>
        <v>0</v>
      </c>
      <c r="J180" s="117">
        <f>+POL!J17</f>
        <v>0</v>
      </c>
      <c r="K180" s="117">
        <f>+POL!K17</f>
        <v>0</v>
      </c>
      <c r="L180" s="117">
        <f>+[2]POL!L23</f>
        <v>0</v>
      </c>
      <c r="M180" s="274"/>
      <c r="N180" s="117"/>
      <c r="O180" s="117"/>
      <c r="P180" s="155"/>
      <c r="Q180" s="27"/>
      <c r="R180" s="27"/>
      <c r="S180" s="27"/>
      <c r="T180" s="113"/>
      <c r="U180" s="27"/>
      <c r="V180" s="171"/>
      <c r="W180" s="184"/>
      <c r="X180" s="184"/>
      <c r="Y180" s="184"/>
      <c r="AA180" s="190"/>
      <c r="AB180" s="245"/>
    </row>
    <row r="181" spans="1:28" s="19" customFormat="1">
      <c r="A181" s="310" t="s">
        <v>83</v>
      </c>
      <c r="B181" s="117">
        <f>+POL!B18</f>
        <v>0</v>
      </c>
      <c r="C181" s="117">
        <f>+POL!C18</f>
        <v>0</v>
      </c>
      <c r="D181" s="117">
        <f>+POL!D18</f>
        <v>0</v>
      </c>
      <c r="E181" s="117">
        <f>+POL!E18</f>
        <v>0</v>
      </c>
      <c r="F181" s="117">
        <f>+POL!F18</f>
        <v>0</v>
      </c>
      <c r="G181" s="117">
        <f>+POL!G18</f>
        <v>0</v>
      </c>
      <c r="H181" s="117">
        <f>+POL!H18</f>
        <v>0</v>
      </c>
      <c r="I181" s="117">
        <f>+POL!I18</f>
        <v>0</v>
      </c>
      <c r="J181" s="117">
        <f>+POL!J18</f>
        <v>0</v>
      </c>
      <c r="K181" s="117">
        <f>+POL!K18</f>
        <v>0</v>
      </c>
      <c r="L181" s="117">
        <f>+POL!L18</f>
        <v>0</v>
      </c>
      <c r="M181" s="274"/>
      <c r="N181" s="117"/>
      <c r="O181" s="117"/>
      <c r="P181" s="155"/>
      <c r="Q181" s="27"/>
      <c r="R181" s="27"/>
      <c r="S181" s="27"/>
      <c r="T181" s="113"/>
      <c r="U181" s="27"/>
      <c r="V181" s="171"/>
      <c r="W181" s="183"/>
      <c r="X181" s="183"/>
      <c r="Y181" s="183"/>
      <c r="AA181" s="190"/>
      <c r="AB181" s="245"/>
    </row>
    <row r="182" spans="1:28" s="19" customFormat="1" ht="16.5" thickBot="1">
      <c r="A182" s="153" t="s">
        <v>157</v>
      </c>
      <c r="B182" s="69">
        <f>+POL!B19</f>
        <v>0</v>
      </c>
      <c r="C182" s="69">
        <f>+POL!C19</f>
        <v>0</v>
      </c>
      <c r="D182" s="69">
        <f>+POL!D19</f>
        <v>0</v>
      </c>
      <c r="E182" s="69">
        <f>+POL!E19</f>
        <v>0</v>
      </c>
      <c r="F182" s="69">
        <f>+POL!F19</f>
        <v>0</v>
      </c>
      <c r="G182" s="69">
        <f>+POL!G19</f>
        <v>0</v>
      </c>
      <c r="H182" s="69">
        <f>+POL!H19</f>
        <v>0</v>
      </c>
      <c r="I182" s="69">
        <f>+POL!I19</f>
        <v>0</v>
      </c>
      <c r="J182" s="69">
        <f>+POL!J19</f>
        <v>0</v>
      </c>
      <c r="K182" s="69">
        <f>+POL!K19</f>
        <v>0</v>
      </c>
      <c r="L182" s="69">
        <f>+[2]POL!L25</f>
        <v>0</v>
      </c>
      <c r="M182" s="274"/>
      <c r="N182" s="69"/>
      <c r="O182" s="69"/>
      <c r="P182" s="169"/>
      <c r="Q182" s="27"/>
      <c r="R182" s="27"/>
      <c r="S182" s="27"/>
      <c r="T182" s="113"/>
      <c r="U182" s="27"/>
      <c r="V182" s="171"/>
      <c r="W182" s="183"/>
      <c r="X182" s="183"/>
      <c r="Y182" s="183"/>
      <c r="AA182" s="190"/>
      <c r="AB182" s="245"/>
    </row>
    <row r="183" spans="1:28" s="19" customFormat="1">
      <c r="A183" s="312" t="s">
        <v>123</v>
      </c>
      <c r="B183" s="117">
        <f t="shared" ref="B183:L183" si="48">SUM(B178:B181)</f>
        <v>15281636</v>
      </c>
      <c r="C183" s="117">
        <f t="shared" si="48"/>
        <v>15707233</v>
      </c>
      <c r="D183" s="117">
        <f t="shared" si="48"/>
        <v>16496905</v>
      </c>
      <c r="E183" s="117">
        <f t="shared" si="48"/>
        <v>16174985</v>
      </c>
      <c r="F183" s="117">
        <f t="shared" si="48"/>
        <v>17097730</v>
      </c>
      <c r="G183" s="117">
        <f t="shared" si="48"/>
        <v>18444764</v>
      </c>
      <c r="H183" s="117">
        <f t="shared" si="48"/>
        <v>19758838</v>
      </c>
      <c r="I183" s="117">
        <f t="shared" si="48"/>
        <v>20829121</v>
      </c>
      <c r="J183" s="117">
        <f t="shared" si="48"/>
        <v>24480952</v>
      </c>
      <c r="K183" s="117">
        <f t="shared" si="48"/>
        <v>26765644</v>
      </c>
      <c r="L183" s="117">
        <f t="shared" si="48"/>
        <v>24457482</v>
      </c>
      <c r="M183" s="274"/>
      <c r="N183" s="117"/>
      <c r="O183" s="117"/>
      <c r="P183" s="155"/>
      <c r="Q183" s="27"/>
      <c r="R183" s="27"/>
      <c r="S183" s="27"/>
      <c r="T183" s="113"/>
      <c r="U183" s="27"/>
      <c r="V183" s="171"/>
      <c r="W183" s="183"/>
      <c r="X183" s="183"/>
      <c r="Y183" s="183"/>
      <c r="AA183" s="190"/>
      <c r="AB183" s="245"/>
    </row>
    <row r="184" spans="1:28" s="19" customFormat="1">
      <c r="A184" s="312" t="s">
        <v>179</v>
      </c>
      <c r="B184" s="159">
        <f>POL!B30</f>
        <v>136</v>
      </c>
      <c r="C184" s="159">
        <f>POL!C30</f>
        <v>134</v>
      </c>
      <c r="D184" s="159">
        <f>POL!D30</f>
        <v>134</v>
      </c>
      <c r="E184" s="159">
        <f>POL!E30</f>
        <v>133.75</v>
      </c>
      <c r="F184" s="159">
        <f>POL!F30</f>
        <v>134.5</v>
      </c>
      <c r="G184" s="159">
        <f>POL!G30</f>
        <v>140</v>
      </c>
      <c r="H184" s="159">
        <f>POL!H30</f>
        <v>146</v>
      </c>
      <c r="I184" s="159">
        <f>POL!I30</f>
        <v>154</v>
      </c>
      <c r="J184" s="159">
        <f>POL!J30</f>
        <v>158.5</v>
      </c>
      <c r="K184" s="159">
        <f>POL!K30</f>
        <v>164.5</v>
      </c>
      <c r="L184" s="159">
        <f>POL!L30</f>
        <v>164.5</v>
      </c>
      <c r="M184" s="274"/>
      <c r="N184" s="159"/>
      <c r="O184" s="159"/>
      <c r="P184" s="161"/>
      <c r="Q184" s="28"/>
      <c r="R184" s="28"/>
      <c r="S184" s="28"/>
      <c r="T184" s="113"/>
      <c r="U184" s="27"/>
      <c r="V184" s="171"/>
      <c r="W184" s="183"/>
      <c r="X184" s="183"/>
      <c r="Y184" s="183"/>
      <c r="AA184" s="190"/>
      <c r="AB184" s="245"/>
    </row>
    <row r="185" spans="1:28" s="19" customFormat="1">
      <c r="A185" s="210"/>
      <c r="B185" s="159"/>
      <c r="C185" s="159"/>
      <c r="D185" s="159"/>
      <c r="E185" s="159"/>
      <c r="F185" s="159"/>
      <c r="G185" s="159"/>
      <c r="H185" s="159"/>
      <c r="I185" s="159"/>
      <c r="J185" s="159">
        <f>+J183-'[3]All Depts'!M183</f>
        <v>-177320</v>
      </c>
      <c r="K185" s="159">
        <f>+K183-'[3]All Depts'!N183</f>
        <v>-6804669</v>
      </c>
      <c r="L185" s="159">
        <f>+L183-'[3]All Depts'!O183</f>
        <v>0</v>
      </c>
      <c r="M185" s="274"/>
      <c r="N185" s="159"/>
      <c r="O185" s="159"/>
      <c r="P185" s="161"/>
      <c r="Q185" s="28"/>
      <c r="R185" s="28"/>
      <c r="S185" s="28"/>
      <c r="T185" s="113"/>
      <c r="U185" s="27"/>
      <c r="V185" s="171"/>
      <c r="W185" s="183"/>
      <c r="X185" s="183"/>
      <c r="Y185" s="183"/>
      <c r="AA185" s="190"/>
      <c r="AB185" s="245"/>
    </row>
    <row r="186" spans="1:28" s="19" customFormat="1" ht="18.75">
      <c r="A186" s="306" t="s">
        <v>37</v>
      </c>
      <c r="B186" s="159"/>
      <c r="C186" s="159"/>
      <c r="D186" s="159"/>
      <c r="E186" s="159"/>
      <c r="F186" s="159"/>
      <c r="G186" s="159"/>
      <c r="H186" s="159"/>
      <c r="I186" s="159"/>
      <c r="J186" s="159"/>
      <c r="K186" s="159"/>
      <c r="L186" s="159"/>
      <c r="M186" s="274"/>
      <c r="N186" s="159"/>
      <c r="O186" s="159"/>
      <c r="P186" s="161"/>
      <c r="Q186" s="28"/>
      <c r="R186" s="28"/>
      <c r="S186" s="28"/>
      <c r="T186" s="113"/>
      <c r="U186" s="27"/>
      <c r="V186" s="171"/>
      <c r="W186" s="183"/>
      <c r="X186" s="183"/>
      <c r="Y186" s="183"/>
      <c r="AA186" s="190"/>
      <c r="AB186" s="245"/>
    </row>
    <row r="187" spans="1:28">
      <c r="A187" s="307" t="s">
        <v>100</v>
      </c>
      <c r="B187" s="117">
        <f>+PW!B15</f>
        <v>3993873</v>
      </c>
      <c r="C187" s="117">
        <f>+PW!C15</f>
        <v>3869830</v>
      </c>
      <c r="D187" s="117">
        <f>+PW!D15</f>
        <v>4455067</v>
      </c>
      <c r="E187" s="117">
        <f>+PW!E15</f>
        <v>4619343</v>
      </c>
      <c r="F187" s="117">
        <f>+PW!F15</f>
        <v>5178065</v>
      </c>
      <c r="G187" s="117">
        <f>+PW!G15</f>
        <v>5507029</v>
      </c>
      <c r="H187" s="117">
        <f>+PW!H15</f>
        <v>5314453</v>
      </c>
      <c r="I187" s="117">
        <f>+PW!I15</f>
        <v>5437058</v>
      </c>
      <c r="J187" s="308">
        <f>+PW!J15</f>
        <v>5801294</v>
      </c>
      <c r="K187" s="117">
        <f>+PW!K15</f>
        <v>7061778</v>
      </c>
      <c r="L187" s="117">
        <f>+PW!L15</f>
        <v>5641211</v>
      </c>
      <c r="M187" s="274"/>
      <c r="N187" s="117"/>
      <c r="O187" s="117"/>
      <c r="P187" s="155"/>
      <c r="Q187" s="27">
        <v>5803720</v>
      </c>
      <c r="R187" s="27">
        <v>6380358</v>
      </c>
      <c r="S187" s="27">
        <v>6967532</v>
      </c>
      <c r="U187" s="27">
        <v>6967532</v>
      </c>
      <c r="W187" s="184">
        <f t="shared" ref="W187:Y190" si="49">+Q187-J187</f>
        <v>2426</v>
      </c>
      <c r="X187" s="184">
        <f t="shared" si="49"/>
        <v>-681420</v>
      </c>
      <c r="Y187" s="184">
        <f t="shared" si="49"/>
        <v>1326321</v>
      </c>
    </row>
    <row r="188" spans="1:28">
      <c r="A188" s="151" t="s">
        <v>93</v>
      </c>
      <c r="B188" s="117">
        <f>+PW!B16</f>
        <v>4962185</v>
      </c>
      <c r="C188" s="117">
        <f>+PW!C16</f>
        <v>4258356</v>
      </c>
      <c r="D188" s="117">
        <f>+PW!D16</f>
        <v>4160986</v>
      </c>
      <c r="E188" s="117">
        <f>+PW!E16</f>
        <v>4106437</v>
      </c>
      <c r="F188" s="117">
        <f>+PW!F16</f>
        <v>4854971</v>
      </c>
      <c r="G188" s="117">
        <f>+PW!G16</f>
        <v>7456697</v>
      </c>
      <c r="H188" s="117">
        <f>+PW!H16</f>
        <v>5029718</v>
      </c>
      <c r="I188" s="117">
        <f>+PW!I16</f>
        <v>4774417</v>
      </c>
      <c r="J188" s="308">
        <f>+PW!J16</f>
        <v>8648324</v>
      </c>
      <c r="K188" s="117">
        <f>+PW!K16</f>
        <v>8003967</v>
      </c>
      <c r="L188" s="117">
        <f>+PW!L16</f>
        <v>7653673</v>
      </c>
      <c r="M188" s="274"/>
      <c r="N188" s="117"/>
      <c r="O188" s="117"/>
      <c r="P188" s="155"/>
      <c r="Q188" s="27">
        <v>5251636</v>
      </c>
      <c r="R188" s="27">
        <v>7389194</v>
      </c>
      <c r="S188" s="27">
        <f>1879620+5303385</f>
        <v>7183005</v>
      </c>
      <c r="U188" s="27">
        <v>7183005</v>
      </c>
      <c r="W188" s="184">
        <f t="shared" si="49"/>
        <v>-3396688</v>
      </c>
      <c r="X188" s="185">
        <f t="shared" si="49"/>
        <v>-614773</v>
      </c>
      <c r="Y188" s="184">
        <f t="shared" si="49"/>
        <v>-470668</v>
      </c>
    </row>
    <row r="189" spans="1:28">
      <c r="A189" s="152" t="s">
        <v>155</v>
      </c>
      <c r="B189" s="117">
        <f>+PW!B17</f>
        <v>9372269</v>
      </c>
      <c r="C189" s="117">
        <f>+PW!C17</f>
        <v>9590649</v>
      </c>
      <c r="D189" s="117">
        <f>+PW!D17</f>
        <v>10022460</v>
      </c>
      <c r="E189" s="117">
        <f>+PW!E17</f>
        <v>8823433</v>
      </c>
      <c r="F189" s="117">
        <f>+PW!F17</f>
        <v>11594610</v>
      </c>
      <c r="G189" s="117">
        <f>+PW!G17</f>
        <v>15637201</v>
      </c>
      <c r="H189" s="117">
        <f>+PW!H17</f>
        <v>10852994</v>
      </c>
      <c r="I189" s="117">
        <f>+PW!I17</f>
        <v>13826489</v>
      </c>
      <c r="J189" s="308">
        <f>+PW!J17</f>
        <v>14289214</v>
      </c>
      <c r="K189" s="117">
        <f>+PW!K17</f>
        <v>21678756</v>
      </c>
      <c r="L189" s="117">
        <f>+PW!L17</f>
        <v>19000299</v>
      </c>
      <c r="M189" s="274"/>
      <c r="N189" s="117"/>
      <c r="O189" s="117"/>
      <c r="P189" s="155"/>
      <c r="Q189" s="27">
        <v>15214460</v>
      </c>
      <c r="R189" s="27">
        <v>13536760</v>
      </c>
      <c r="S189" s="27">
        <f>9264269+8071910</f>
        <v>17336179</v>
      </c>
      <c r="U189" s="27">
        <v>17336179</v>
      </c>
      <c r="W189" s="184">
        <f t="shared" si="49"/>
        <v>925246</v>
      </c>
      <c r="X189" s="185">
        <f t="shared" si="49"/>
        <v>-8141996</v>
      </c>
      <c r="Y189" s="184">
        <f t="shared" si="49"/>
        <v>-1664120</v>
      </c>
    </row>
    <row r="190" spans="1:28" ht="16.5" thickBot="1">
      <c r="A190" s="310" t="s">
        <v>83</v>
      </c>
      <c r="B190" s="117">
        <f>+PW!B18</f>
        <v>6068629</v>
      </c>
      <c r="C190" s="117">
        <f>+PW!C18</f>
        <v>6743754</v>
      </c>
      <c r="D190" s="117">
        <f>+PW!D18</f>
        <v>13640212</v>
      </c>
      <c r="E190" s="117">
        <f>+PW!E18</f>
        <v>12896888</v>
      </c>
      <c r="F190" s="117">
        <f>+PW!F18</f>
        <v>13531490</v>
      </c>
      <c r="G190" s="117">
        <f>+PW!G18</f>
        <v>15009773</v>
      </c>
      <c r="H190" s="117">
        <f>+PW!H18</f>
        <v>17068138</v>
      </c>
      <c r="I190" s="117">
        <f>+PW!I18</f>
        <v>18791293</v>
      </c>
      <c r="J190" s="117">
        <f>+PW!J18</f>
        <v>23765600</v>
      </c>
      <c r="K190" s="117">
        <f>+PW!K18</f>
        <v>48023235</v>
      </c>
      <c r="L190" s="117">
        <f>+PW!L18</f>
        <v>31650993</v>
      </c>
      <c r="M190" s="274"/>
      <c r="N190" s="117"/>
      <c r="O190" s="117"/>
      <c r="P190" s="155"/>
      <c r="Q190" s="69">
        <v>15644138</v>
      </c>
      <c r="R190" s="69">
        <v>18405607</v>
      </c>
      <c r="S190" s="137">
        <f>2270906+22865732</f>
        <v>25136638</v>
      </c>
      <c r="U190" s="137">
        <v>26678747</v>
      </c>
      <c r="W190" s="184">
        <f t="shared" si="49"/>
        <v>-8121462</v>
      </c>
      <c r="X190" s="184">
        <f t="shared" si="49"/>
        <v>-29617628</v>
      </c>
      <c r="Y190" s="184">
        <f t="shared" si="49"/>
        <v>-6514355</v>
      </c>
    </row>
    <row r="191" spans="1:28" ht="16.5" thickBot="1">
      <c r="A191" s="153" t="s">
        <v>157</v>
      </c>
      <c r="B191" s="69">
        <f>+PW!B19</f>
        <v>0</v>
      </c>
      <c r="C191" s="69">
        <f>+PW!C19</f>
        <v>0</v>
      </c>
      <c r="D191" s="69">
        <f>+PW!D19</f>
        <v>0</v>
      </c>
      <c r="E191" s="69">
        <f>+PW!E19</f>
        <v>0</v>
      </c>
      <c r="F191" s="69">
        <f>+PW!F19</f>
        <v>0</v>
      </c>
      <c r="G191" s="69">
        <f>+PW!G19</f>
        <v>0</v>
      </c>
      <c r="H191" s="69">
        <f>+PW!H19</f>
        <v>0</v>
      </c>
      <c r="I191" s="69">
        <f>+PW!I19</f>
        <v>0</v>
      </c>
      <c r="J191" s="69">
        <f>+PW!J19</f>
        <v>0</v>
      </c>
      <c r="K191" s="69">
        <f>+PW!K19</f>
        <v>0</v>
      </c>
      <c r="L191" s="69">
        <f>+[2]PW!L26</f>
        <v>0</v>
      </c>
      <c r="M191" s="274"/>
      <c r="N191" s="69"/>
      <c r="O191" s="69"/>
      <c r="P191" s="169"/>
      <c r="Q191" s="117"/>
      <c r="R191" s="117"/>
      <c r="S191" s="202"/>
      <c r="U191" s="202"/>
      <c r="W191" s="184"/>
      <c r="X191" s="184"/>
      <c r="Y191" s="184"/>
    </row>
    <row r="192" spans="1:28">
      <c r="A192" s="312" t="s">
        <v>123</v>
      </c>
      <c r="B192" s="117">
        <f>SUM(B187:B190)</f>
        <v>24396956</v>
      </c>
      <c r="C192" s="117">
        <f t="shared" ref="C192:L192" si="50">SUM(C187:C190)</f>
        <v>24462589</v>
      </c>
      <c r="D192" s="117">
        <f t="shared" si="50"/>
        <v>32278725</v>
      </c>
      <c r="E192" s="117">
        <f t="shared" si="50"/>
        <v>30446101</v>
      </c>
      <c r="F192" s="117">
        <f t="shared" si="50"/>
        <v>35159136</v>
      </c>
      <c r="G192" s="117">
        <f t="shared" si="50"/>
        <v>43610700</v>
      </c>
      <c r="H192" s="117">
        <f t="shared" si="50"/>
        <v>38265303</v>
      </c>
      <c r="I192" s="117">
        <f t="shared" si="50"/>
        <v>42829257</v>
      </c>
      <c r="J192" s="117">
        <f t="shared" si="50"/>
        <v>52504432</v>
      </c>
      <c r="K192" s="117">
        <f t="shared" si="50"/>
        <v>84767736</v>
      </c>
      <c r="L192" s="117">
        <f t="shared" si="50"/>
        <v>63946176</v>
      </c>
      <c r="M192" s="274"/>
      <c r="N192" s="117"/>
      <c r="O192" s="117"/>
      <c r="P192" s="155"/>
      <c r="Q192" s="27">
        <f>SUM(Q187:Q190)</f>
        <v>41913954</v>
      </c>
      <c r="R192" s="27">
        <f>SUM(R187:R190)</f>
        <v>45711919</v>
      </c>
      <c r="S192" s="27">
        <f>SUM(S187:S190)</f>
        <v>56623354</v>
      </c>
      <c r="U192" s="27">
        <f>SUM(U187:U190)</f>
        <v>58165463</v>
      </c>
      <c r="W192" s="186" t="s">
        <v>173</v>
      </c>
      <c r="X192" s="186" t="s">
        <v>173</v>
      </c>
      <c r="Y192" s="186" t="s">
        <v>173</v>
      </c>
    </row>
    <row r="193" spans="1:21">
      <c r="A193" s="312" t="s">
        <v>179</v>
      </c>
      <c r="B193" s="159">
        <f>PW!B30</f>
        <v>26.45</v>
      </c>
      <c r="C193" s="159">
        <f>PW!C30</f>
        <v>26.45</v>
      </c>
      <c r="D193" s="159">
        <f>PW!D30</f>
        <v>26.45</v>
      </c>
      <c r="E193" s="159">
        <f>PW!E30</f>
        <v>26.45</v>
      </c>
      <c r="F193" s="159">
        <f>PW!F30</f>
        <v>28.95</v>
      </c>
      <c r="G193" s="159">
        <f>PW!G30</f>
        <v>28.95</v>
      </c>
      <c r="H193" s="159">
        <f>PW!H30</f>
        <v>29.25</v>
      </c>
      <c r="I193" s="159">
        <f>PW!I30</f>
        <v>29.25</v>
      </c>
      <c r="J193" s="159">
        <f>PW!J30</f>
        <v>28.574999999999999</v>
      </c>
      <c r="K193" s="159">
        <f>PW!K30</f>
        <v>28.574999999999999</v>
      </c>
      <c r="L193" s="159">
        <f>PW!L30</f>
        <v>28.574999999999999</v>
      </c>
      <c r="M193" s="274"/>
      <c r="N193" s="159"/>
      <c r="O193" s="159"/>
      <c r="P193" s="161"/>
      <c r="S193" s="19"/>
      <c r="U193" s="27"/>
    </row>
    <row r="194" spans="1:21">
      <c r="A194" s="210"/>
      <c r="B194" s="159"/>
      <c r="C194" s="159"/>
      <c r="D194" s="159"/>
      <c r="E194" s="159"/>
      <c r="F194" s="159"/>
      <c r="G194" s="159"/>
      <c r="H194" s="159"/>
      <c r="I194" s="159"/>
      <c r="J194" s="159">
        <f>+J192-'[3]All Depts'!M192</f>
        <v>-1357668</v>
      </c>
      <c r="K194" s="159">
        <f>+K192-'[3]All Depts'!N192</f>
        <v>-7124824</v>
      </c>
      <c r="L194" s="159">
        <f>+L192-'[3]All Depts'!O192</f>
        <v>-5885200</v>
      </c>
      <c r="M194" s="274"/>
      <c r="N194" s="159"/>
      <c r="O194" s="159"/>
      <c r="P194" s="161"/>
      <c r="S194" s="19"/>
      <c r="U194" s="27"/>
    </row>
    <row r="195" spans="1:21" ht="18.75">
      <c r="A195" s="306" t="s">
        <v>186</v>
      </c>
      <c r="B195" s="159"/>
      <c r="C195" s="159"/>
      <c r="D195" s="159"/>
      <c r="E195" s="159"/>
      <c r="F195" s="159"/>
      <c r="G195" s="159"/>
      <c r="H195" s="159"/>
      <c r="I195" s="159"/>
      <c r="J195" s="159"/>
      <c r="K195" s="159"/>
      <c r="L195" s="159"/>
      <c r="M195" s="274"/>
      <c r="N195" s="159"/>
      <c r="O195" s="159"/>
      <c r="P195" s="161"/>
      <c r="S195" s="19"/>
      <c r="U195" s="27"/>
    </row>
    <row r="196" spans="1:21">
      <c r="A196" s="307" t="s">
        <v>100</v>
      </c>
      <c r="B196" s="159">
        <f>+'W&amp;P'!B15</f>
        <v>0</v>
      </c>
      <c r="C196" s="159">
        <f>+'W&amp;P'!C15</f>
        <v>0</v>
      </c>
      <c r="D196" s="159">
        <f>+'W&amp;P'!D15</f>
        <v>0</v>
      </c>
      <c r="E196" s="159">
        <f>+'W&amp;P'!E15</f>
        <v>0</v>
      </c>
      <c r="F196" s="159">
        <f>+'W&amp;P'!F15</f>
        <v>0</v>
      </c>
      <c r="G196" s="159">
        <f>+'W&amp;P'!G15</f>
        <v>0</v>
      </c>
      <c r="H196" s="159">
        <f>+'W&amp;P'!H15</f>
        <v>0</v>
      </c>
      <c r="I196" s="159">
        <f>+'W&amp;P'!I15</f>
        <v>0</v>
      </c>
      <c r="J196" s="159">
        <f>+'W&amp;P'!J15</f>
        <v>0</v>
      </c>
      <c r="K196" s="159">
        <f>+'W&amp;P'!K15</f>
        <v>0</v>
      </c>
      <c r="L196" s="159">
        <f>+'W&amp;P'!L15</f>
        <v>0</v>
      </c>
      <c r="M196" s="274"/>
      <c r="N196" s="159"/>
      <c r="O196" s="159"/>
      <c r="P196" s="161"/>
      <c r="S196" s="19"/>
      <c r="U196" s="27"/>
    </row>
    <row r="197" spans="1:21">
      <c r="A197" s="151" t="s">
        <v>93</v>
      </c>
      <c r="B197" s="159">
        <f>+'W&amp;P'!B16</f>
        <v>0</v>
      </c>
      <c r="C197" s="159">
        <f>+'W&amp;P'!C16</f>
        <v>0</v>
      </c>
      <c r="D197" s="159">
        <f>+'W&amp;P'!D16</f>
        <v>0</v>
      </c>
      <c r="E197" s="159">
        <f>+'W&amp;P'!E16</f>
        <v>0</v>
      </c>
      <c r="F197" s="159">
        <f>+'W&amp;P'!F16</f>
        <v>0</v>
      </c>
      <c r="G197" s="159">
        <f>+'W&amp;P'!G16</f>
        <v>0</v>
      </c>
      <c r="H197" s="159">
        <f>+'W&amp;P'!H16</f>
        <v>0</v>
      </c>
      <c r="I197" s="159">
        <f>+'W&amp;P'!I16</f>
        <v>0</v>
      </c>
      <c r="J197" s="159">
        <f>+'W&amp;P'!J16</f>
        <v>0</v>
      </c>
      <c r="K197" s="159">
        <f>+'W&amp;P'!K16</f>
        <v>0</v>
      </c>
      <c r="L197" s="159">
        <f>+'[2]W&amp;P'!L22</f>
        <v>0</v>
      </c>
      <c r="M197" s="274"/>
      <c r="N197" s="159"/>
      <c r="O197" s="159"/>
      <c r="P197" s="161"/>
      <c r="S197" s="19"/>
      <c r="U197" s="27"/>
    </row>
    <row r="198" spans="1:21">
      <c r="A198" s="152" t="s">
        <v>155</v>
      </c>
      <c r="B198" s="313">
        <f>+'W&amp;P'!B17</f>
        <v>60259947</v>
      </c>
      <c r="C198" s="313">
        <f>+'W&amp;P'!C17</f>
        <v>63459395</v>
      </c>
      <c r="D198" s="313">
        <f>+'W&amp;P'!D17</f>
        <v>79506698</v>
      </c>
      <c r="E198" s="313">
        <f>+'W&amp;P'!E17</f>
        <v>74895896</v>
      </c>
      <c r="F198" s="313">
        <f>+'W&amp;P'!F17</f>
        <v>88309308</v>
      </c>
      <c r="G198" s="313">
        <f>+'W&amp;P'!G17</f>
        <v>106301997</v>
      </c>
      <c r="H198" s="313">
        <f>+'W&amp;P'!H17</f>
        <v>129306407</v>
      </c>
      <c r="I198" s="313">
        <f>+'W&amp;P'!I17</f>
        <v>120190453</v>
      </c>
      <c r="J198" s="313">
        <f>+'W&amp;P'!J17</f>
        <v>131086188</v>
      </c>
      <c r="K198" s="313">
        <f>+'W&amp;P'!K17</f>
        <v>176485074</v>
      </c>
      <c r="L198" s="313">
        <f>+'W&amp;P'!L17</f>
        <v>176043403</v>
      </c>
      <c r="M198" s="274"/>
      <c r="N198" s="313"/>
      <c r="O198" s="313"/>
      <c r="P198" s="314"/>
      <c r="S198" s="19"/>
      <c r="U198" s="27"/>
    </row>
    <row r="199" spans="1:21">
      <c r="A199" s="310" t="s">
        <v>83</v>
      </c>
      <c r="B199" s="159">
        <f>+'W&amp;P'!B18</f>
        <v>0</v>
      </c>
      <c r="C199" s="159">
        <f>+'W&amp;P'!C18</f>
        <v>0</v>
      </c>
      <c r="D199" s="159">
        <f>+'W&amp;P'!D18</f>
        <v>0</v>
      </c>
      <c r="E199" s="159">
        <f>+'W&amp;P'!E18</f>
        <v>0</v>
      </c>
      <c r="F199" s="159">
        <f>+'W&amp;P'!F18</f>
        <v>0</v>
      </c>
      <c r="G199" s="159">
        <f>+'W&amp;P'!G18</f>
        <v>0</v>
      </c>
      <c r="H199" s="159">
        <f>+'W&amp;P'!H18</f>
        <v>0</v>
      </c>
      <c r="I199" s="159">
        <f>+'W&amp;P'!I18</f>
        <v>0</v>
      </c>
      <c r="J199" s="159">
        <f>+'W&amp;P'!J18</f>
        <v>0</v>
      </c>
      <c r="K199" s="159">
        <f>+'W&amp;P'!K18</f>
        <v>0</v>
      </c>
      <c r="L199" s="159">
        <f>+'[2]W&amp;P'!L24</f>
        <v>0</v>
      </c>
      <c r="M199" s="274"/>
      <c r="N199" s="159"/>
      <c r="O199" s="159"/>
      <c r="P199" s="161"/>
      <c r="S199" s="19"/>
      <c r="U199" s="27"/>
    </row>
    <row r="200" spans="1:21" ht="16.5" thickBot="1">
      <c r="A200" s="153" t="s">
        <v>157</v>
      </c>
      <c r="B200" s="143">
        <f>+'W&amp;P'!B19</f>
        <v>0</v>
      </c>
      <c r="C200" s="143">
        <f>+'W&amp;P'!C19</f>
        <v>0</v>
      </c>
      <c r="D200" s="143">
        <f>+'W&amp;P'!D19</f>
        <v>0</v>
      </c>
      <c r="E200" s="143">
        <f>+'W&amp;P'!E19</f>
        <v>0</v>
      </c>
      <c r="F200" s="143">
        <f>+'W&amp;P'!F19</f>
        <v>0</v>
      </c>
      <c r="G200" s="143">
        <f>+'W&amp;P'!G19</f>
        <v>0</v>
      </c>
      <c r="H200" s="143">
        <f>+'W&amp;P'!H19</f>
        <v>0</v>
      </c>
      <c r="I200" s="143">
        <f>+'W&amp;P'!I19</f>
        <v>0</v>
      </c>
      <c r="J200" s="143">
        <f>+'W&amp;P'!J19</f>
        <v>0</v>
      </c>
      <c r="K200" s="143">
        <f>+'W&amp;P'!K19</f>
        <v>0</v>
      </c>
      <c r="L200" s="143">
        <f>+'[2]W&amp;P'!L25</f>
        <v>0</v>
      </c>
      <c r="M200" s="274"/>
      <c r="N200" s="143"/>
      <c r="O200" s="143"/>
      <c r="P200" s="315"/>
      <c r="S200" s="19"/>
      <c r="U200" s="27"/>
    </row>
    <row r="201" spans="1:21">
      <c r="A201" s="312" t="s">
        <v>123</v>
      </c>
      <c r="B201" s="117">
        <f t="shared" ref="B201:L201" si="51">SUM(B196:B199)</f>
        <v>60259947</v>
      </c>
      <c r="C201" s="117">
        <f t="shared" si="51"/>
        <v>63459395</v>
      </c>
      <c r="D201" s="117">
        <f t="shared" si="51"/>
        <v>79506698</v>
      </c>
      <c r="E201" s="117">
        <f t="shared" si="51"/>
        <v>74895896</v>
      </c>
      <c r="F201" s="117">
        <f t="shared" si="51"/>
        <v>88309308</v>
      </c>
      <c r="G201" s="117">
        <f t="shared" si="51"/>
        <v>106301997</v>
      </c>
      <c r="H201" s="117">
        <f t="shared" si="51"/>
        <v>129306407</v>
      </c>
      <c r="I201" s="117">
        <f t="shared" si="51"/>
        <v>120190453</v>
      </c>
      <c r="J201" s="117">
        <f t="shared" si="51"/>
        <v>131086188</v>
      </c>
      <c r="K201" s="117">
        <f t="shared" si="51"/>
        <v>176485074</v>
      </c>
      <c r="L201" s="117">
        <f t="shared" si="51"/>
        <v>176043403</v>
      </c>
      <c r="M201" s="274"/>
      <c r="N201" s="117"/>
      <c r="O201" s="117"/>
      <c r="P201" s="155"/>
      <c r="S201" s="19"/>
      <c r="U201" s="27"/>
    </row>
    <row r="202" spans="1:21">
      <c r="A202" s="210"/>
      <c r="B202" s="159"/>
      <c r="C202" s="159"/>
      <c r="D202" s="159"/>
      <c r="E202" s="159"/>
      <c r="F202" s="159"/>
      <c r="G202" s="159"/>
      <c r="H202" s="159"/>
      <c r="I202" s="159"/>
      <c r="J202" s="159"/>
      <c r="K202" s="159"/>
      <c r="L202" s="159"/>
      <c r="M202" s="274"/>
      <c r="N202" s="159"/>
      <c r="O202" s="159"/>
      <c r="P202" s="161"/>
      <c r="S202" s="19"/>
      <c r="U202" s="27"/>
    </row>
    <row r="203" spans="1:21">
      <c r="A203" s="210"/>
      <c r="B203" s="159"/>
      <c r="C203" s="159"/>
      <c r="D203" s="159"/>
      <c r="E203" s="159"/>
      <c r="F203" s="159"/>
      <c r="G203" s="159"/>
      <c r="H203" s="159"/>
      <c r="I203" s="159"/>
      <c r="J203" s="159"/>
      <c r="K203" s="159"/>
      <c r="L203" s="159"/>
      <c r="M203" s="274"/>
      <c r="N203" s="159"/>
      <c r="O203" s="159"/>
      <c r="P203" s="161"/>
      <c r="S203" s="19"/>
      <c r="U203" s="27"/>
    </row>
    <row r="204" spans="1:21" ht="18.75">
      <c r="A204" s="306" t="s">
        <v>187</v>
      </c>
      <c r="B204" s="159"/>
      <c r="C204" s="159"/>
      <c r="D204" s="159"/>
      <c r="E204" s="159"/>
      <c r="F204" s="159"/>
      <c r="G204" s="159"/>
      <c r="H204" s="159"/>
      <c r="I204" s="159"/>
      <c r="J204" s="159"/>
      <c r="K204" s="159"/>
      <c r="L204" s="159"/>
      <c r="M204" s="274"/>
      <c r="N204" s="159"/>
      <c r="O204" s="159"/>
      <c r="P204" s="161"/>
      <c r="S204" s="19"/>
      <c r="U204" s="27"/>
    </row>
    <row r="205" spans="1:21">
      <c r="A205" s="307" t="s">
        <v>100</v>
      </c>
      <c r="B205" s="313"/>
      <c r="C205" s="313">
        <f>+'Non Dept '!C15</f>
        <v>5261708</v>
      </c>
      <c r="D205" s="313">
        <f>+'Non Dept '!D15</f>
        <v>8123668</v>
      </c>
      <c r="E205" s="313">
        <f>+'Non Dept '!E15</f>
        <v>4644934</v>
      </c>
      <c r="F205" s="313">
        <f>+'Non Dept '!F15</f>
        <v>8365983</v>
      </c>
      <c r="G205" s="313">
        <f>+'Non Dept '!G15</f>
        <v>11288241</v>
      </c>
      <c r="H205" s="313">
        <f>+'Non Dept '!H15</f>
        <v>13405496</v>
      </c>
      <c r="I205" s="313">
        <f>+'Non Dept '!I15</f>
        <v>19409558</v>
      </c>
      <c r="J205" s="313">
        <f>+'Non Dept '!J15</f>
        <v>32894790</v>
      </c>
      <c r="K205" s="313">
        <f>+'Non Dept '!K15</f>
        <v>47931815</v>
      </c>
      <c r="L205" s="313">
        <f>+'Non Dept '!L15</f>
        <v>32886584</v>
      </c>
      <c r="M205" s="274"/>
      <c r="N205" s="313"/>
      <c r="O205" s="313"/>
      <c r="P205" s="314"/>
      <c r="S205" s="19"/>
      <c r="U205" s="27"/>
    </row>
    <row r="206" spans="1:21">
      <c r="A206" s="151" t="s">
        <v>93</v>
      </c>
      <c r="B206" s="159">
        <f>+'Non Dept '!B17</f>
        <v>0</v>
      </c>
      <c r="C206" s="313">
        <f>+'Non Dept '!C16</f>
        <v>0</v>
      </c>
      <c r="D206" s="313">
        <f>+'Non Dept '!D16</f>
        <v>0</v>
      </c>
      <c r="E206" s="313">
        <f>+'Non Dept '!E16</f>
        <v>0</v>
      </c>
      <c r="F206" s="313">
        <f>+'Non Dept '!F16</f>
        <v>0</v>
      </c>
      <c r="G206" s="313">
        <f>+'Non Dept '!G16</f>
        <v>0</v>
      </c>
      <c r="H206" s="313">
        <f>+'Non Dept '!H16</f>
        <v>0</v>
      </c>
      <c r="I206" s="313">
        <f>+'Non Dept '!I16</f>
        <v>0</v>
      </c>
      <c r="J206" s="313">
        <f>+'Non Dept '!J16</f>
        <v>0</v>
      </c>
      <c r="K206" s="313">
        <f>+'Non Dept '!K16</f>
        <v>0</v>
      </c>
      <c r="L206" s="313">
        <f>+'Non Dept '!L16</f>
        <v>0</v>
      </c>
      <c r="M206" s="274"/>
      <c r="N206" s="159"/>
      <c r="O206" s="159"/>
      <c r="P206" s="161"/>
      <c r="S206" s="19"/>
      <c r="U206" s="27"/>
    </row>
    <row r="207" spans="1:21">
      <c r="A207" s="152" t="s">
        <v>155</v>
      </c>
      <c r="B207" s="313">
        <f>+'Non Dept '!B18</f>
        <v>6871635</v>
      </c>
      <c r="C207" s="313">
        <f>+'Non Dept '!C17</f>
        <v>0</v>
      </c>
      <c r="D207" s="313">
        <f>+'Non Dept '!D17</f>
        <v>0</v>
      </c>
      <c r="E207" s="313">
        <f>+'Non Dept '!E17</f>
        <v>0</v>
      </c>
      <c r="F207" s="313">
        <f>+'Non Dept '!F17</f>
        <v>0</v>
      </c>
      <c r="G207" s="313">
        <f>+'Non Dept '!G17</f>
        <v>0</v>
      </c>
      <c r="H207" s="313">
        <f>+'Non Dept '!H17</f>
        <v>0</v>
      </c>
      <c r="I207" s="313">
        <f>+'Non Dept '!I17</f>
        <v>0</v>
      </c>
      <c r="J207" s="313">
        <f>+'Non Dept '!J17</f>
        <v>0</v>
      </c>
      <c r="K207" s="313">
        <f>+'Non Dept '!K17</f>
        <v>0</v>
      </c>
      <c r="L207" s="313">
        <f>+'Non Dept '!L17</f>
        <v>0</v>
      </c>
      <c r="M207" s="274"/>
      <c r="N207" s="313"/>
      <c r="O207" s="313"/>
      <c r="P207" s="314"/>
      <c r="S207" s="19"/>
      <c r="U207" s="27"/>
    </row>
    <row r="208" spans="1:21">
      <c r="A208" s="310" t="s">
        <v>83</v>
      </c>
      <c r="B208" s="159">
        <f>+'Non Dept '!B19</f>
        <v>0</v>
      </c>
      <c r="C208" s="313">
        <f>+'Non Dept '!C18</f>
        <v>0</v>
      </c>
      <c r="D208" s="313">
        <f>+'Non Dept '!D18</f>
        <v>0</v>
      </c>
      <c r="E208" s="313">
        <f>+'Non Dept '!E18</f>
        <v>0</v>
      </c>
      <c r="F208" s="313">
        <f>+'Non Dept '!F18</f>
        <v>0</v>
      </c>
      <c r="G208" s="313">
        <f>+'Non Dept '!G18</f>
        <v>0</v>
      </c>
      <c r="H208" s="313">
        <f>+'Non Dept '!H18</f>
        <v>0</v>
      </c>
      <c r="I208" s="313">
        <f>+'Non Dept '!I18</f>
        <v>2931288</v>
      </c>
      <c r="J208" s="313">
        <f>+'Non Dept '!J18</f>
        <v>851539</v>
      </c>
      <c r="K208" s="313">
        <f>+'Non Dept '!K18</f>
        <v>23191319</v>
      </c>
      <c r="L208" s="313">
        <f>+'Non Dept '!L18</f>
        <v>7091098</v>
      </c>
      <c r="M208" s="274"/>
      <c r="N208" s="313"/>
      <c r="O208" s="313"/>
      <c r="P208" s="314"/>
      <c r="S208" s="19"/>
      <c r="U208" s="27"/>
    </row>
    <row r="209" spans="1:21" ht="16.5" thickBot="1">
      <c r="A209" s="153" t="s">
        <v>157</v>
      </c>
      <c r="B209" s="203">
        <f>+'Non Dept '!B19</f>
        <v>0</v>
      </c>
      <c r="C209" s="203">
        <f>+'Non Dept '!C19</f>
        <v>6606733</v>
      </c>
      <c r="D209" s="203">
        <f>+'Non Dept '!D19</f>
        <v>5424627</v>
      </c>
      <c r="E209" s="203">
        <f>+'Non Dept '!E19</f>
        <v>12062357</v>
      </c>
      <c r="F209" s="203">
        <f>+'Non Dept '!F19</f>
        <v>16446616</v>
      </c>
      <c r="G209" s="203">
        <f>+'Non Dept '!G19</f>
        <v>19699968</v>
      </c>
      <c r="H209" s="203">
        <f>+'Non Dept '!H19</f>
        <v>24844487</v>
      </c>
      <c r="I209" s="203">
        <f>+'Non Dept '!I19</f>
        <v>13205339</v>
      </c>
      <c r="J209" s="203">
        <f>+'Non Dept '!J19</f>
        <v>32748950</v>
      </c>
      <c r="K209" s="203">
        <f>+'Non Dept '!K19</f>
        <v>47808333</v>
      </c>
      <c r="L209" s="203">
        <f>+'Non Dept '!L19</f>
        <v>6180557</v>
      </c>
      <c r="M209" s="274"/>
      <c r="N209" s="203"/>
      <c r="O209" s="203"/>
      <c r="P209" s="316"/>
      <c r="S209" s="19"/>
      <c r="U209" s="27"/>
    </row>
    <row r="210" spans="1:21">
      <c r="A210" s="312" t="s">
        <v>123</v>
      </c>
      <c r="B210" s="117">
        <f>SUM(B205:B208)</f>
        <v>6871635</v>
      </c>
      <c r="C210" s="117">
        <f>SUM(C205:C209)</f>
        <v>11868441</v>
      </c>
      <c r="D210" s="117">
        <f t="shared" ref="D210:L210" si="52">SUM(D205:D209)</f>
        <v>13548295</v>
      </c>
      <c r="E210" s="117">
        <f t="shared" si="52"/>
        <v>16707291</v>
      </c>
      <c r="F210" s="117">
        <f t="shared" si="52"/>
        <v>24812599</v>
      </c>
      <c r="G210" s="117">
        <f t="shared" si="52"/>
        <v>30988209</v>
      </c>
      <c r="H210" s="117">
        <f t="shared" si="52"/>
        <v>38249983</v>
      </c>
      <c r="I210" s="117">
        <f t="shared" si="52"/>
        <v>35546185</v>
      </c>
      <c r="J210" s="117">
        <f t="shared" si="52"/>
        <v>66495279</v>
      </c>
      <c r="K210" s="117">
        <f t="shared" si="52"/>
        <v>118931467</v>
      </c>
      <c r="L210" s="117">
        <f t="shared" si="52"/>
        <v>46158239</v>
      </c>
      <c r="M210" s="274"/>
      <c r="N210" s="117"/>
      <c r="O210" s="117"/>
      <c r="P210" s="155"/>
      <c r="S210" s="19"/>
      <c r="U210" s="27"/>
    </row>
    <row r="211" spans="1:21">
      <c r="A211" s="210"/>
      <c r="B211" s="159"/>
      <c r="C211" s="159"/>
      <c r="D211" s="159"/>
      <c r="E211" s="159"/>
      <c r="F211" s="159"/>
      <c r="G211" s="159"/>
      <c r="H211" s="159"/>
      <c r="I211" s="159"/>
      <c r="J211" s="159"/>
      <c r="K211" s="159"/>
      <c r="L211" s="159"/>
      <c r="M211" s="274"/>
      <c r="N211" s="159"/>
      <c r="O211" s="159"/>
      <c r="P211" s="161"/>
      <c r="S211" s="19"/>
      <c r="U211" s="27"/>
    </row>
    <row r="212" spans="1:21">
      <c r="A212" s="210"/>
      <c r="B212" s="159"/>
      <c r="C212" s="159"/>
      <c r="D212" s="159"/>
      <c r="E212" s="159"/>
      <c r="F212" s="159"/>
      <c r="G212" s="159"/>
      <c r="H212" s="159"/>
      <c r="I212" s="159"/>
      <c r="J212" s="159"/>
      <c r="K212" s="159"/>
      <c r="L212" s="159"/>
      <c r="M212" s="274"/>
      <c r="N212" s="159"/>
      <c r="O212" s="159"/>
      <c r="P212" s="161"/>
      <c r="S212" s="19"/>
      <c r="U212" s="27"/>
    </row>
    <row r="213" spans="1:21" ht="18.75" hidden="1">
      <c r="A213" s="306" t="s">
        <v>188</v>
      </c>
      <c r="B213" s="159"/>
      <c r="C213" s="159"/>
      <c r="D213" s="159"/>
      <c r="E213" s="159"/>
      <c r="F213" s="159"/>
      <c r="G213" s="159"/>
      <c r="H213" s="159"/>
      <c r="I213" s="159"/>
      <c r="J213" s="159"/>
      <c r="K213" s="159"/>
      <c r="L213" s="159"/>
      <c r="M213" s="274"/>
      <c r="N213" s="159"/>
      <c r="O213" s="159"/>
      <c r="P213" s="161"/>
      <c r="S213" s="19"/>
      <c r="U213" s="27"/>
    </row>
    <row r="214" spans="1:21" hidden="1">
      <c r="A214" s="307" t="s">
        <v>100</v>
      </c>
      <c r="B214" s="313">
        <f>+Contrib!B17</f>
        <v>0</v>
      </c>
      <c r="C214" s="313">
        <f>+Contrib!C17</f>
        <v>0</v>
      </c>
      <c r="D214" s="313">
        <f>+Contrib!D17</f>
        <v>0</v>
      </c>
      <c r="E214" s="313">
        <f>+Contrib!E17</f>
        <v>0</v>
      </c>
      <c r="F214" s="313">
        <f>+Contrib!F17</f>
        <v>0</v>
      </c>
      <c r="G214" s="313">
        <f>+Contrib!G17</f>
        <v>0</v>
      </c>
      <c r="H214" s="313">
        <f>+Contrib!H17</f>
        <v>0</v>
      </c>
      <c r="I214" s="313">
        <f>+Contrib!I17</f>
        <v>0</v>
      </c>
      <c r="J214" s="313">
        <f>+Contrib!J17</f>
        <v>0</v>
      </c>
      <c r="K214" s="313">
        <f>+Contrib!K17</f>
        <v>0</v>
      </c>
      <c r="L214" s="313">
        <f>+[2]Contrib!L25</f>
        <v>0</v>
      </c>
      <c r="M214" s="274"/>
      <c r="N214" s="313"/>
      <c r="O214" s="313"/>
      <c r="P214" s="314"/>
      <c r="S214" s="19"/>
      <c r="U214" s="27"/>
    </row>
    <row r="215" spans="1:21" hidden="1">
      <c r="A215" s="151" t="s">
        <v>93</v>
      </c>
      <c r="B215" s="159">
        <f>+Contrib!B18</f>
        <v>0</v>
      </c>
      <c r="C215" s="159">
        <f>+Contrib!C18</f>
        <v>0</v>
      </c>
      <c r="D215" s="159">
        <f>+Contrib!D18</f>
        <v>0</v>
      </c>
      <c r="E215" s="159">
        <f>+Contrib!E18</f>
        <v>0</v>
      </c>
      <c r="F215" s="159">
        <f>+Contrib!F18</f>
        <v>0</v>
      </c>
      <c r="G215" s="159">
        <f>+Contrib!G18</f>
        <v>0</v>
      </c>
      <c r="H215" s="159">
        <f>+Contrib!H18</f>
        <v>0</v>
      </c>
      <c r="I215" s="159">
        <f>+Contrib!I18</f>
        <v>0</v>
      </c>
      <c r="J215" s="159">
        <f>+Contrib!J18</f>
        <v>0</v>
      </c>
      <c r="K215" s="159">
        <f>+Contrib!K18</f>
        <v>0</v>
      </c>
      <c r="L215" s="159">
        <f>+[2]Contrib!L26</f>
        <v>0</v>
      </c>
      <c r="M215" s="274"/>
      <c r="N215" s="159"/>
      <c r="O215" s="159"/>
      <c r="P215" s="161"/>
      <c r="S215" s="19"/>
      <c r="U215" s="27"/>
    </row>
    <row r="216" spans="1:21" hidden="1">
      <c r="A216" s="152" t="s">
        <v>155</v>
      </c>
      <c r="B216" s="313">
        <f>+Contrib!B19</f>
        <v>0</v>
      </c>
      <c r="C216" s="313">
        <f>+Contrib!C19</f>
        <v>0</v>
      </c>
      <c r="D216" s="313">
        <f>+Contrib!D19</f>
        <v>0</v>
      </c>
      <c r="E216" s="313">
        <f>+Contrib!E19</f>
        <v>0</v>
      </c>
      <c r="F216" s="313">
        <f>+Contrib!F19</f>
        <v>0</v>
      </c>
      <c r="G216" s="313">
        <f>+Contrib!G19</f>
        <v>0</v>
      </c>
      <c r="H216" s="313">
        <f>+Contrib!H19</f>
        <v>0</v>
      </c>
      <c r="I216" s="313">
        <f>+Contrib!I19</f>
        <v>0</v>
      </c>
      <c r="J216" s="313">
        <f>+Contrib!J19</f>
        <v>0</v>
      </c>
      <c r="K216" s="313">
        <f>+Contrib!K19</f>
        <v>0</v>
      </c>
      <c r="L216" s="313">
        <f>+[2]Contrib!L27</f>
        <v>0</v>
      </c>
      <c r="M216" s="274"/>
      <c r="N216" s="313"/>
      <c r="O216" s="313"/>
      <c r="P216" s="314"/>
      <c r="S216" s="19"/>
      <c r="U216" s="27"/>
    </row>
    <row r="217" spans="1:21" hidden="1">
      <c r="A217" s="310" t="s">
        <v>83</v>
      </c>
      <c r="B217" s="159">
        <f>+Contrib!B20</f>
        <v>0</v>
      </c>
      <c r="C217" s="313">
        <f>+Contrib!C20</f>
        <v>0</v>
      </c>
      <c r="D217" s="313">
        <f>+Contrib!D20</f>
        <v>0</v>
      </c>
      <c r="E217" s="313">
        <f>+Contrib!E20</f>
        <v>0</v>
      </c>
      <c r="F217" s="313">
        <f>+Contrib!F20</f>
        <v>0</v>
      </c>
      <c r="G217" s="313">
        <f>+Contrib!G20</f>
        <v>0</v>
      </c>
      <c r="H217" s="313">
        <f>+Contrib!H20</f>
        <v>0</v>
      </c>
      <c r="I217" s="313">
        <f>+Contrib!I20</f>
        <v>0</v>
      </c>
      <c r="J217" s="313">
        <f>+Contrib!J20</f>
        <v>0</v>
      </c>
      <c r="K217" s="313">
        <f>+Contrib!K20</f>
        <v>0</v>
      </c>
      <c r="L217" s="313">
        <f>+[2]Contrib!L28</f>
        <v>0</v>
      </c>
      <c r="M217" s="274"/>
      <c r="N217" s="313"/>
      <c r="O217" s="313"/>
      <c r="P217" s="314"/>
      <c r="S217" s="19"/>
      <c r="U217" s="27"/>
    </row>
    <row r="218" spans="1:21" ht="16.5" hidden="1" thickBot="1">
      <c r="A218" s="153" t="s">
        <v>157</v>
      </c>
      <c r="B218" s="203">
        <f>+Contrib!B21</f>
        <v>0</v>
      </c>
      <c r="C218" s="203">
        <f>+Contrib!C21</f>
        <v>0</v>
      </c>
      <c r="D218" s="203">
        <f>+Contrib!D21</f>
        <v>0</v>
      </c>
      <c r="E218" s="203">
        <f>+Contrib!E21</f>
        <v>0</v>
      </c>
      <c r="F218" s="203">
        <f>+Contrib!F21</f>
        <v>0</v>
      </c>
      <c r="G218" s="203">
        <f>+Contrib!G21</f>
        <v>0</v>
      </c>
      <c r="H218" s="203">
        <f>+Contrib!H21</f>
        <v>0</v>
      </c>
      <c r="I218" s="203">
        <f>+Contrib!I21</f>
        <v>0</v>
      </c>
      <c r="J218" s="203">
        <f>+Contrib!J21</f>
        <v>0</v>
      </c>
      <c r="K218" s="203">
        <f>+Contrib!K21</f>
        <v>0</v>
      </c>
      <c r="L218" s="203">
        <f>+[2]Contrib!L29</f>
        <v>0</v>
      </c>
      <c r="M218" s="274"/>
      <c r="N218" s="203"/>
      <c r="O218" s="203"/>
      <c r="P218" s="316"/>
      <c r="S218" s="19"/>
      <c r="U218" s="27"/>
    </row>
    <row r="219" spans="1:21" hidden="1">
      <c r="A219" s="312" t="s">
        <v>123</v>
      </c>
      <c r="B219" s="117">
        <f t="shared" ref="B219:L219" si="53">SUM(B214:B217)</f>
        <v>0</v>
      </c>
      <c r="C219" s="117">
        <f t="shared" si="53"/>
        <v>0</v>
      </c>
      <c r="D219" s="117">
        <f t="shared" si="53"/>
        <v>0</v>
      </c>
      <c r="E219" s="117">
        <f t="shared" si="53"/>
        <v>0</v>
      </c>
      <c r="F219" s="117">
        <f t="shared" si="53"/>
        <v>0</v>
      </c>
      <c r="G219" s="117">
        <f t="shared" si="53"/>
        <v>0</v>
      </c>
      <c r="H219" s="117">
        <f t="shared" si="53"/>
        <v>0</v>
      </c>
      <c r="I219" s="117">
        <f t="shared" si="53"/>
        <v>0</v>
      </c>
      <c r="J219" s="117">
        <f t="shared" si="53"/>
        <v>0</v>
      </c>
      <c r="K219" s="117">
        <f t="shared" si="53"/>
        <v>0</v>
      </c>
      <c r="L219" s="117">
        <f t="shared" si="53"/>
        <v>0</v>
      </c>
      <c r="M219" s="274"/>
      <c r="N219" s="117"/>
      <c r="O219" s="117"/>
      <c r="P219" s="155"/>
      <c r="S219" s="19"/>
      <c r="U219" s="27"/>
    </row>
    <row r="220" spans="1:21" hidden="1">
      <c r="A220" s="312"/>
      <c r="B220" s="159"/>
      <c r="C220" s="159"/>
      <c r="D220" s="159"/>
      <c r="E220" s="159"/>
      <c r="F220" s="159"/>
      <c r="G220" s="159"/>
      <c r="H220" s="159"/>
      <c r="I220" s="159"/>
      <c r="J220" s="159"/>
      <c r="K220" s="159"/>
      <c r="L220" s="159"/>
      <c r="M220" s="274"/>
      <c r="N220" s="159"/>
      <c r="O220" s="159"/>
      <c r="P220" s="161"/>
      <c r="S220" s="19"/>
      <c r="U220" s="27"/>
    </row>
    <row r="221" spans="1:21" ht="18.75" hidden="1">
      <c r="A221" s="306" t="s">
        <v>113</v>
      </c>
      <c r="B221" s="159"/>
      <c r="C221" s="159"/>
      <c r="D221" s="159"/>
      <c r="E221" s="159"/>
      <c r="F221" s="159"/>
      <c r="G221" s="159"/>
      <c r="H221" s="159"/>
      <c r="I221" s="159"/>
      <c r="J221" s="159"/>
      <c r="K221" s="159"/>
      <c r="L221" s="159"/>
      <c r="M221" s="274"/>
      <c r="N221" s="159"/>
      <c r="O221" s="159"/>
      <c r="P221" s="161"/>
      <c r="S221" s="19"/>
      <c r="U221" s="27"/>
    </row>
    <row r="222" spans="1:21" hidden="1">
      <c r="A222" s="307" t="s">
        <v>100</v>
      </c>
      <c r="B222" s="313">
        <f>+Transfers!B18</f>
        <v>0</v>
      </c>
      <c r="C222" s="313">
        <f>+Transfers!C18</f>
        <v>0</v>
      </c>
      <c r="D222" s="313">
        <f>+Transfers!D18</f>
        <v>0</v>
      </c>
      <c r="E222" s="313">
        <f>+Transfers!E18</f>
        <v>0</v>
      </c>
      <c r="F222" s="313">
        <f>+Transfers!F18</f>
        <v>0</v>
      </c>
      <c r="G222" s="313">
        <f>+Transfers!G18</f>
        <v>0</v>
      </c>
      <c r="H222" s="313">
        <f>+Transfers!H18</f>
        <v>0</v>
      </c>
      <c r="I222" s="313">
        <f>+Transfers!I18</f>
        <v>0</v>
      </c>
      <c r="J222" s="313">
        <f>+Transfers!J18</f>
        <v>0</v>
      </c>
      <c r="K222" s="313">
        <f>+Transfers!K18</f>
        <v>0</v>
      </c>
      <c r="L222" s="313">
        <f>+[2]Transfers!L23</f>
        <v>0</v>
      </c>
      <c r="M222" s="274"/>
      <c r="N222" s="313"/>
      <c r="O222" s="313"/>
      <c r="P222" s="314"/>
      <c r="Q222" s="204">
        <f>+L223+L222+L214</f>
        <v>0</v>
      </c>
      <c r="S222" s="19"/>
      <c r="U222" s="27"/>
    </row>
    <row r="223" spans="1:21" hidden="1">
      <c r="A223" s="151" t="s">
        <v>93</v>
      </c>
      <c r="B223" s="159">
        <f>+Transfers!B19</f>
        <v>0</v>
      </c>
      <c r="C223" s="159">
        <f>+Transfers!C19</f>
        <v>0</v>
      </c>
      <c r="D223" s="159">
        <f>+Transfers!D19</f>
        <v>0</v>
      </c>
      <c r="E223" s="159">
        <f>+Transfers!E19</f>
        <v>0</v>
      </c>
      <c r="F223" s="159">
        <f>+Transfers!F19</f>
        <v>0</v>
      </c>
      <c r="G223" s="159">
        <f>+Transfers!G19</f>
        <v>0</v>
      </c>
      <c r="H223" s="159">
        <f>+Transfers!H19</f>
        <v>0</v>
      </c>
      <c r="I223" s="159">
        <f>+Transfers!I19</f>
        <v>0</v>
      </c>
      <c r="J223" s="159">
        <f>+Transfers!J19</f>
        <v>0</v>
      </c>
      <c r="K223" s="159">
        <f>+Transfers!K19</f>
        <v>0</v>
      </c>
      <c r="L223" s="159">
        <f>+[2]Transfers!L24</f>
        <v>0</v>
      </c>
      <c r="M223" s="274"/>
      <c r="N223" s="159"/>
      <c r="O223" s="159"/>
      <c r="P223" s="161"/>
      <c r="S223" s="19"/>
      <c r="U223" s="27"/>
    </row>
    <row r="224" spans="1:21" hidden="1">
      <c r="A224" s="152" t="s">
        <v>155</v>
      </c>
      <c r="B224" s="313">
        <f>+Transfers!B20</f>
        <v>0</v>
      </c>
      <c r="C224" s="313">
        <f>+Transfers!C20</f>
        <v>0</v>
      </c>
      <c r="D224" s="313">
        <f>+Transfers!D20</f>
        <v>0</v>
      </c>
      <c r="E224" s="313">
        <f>+Transfers!E20</f>
        <v>0</v>
      </c>
      <c r="F224" s="313">
        <f>+Transfers!F20</f>
        <v>0</v>
      </c>
      <c r="G224" s="313">
        <f>+Transfers!G20</f>
        <v>0</v>
      </c>
      <c r="H224" s="313">
        <f>+Transfers!H20</f>
        <v>0</v>
      </c>
      <c r="I224" s="313">
        <f>+Transfers!I20</f>
        <v>0</v>
      </c>
      <c r="J224" s="313">
        <f>+Transfers!J20</f>
        <v>0</v>
      </c>
      <c r="K224" s="313">
        <f>+Transfers!K20</f>
        <v>0</v>
      </c>
      <c r="L224" s="313">
        <f>+[2]Transfers!L25</f>
        <v>0</v>
      </c>
      <c r="M224" s="274"/>
      <c r="N224" s="313"/>
      <c r="O224" s="313"/>
      <c r="P224" s="314"/>
      <c r="S224" s="19"/>
      <c r="U224" s="27"/>
    </row>
    <row r="225" spans="1:21" hidden="1">
      <c r="A225" s="310" t="s">
        <v>83</v>
      </c>
      <c r="B225" s="159">
        <f>+Transfers!B21</f>
        <v>0</v>
      </c>
      <c r="C225" s="313">
        <f>+Transfers!C21</f>
        <v>0</v>
      </c>
      <c r="D225" s="313">
        <f>+Transfers!D21</f>
        <v>0</v>
      </c>
      <c r="E225" s="313">
        <f>+Transfers!E21</f>
        <v>0</v>
      </c>
      <c r="F225" s="313">
        <f>+Transfers!F21</f>
        <v>0</v>
      </c>
      <c r="G225" s="313">
        <f>+Transfers!G21</f>
        <v>0</v>
      </c>
      <c r="H225" s="313">
        <f>+Transfers!H21</f>
        <v>0</v>
      </c>
      <c r="I225" s="313">
        <f>+Transfers!I21</f>
        <v>0</v>
      </c>
      <c r="J225" s="313">
        <f>+Transfers!J21</f>
        <v>0</v>
      </c>
      <c r="K225" s="313">
        <f>+Transfers!K21</f>
        <v>0</v>
      </c>
      <c r="L225" s="313">
        <f>+[2]Transfers!L26</f>
        <v>0</v>
      </c>
      <c r="M225" s="274"/>
      <c r="N225" s="313"/>
      <c r="O225" s="313"/>
      <c r="P225" s="314"/>
      <c r="S225" s="19"/>
      <c r="U225" s="27"/>
    </row>
    <row r="226" spans="1:21" ht="16.5" hidden="1" thickBot="1">
      <c r="A226" s="153" t="s">
        <v>157</v>
      </c>
      <c r="B226" s="203">
        <f>+Transfers!B22</f>
        <v>0</v>
      </c>
      <c r="C226" s="203">
        <f>+Transfers!C22</f>
        <v>0</v>
      </c>
      <c r="D226" s="203">
        <f>+Transfers!D22</f>
        <v>0</v>
      </c>
      <c r="E226" s="203">
        <f>+Transfers!E22</f>
        <v>0</v>
      </c>
      <c r="F226" s="203">
        <f>+Transfers!F22</f>
        <v>0</v>
      </c>
      <c r="G226" s="203">
        <f>+Transfers!G22</f>
        <v>0</v>
      </c>
      <c r="H226" s="203">
        <f>+Transfers!H22</f>
        <v>0</v>
      </c>
      <c r="I226" s="203">
        <f>+Transfers!I22</f>
        <v>0</v>
      </c>
      <c r="J226" s="203">
        <f>+Transfers!J22</f>
        <v>0</v>
      </c>
      <c r="K226" s="203">
        <f>+Transfers!K22</f>
        <v>0</v>
      </c>
      <c r="L226" s="203">
        <f>+[2]Transfers!L27</f>
        <v>0</v>
      </c>
      <c r="M226" s="274"/>
      <c r="N226" s="203"/>
      <c r="O226" s="203"/>
      <c r="P226" s="316"/>
      <c r="S226" s="19"/>
      <c r="U226" s="27"/>
    </row>
    <row r="227" spans="1:21" hidden="1">
      <c r="A227" s="312" t="s">
        <v>123</v>
      </c>
      <c r="B227" s="117">
        <f t="shared" ref="B227:L227" si="54">SUM(B222:B225)</f>
        <v>0</v>
      </c>
      <c r="C227" s="117">
        <f t="shared" si="54"/>
        <v>0</v>
      </c>
      <c r="D227" s="117">
        <f t="shared" si="54"/>
        <v>0</v>
      </c>
      <c r="E227" s="117">
        <f t="shared" si="54"/>
        <v>0</v>
      </c>
      <c r="F227" s="117">
        <f t="shared" si="54"/>
        <v>0</v>
      </c>
      <c r="G227" s="117">
        <f t="shared" si="54"/>
        <v>0</v>
      </c>
      <c r="H227" s="117">
        <f t="shared" si="54"/>
        <v>0</v>
      </c>
      <c r="I227" s="117">
        <f t="shared" si="54"/>
        <v>0</v>
      </c>
      <c r="J227" s="117">
        <f t="shared" si="54"/>
        <v>0</v>
      </c>
      <c r="K227" s="117">
        <f t="shared" si="54"/>
        <v>0</v>
      </c>
      <c r="L227" s="117">
        <f t="shared" si="54"/>
        <v>0</v>
      </c>
      <c r="M227" s="274"/>
      <c r="N227" s="117"/>
      <c r="O227" s="117"/>
      <c r="P227" s="155"/>
      <c r="S227" s="19"/>
      <c r="U227" s="27"/>
    </row>
    <row r="228" spans="1:21" hidden="1">
      <c r="A228" s="312"/>
      <c r="B228" s="159"/>
      <c r="C228" s="159"/>
      <c r="D228" s="159"/>
      <c r="E228" s="159"/>
      <c r="F228" s="159"/>
      <c r="G228" s="159"/>
      <c r="H228" s="159"/>
      <c r="I228" s="159"/>
      <c r="J228" s="159"/>
      <c r="K228" s="159"/>
      <c r="L228" s="159"/>
      <c r="M228" s="274"/>
      <c r="N228" s="159"/>
      <c r="O228" s="159"/>
      <c r="P228" s="161"/>
      <c r="S228" s="19"/>
      <c r="U228" s="27"/>
    </row>
    <row r="229" spans="1:21" ht="18.75" hidden="1">
      <c r="A229" s="306" t="s">
        <v>130</v>
      </c>
      <c r="B229" s="159"/>
      <c r="C229" s="159"/>
      <c r="D229" s="159"/>
      <c r="E229" s="159"/>
      <c r="F229" s="159"/>
      <c r="G229" s="159"/>
      <c r="H229" s="159"/>
      <c r="I229" s="159"/>
      <c r="J229" s="159"/>
      <c r="K229" s="159"/>
      <c r="L229" s="159"/>
      <c r="M229" s="274"/>
      <c r="N229" s="159"/>
      <c r="O229" s="159"/>
      <c r="P229" s="161"/>
      <c r="S229" s="19"/>
      <c r="U229" s="27"/>
    </row>
    <row r="230" spans="1:21" hidden="1">
      <c r="A230" s="307" t="s">
        <v>100</v>
      </c>
      <c r="B230" s="313">
        <f>+Airport!B15</f>
        <v>0</v>
      </c>
      <c r="C230" s="313">
        <f>+Airport!C15</f>
        <v>0</v>
      </c>
      <c r="D230" s="313">
        <f>+Airport!D15</f>
        <v>0</v>
      </c>
      <c r="E230" s="313">
        <f>+Airport!E15</f>
        <v>0</v>
      </c>
      <c r="F230" s="313">
        <f>+Airport!F15</f>
        <v>0</v>
      </c>
      <c r="G230" s="313">
        <f>+Airport!G15</f>
        <v>0</v>
      </c>
      <c r="H230" s="313">
        <f>+Airport!H15</f>
        <v>0</v>
      </c>
      <c r="I230" s="313">
        <f>+Airport!I15</f>
        <v>0</v>
      </c>
      <c r="J230" s="313">
        <f>+Airport!J15</f>
        <v>0</v>
      </c>
      <c r="K230" s="313">
        <f>+Airport!K15</f>
        <v>0</v>
      </c>
      <c r="L230" s="313">
        <f>+Airport!L15</f>
        <v>0</v>
      </c>
      <c r="M230" s="274"/>
      <c r="N230" s="313"/>
      <c r="O230" s="313"/>
      <c r="P230" s="314"/>
      <c r="S230" s="19"/>
      <c r="U230" s="27"/>
    </row>
    <row r="231" spans="1:21" hidden="1">
      <c r="A231" s="151" t="s">
        <v>93</v>
      </c>
      <c r="B231" s="159">
        <f>+Airport!B16</f>
        <v>0</v>
      </c>
      <c r="C231" s="159">
        <f>+Airport!C16</f>
        <v>0</v>
      </c>
      <c r="D231" s="159">
        <f>+Airport!D16</f>
        <v>0</v>
      </c>
      <c r="E231" s="159">
        <f>+Airport!E16</f>
        <v>0</v>
      </c>
      <c r="F231" s="159">
        <f>+Airport!F16</f>
        <v>0</v>
      </c>
      <c r="G231" s="159">
        <f>+Airport!G16</f>
        <v>0</v>
      </c>
      <c r="H231" s="159">
        <f>+Airport!H16</f>
        <v>0</v>
      </c>
      <c r="I231" s="159">
        <f>+Airport!I16</f>
        <v>0</v>
      </c>
      <c r="J231" s="159">
        <f>+Airport!J16</f>
        <v>0</v>
      </c>
      <c r="K231" s="159">
        <f>+Airport!K16</f>
        <v>0</v>
      </c>
      <c r="L231" s="159">
        <f>+[2]Airport!L21</f>
        <v>0</v>
      </c>
      <c r="M231" s="274"/>
      <c r="N231" s="159"/>
      <c r="O231" s="159"/>
      <c r="P231" s="161"/>
      <c r="S231" s="19"/>
      <c r="U231" s="27"/>
    </row>
    <row r="232" spans="1:21" hidden="1">
      <c r="A232" s="152" t="s">
        <v>155</v>
      </c>
      <c r="B232" s="313">
        <f>+Airport!B17</f>
        <v>0</v>
      </c>
      <c r="C232" s="313">
        <f>+Airport!C17</f>
        <v>0</v>
      </c>
      <c r="D232" s="313">
        <f>+Airport!D17</f>
        <v>0</v>
      </c>
      <c r="E232" s="313">
        <f>+Airport!E17</f>
        <v>0</v>
      </c>
      <c r="F232" s="313">
        <f>+Airport!F17</f>
        <v>0</v>
      </c>
      <c r="G232" s="313">
        <f>+Airport!G17</f>
        <v>0</v>
      </c>
      <c r="H232" s="313">
        <f>+Airport!H17</f>
        <v>0</v>
      </c>
      <c r="I232" s="313">
        <f>+Airport!I17</f>
        <v>0</v>
      </c>
      <c r="J232" s="313">
        <f>+Airport!J17</f>
        <v>0</v>
      </c>
      <c r="K232" s="313">
        <f>+Airport!K17</f>
        <v>0</v>
      </c>
      <c r="L232" s="313">
        <f>+[2]Airport!L22</f>
        <v>0</v>
      </c>
      <c r="M232" s="274"/>
      <c r="N232" s="313"/>
      <c r="O232" s="313"/>
      <c r="P232" s="314"/>
      <c r="S232" s="19"/>
      <c r="U232" s="27"/>
    </row>
    <row r="233" spans="1:21" hidden="1">
      <c r="A233" s="310" t="s">
        <v>83</v>
      </c>
      <c r="B233" s="159">
        <f>+Airport!B18</f>
        <v>0</v>
      </c>
      <c r="C233" s="313">
        <f>+Airport!C18</f>
        <v>0</v>
      </c>
      <c r="D233" s="313">
        <f>+Airport!D18</f>
        <v>0</v>
      </c>
      <c r="E233" s="313">
        <f>+Airport!E18</f>
        <v>0</v>
      </c>
      <c r="F233" s="313">
        <f>+Airport!F18</f>
        <v>0</v>
      </c>
      <c r="G233" s="313">
        <f>+Airport!G18</f>
        <v>0</v>
      </c>
      <c r="H233" s="313">
        <f>+Airport!H18</f>
        <v>0</v>
      </c>
      <c r="I233" s="313">
        <f>+Airport!I18</f>
        <v>0</v>
      </c>
      <c r="J233" s="313">
        <f>+Airport!J18</f>
        <v>0</v>
      </c>
      <c r="K233" s="313">
        <f>+Airport!K18</f>
        <v>0</v>
      </c>
      <c r="L233" s="313">
        <f>+[2]Airport!L23</f>
        <v>0</v>
      </c>
      <c r="M233" s="274"/>
      <c r="N233" s="313"/>
      <c r="O233" s="313"/>
      <c r="P233" s="314"/>
      <c r="S233" s="19"/>
      <c r="U233" s="27"/>
    </row>
    <row r="234" spans="1:21" ht="16.5" hidden="1" thickBot="1">
      <c r="A234" s="153" t="s">
        <v>157</v>
      </c>
      <c r="B234" s="203">
        <f>+Airport!B19</f>
        <v>0</v>
      </c>
      <c r="C234" s="203">
        <f>+Airport!C19</f>
        <v>0</v>
      </c>
      <c r="D234" s="203">
        <f>+Airport!D19</f>
        <v>0</v>
      </c>
      <c r="E234" s="203">
        <f>+Airport!E19</f>
        <v>0</v>
      </c>
      <c r="F234" s="203">
        <f>+Airport!F19</f>
        <v>0</v>
      </c>
      <c r="G234" s="203">
        <f>+Airport!G19</f>
        <v>0</v>
      </c>
      <c r="H234" s="203">
        <f>+Airport!H19</f>
        <v>0</v>
      </c>
      <c r="I234" s="203">
        <f>+Airport!I26</f>
        <v>0</v>
      </c>
      <c r="J234" s="203">
        <f>+Airport!J26</f>
        <v>0</v>
      </c>
      <c r="K234" s="203">
        <f>+Airport!K26</f>
        <v>0</v>
      </c>
      <c r="L234" s="203">
        <f>+Airport!L26</f>
        <v>0</v>
      </c>
      <c r="M234" s="274"/>
      <c r="N234" s="203"/>
      <c r="O234" s="203"/>
      <c r="P234" s="316"/>
      <c r="S234" s="19"/>
      <c r="U234" s="27"/>
    </row>
    <row r="235" spans="1:21" hidden="1">
      <c r="A235" s="312" t="s">
        <v>123</v>
      </c>
      <c r="B235" s="117">
        <f t="shared" ref="B235:L235" si="55">SUM(B230:B233)</f>
        <v>0</v>
      </c>
      <c r="C235" s="117">
        <f t="shared" si="55"/>
        <v>0</v>
      </c>
      <c r="D235" s="117">
        <f t="shared" si="55"/>
        <v>0</v>
      </c>
      <c r="E235" s="117">
        <f t="shared" si="55"/>
        <v>0</v>
      </c>
      <c r="F235" s="117">
        <f t="shared" si="55"/>
        <v>0</v>
      </c>
      <c r="G235" s="117">
        <f t="shared" si="55"/>
        <v>0</v>
      </c>
      <c r="H235" s="117">
        <f t="shared" si="55"/>
        <v>0</v>
      </c>
      <c r="I235" s="117">
        <f t="shared" si="55"/>
        <v>0</v>
      </c>
      <c r="J235" s="117">
        <f t="shared" si="55"/>
        <v>0</v>
      </c>
      <c r="K235" s="117">
        <f t="shared" si="55"/>
        <v>0</v>
      </c>
      <c r="L235" s="117">
        <f t="shared" si="55"/>
        <v>0</v>
      </c>
      <c r="M235" s="274"/>
      <c r="N235" s="117"/>
      <c r="O235" s="117"/>
      <c r="P235" s="155"/>
      <c r="S235" s="19"/>
      <c r="U235" s="27"/>
    </row>
    <row r="236" spans="1:21" hidden="1">
      <c r="A236" s="312"/>
      <c r="B236" s="159"/>
      <c r="C236" s="159"/>
      <c r="D236" s="159"/>
      <c r="E236" s="159"/>
      <c r="F236" s="159"/>
      <c r="G236" s="159"/>
      <c r="H236" s="159"/>
      <c r="I236" s="159"/>
      <c r="J236" s="159"/>
      <c r="K236" s="159"/>
      <c r="L236" s="159"/>
      <c r="M236" s="274"/>
      <c r="N236" s="159"/>
      <c r="O236" s="159"/>
      <c r="P236" s="161"/>
      <c r="S236" s="19"/>
      <c r="U236" s="27"/>
    </row>
    <row r="237" spans="1:21" ht="18.75" hidden="1">
      <c r="A237" s="306" t="s">
        <v>170</v>
      </c>
      <c r="B237" s="159"/>
      <c r="C237" s="159"/>
      <c r="D237" s="159"/>
      <c r="E237" s="159"/>
      <c r="F237" s="159"/>
      <c r="G237" s="159"/>
      <c r="H237" s="159"/>
      <c r="I237" s="159"/>
      <c r="J237" s="159"/>
      <c r="K237" s="159"/>
      <c r="L237" s="159"/>
      <c r="M237" s="274"/>
      <c r="N237" s="159"/>
      <c r="O237" s="159"/>
      <c r="P237" s="161"/>
      <c r="S237" s="19"/>
      <c r="U237" s="27"/>
    </row>
    <row r="238" spans="1:21" hidden="1">
      <c r="A238" s="307" t="s">
        <v>100</v>
      </c>
      <c r="B238" s="313">
        <f>+'Cap Proj'!B18</f>
        <v>0</v>
      </c>
      <c r="C238" s="313">
        <f>+'Cap Proj'!C18</f>
        <v>0</v>
      </c>
      <c r="D238" s="313">
        <f>+'Cap Proj'!D18</f>
        <v>0</v>
      </c>
      <c r="E238" s="313">
        <f>+'Cap Proj'!E18</f>
        <v>0</v>
      </c>
      <c r="F238" s="313">
        <f>+'Cap Proj'!F18</f>
        <v>0</v>
      </c>
      <c r="G238" s="313">
        <f>+'Cap Proj'!G18</f>
        <v>0</v>
      </c>
      <c r="H238" s="313">
        <f>+'Cap Proj'!H18</f>
        <v>0</v>
      </c>
      <c r="I238" s="313">
        <f>+'Cap Proj'!I18</f>
        <v>0</v>
      </c>
      <c r="J238" s="313">
        <f>+'Cap Proj'!J18</f>
        <v>0</v>
      </c>
      <c r="K238" s="313">
        <f>+'Cap Proj'!K18</f>
        <v>0</v>
      </c>
      <c r="L238" s="313">
        <f>+'Cap Proj'!L18</f>
        <v>0</v>
      </c>
      <c r="M238" s="274"/>
      <c r="N238" s="313"/>
      <c r="O238" s="313"/>
      <c r="P238" s="314"/>
      <c r="S238" s="19"/>
      <c r="U238" s="27"/>
    </row>
    <row r="239" spans="1:21" hidden="1">
      <c r="A239" s="151" t="s">
        <v>93</v>
      </c>
      <c r="B239" s="159">
        <f>+'Cap Proj'!B19</f>
        <v>0</v>
      </c>
      <c r="C239" s="159">
        <f>+'Cap Proj'!C19</f>
        <v>0</v>
      </c>
      <c r="D239" s="159">
        <f>+'Cap Proj'!D19</f>
        <v>0</v>
      </c>
      <c r="E239" s="159">
        <f>+'Cap Proj'!E19</f>
        <v>0</v>
      </c>
      <c r="F239" s="159">
        <f>+'Cap Proj'!F19</f>
        <v>0</v>
      </c>
      <c r="G239" s="159">
        <f>+'Cap Proj'!G19</f>
        <v>0</v>
      </c>
      <c r="H239" s="159">
        <f>+'Cap Proj'!H19</f>
        <v>0</v>
      </c>
      <c r="I239" s="159">
        <f>+'Cap Proj'!I19</f>
        <v>0</v>
      </c>
      <c r="J239" s="159">
        <f>+'Cap Proj'!J19</f>
        <v>0</v>
      </c>
      <c r="K239" s="159">
        <f>+'Cap Proj'!K19</f>
        <v>0</v>
      </c>
      <c r="L239" s="159">
        <f>+'[2]Cap Proj'!L22</f>
        <v>0</v>
      </c>
      <c r="M239" s="274"/>
      <c r="N239" s="159"/>
      <c r="O239" s="159"/>
      <c r="P239" s="161"/>
      <c r="S239" s="19"/>
      <c r="U239" s="27"/>
    </row>
    <row r="240" spans="1:21" hidden="1">
      <c r="A240" s="152" t="s">
        <v>155</v>
      </c>
      <c r="B240" s="313">
        <f>+'Cap Proj'!B20</f>
        <v>0</v>
      </c>
      <c r="C240" s="313">
        <f>+'Cap Proj'!C20</f>
        <v>0</v>
      </c>
      <c r="D240" s="313">
        <f>+'Cap Proj'!D20</f>
        <v>0</v>
      </c>
      <c r="E240" s="313">
        <f>+'Cap Proj'!E20</f>
        <v>0</v>
      </c>
      <c r="F240" s="313">
        <f>+'Cap Proj'!F20</f>
        <v>0</v>
      </c>
      <c r="G240" s="313">
        <f>+'Cap Proj'!G20</f>
        <v>0</v>
      </c>
      <c r="H240" s="313">
        <f>+'Cap Proj'!H20</f>
        <v>0</v>
      </c>
      <c r="I240" s="313">
        <f>+'Cap Proj'!I20</f>
        <v>0</v>
      </c>
      <c r="J240" s="313">
        <f>+'Cap Proj'!J20</f>
        <v>0</v>
      </c>
      <c r="K240" s="313">
        <f>+'Cap Proj'!K20</f>
        <v>0</v>
      </c>
      <c r="L240" s="313">
        <f>+'[2]Cap Proj'!L23</f>
        <v>0</v>
      </c>
      <c r="M240" s="274"/>
      <c r="N240" s="313"/>
      <c r="O240" s="313"/>
      <c r="P240" s="314"/>
      <c r="S240" s="19"/>
      <c r="U240" s="27"/>
    </row>
    <row r="241" spans="1:21" hidden="1">
      <c r="A241" s="310" t="s">
        <v>83</v>
      </c>
      <c r="B241" s="159">
        <f>+'Cap Proj'!B21</f>
        <v>0</v>
      </c>
      <c r="C241" s="313">
        <f>+'Cap Proj'!C21</f>
        <v>0</v>
      </c>
      <c r="D241" s="313">
        <f>+'Cap Proj'!D21</f>
        <v>0</v>
      </c>
      <c r="E241" s="313">
        <f>+'Cap Proj'!E21</f>
        <v>0</v>
      </c>
      <c r="F241" s="313">
        <f>+'Cap Proj'!F21</f>
        <v>0</v>
      </c>
      <c r="G241" s="313">
        <f>+'Cap Proj'!G21</f>
        <v>0</v>
      </c>
      <c r="H241" s="313">
        <f>+'Cap Proj'!H21</f>
        <v>0</v>
      </c>
      <c r="I241" s="313">
        <f>+'Cap Proj'!I21</f>
        <v>0</v>
      </c>
      <c r="J241" s="313">
        <f>+'Cap Proj'!J42</f>
        <v>0</v>
      </c>
      <c r="K241" s="313">
        <f>+'Cap Proj'!K42</f>
        <v>0</v>
      </c>
      <c r="L241" s="313">
        <f>+'Cap Proj'!L42</f>
        <v>0</v>
      </c>
      <c r="M241" s="274"/>
      <c r="N241" s="313"/>
      <c r="O241" s="313"/>
      <c r="P241" s="314"/>
      <c r="S241" s="19"/>
      <c r="U241" s="27"/>
    </row>
    <row r="242" spans="1:21" ht="16.5" hidden="1" thickBot="1">
      <c r="A242" s="153" t="s">
        <v>157</v>
      </c>
      <c r="B242" s="203">
        <f>+'Cap Proj'!B22</f>
        <v>0</v>
      </c>
      <c r="C242" s="203">
        <f>+'Cap Proj'!C22</f>
        <v>0</v>
      </c>
      <c r="D242" s="203">
        <f>+'Cap Proj'!D22</f>
        <v>0</v>
      </c>
      <c r="E242" s="203">
        <f>+'Cap Proj'!E22</f>
        <v>0</v>
      </c>
      <c r="F242" s="203">
        <f>+'Cap Proj'!F22</f>
        <v>0</v>
      </c>
      <c r="G242" s="203">
        <f>+'Cap Proj'!G22</f>
        <v>0</v>
      </c>
      <c r="H242" s="203">
        <f>+'Cap Proj'!H22</f>
        <v>0</v>
      </c>
      <c r="I242" s="203">
        <f>+'Cap Proj'!I22</f>
        <v>0</v>
      </c>
      <c r="J242" s="203">
        <f>+'Cap Proj'!J22</f>
        <v>0</v>
      </c>
      <c r="K242" s="203">
        <f>+'Cap Proj'!K22</f>
        <v>0</v>
      </c>
      <c r="L242" s="203">
        <f>+'[2]Cap Proj'!L25</f>
        <v>0</v>
      </c>
      <c r="M242" s="274"/>
      <c r="N242" s="203"/>
      <c r="O242" s="203"/>
      <c r="P242" s="316"/>
      <c r="S242" s="19"/>
      <c r="U242" s="27"/>
    </row>
    <row r="243" spans="1:21" hidden="1">
      <c r="A243" s="312" t="s">
        <v>123</v>
      </c>
      <c r="B243" s="117">
        <f t="shared" ref="B243:L243" si="56">SUM(B238:B241)</f>
        <v>0</v>
      </c>
      <c r="C243" s="117">
        <f t="shared" si="56"/>
        <v>0</v>
      </c>
      <c r="D243" s="117">
        <f t="shared" si="56"/>
        <v>0</v>
      </c>
      <c r="E243" s="117">
        <f t="shared" si="56"/>
        <v>0</v>
      </c>
      <c r="F243" s="117">
        <f t="shared" si="56"/>
        <v>0</v>
      </c>
      <c r="G243" s="117">
        <f t="shared" si="56"/>
        <v>0</v>
      </c>
      <c r="H243" s="117">
        <f t="shared" si="56"/>
        <v>0</v>
      </c>
      <c r="I243" s="117">
        <f t="shared" si="56"/>
        <v>0</v>
      </c>
      <c r="J243" s="117">
        <f t="shared" si="56"/>
        <v>0</v>
      </c>
      <c r="K243" s="117">
        <f t="shared" si="56"/>
        <v>0</v>
      </c>
      <c r="L243" s="117">
        <f t="shared" si="56"/>
        <v>0</v>
      </c>
      <c r="M243" s="274"/>
      <c r="N243" s="117"/>
      <c r="O243" s="117"/>
      <c r="P243" s="155"/>
      <c r="S243" s="19"/>
      <c r="U243" s="27"/>
    </row>
    <row r="244" spans="1:21" hidden="1">
      <c r="A244" s="312"/>
      <c r="B244" s="159"/>
      <c r="C244" s="159"/>
      <c r="D244" s="159"/>
      <c r="E244" s="159"/>
      <c r="F244" s="159"/>
      <c r="G244" s="159"/>
      <c r="H244" s="159"/>
      <c r="I244" s="159"/>
      <c r="J244" s="159"/>
      <c r="K244" s="159"/>
      <c r="L244" s="159"/>
      <c r="M244" s="274"/>
      <c r="N244" s="159"/>
      <c r="O244" s="159"/>
      <c r="P244" s="161"/>
      <c r="S244" s="19"/>
      <c r="U244" s="27"/>
    </row>
    <row r="245" spans="1:21" ht="18.75" hidden="1">
      <c r="A245" s="306" t="s">
        <v>214</v>
      </c>
      <c r="B245" s="159"/>
      <c r="C245" s="159"/>
      <c r="D245" s="159"/>
      <c r="E245" s="159"/>
      <c r="F245" s="159"/>
      <c r="G245" s="159"/>
      <c r="H245" s="159"/>
      <c r="I245" s="159"/>
      <c r="J245" s="159"/>
      <c r="K245" s="159"/>
      <c r="L245" s="159"/>
      <c r="M245" s="274"/>
      <c r="N245" s="159"/>
      <c r="O245" s="159"/>
      <c r="P245" s="161"/>
      <c r="S245" s="19"/>
      <c r="U245" s="27"/>
    </row>
    <row r="246" spans="1:21" hidden="1">
      <c r="A246" s="307" t="s">
        <v>100</v>
      </c>
      <c r="B246" s="313">
        <f>+'Cap Proj'!B26</f>
        <v>0</v>
      </c>
      <c r="C246" s="313">
        <f>+'Cap Proj'!C26</f>
        <v>0</v>
      </c>
      <c r="D246" s="313">
        <f>+'Cap Proj'!D26</f>
        <v>0</v>
      </c>
      <c r="E246" s="313">
        <f>+'Cap Proj'!E26</f>
        <v>0</v>
      </c>
      <c r="F246" s="313">
        <f>+'Cap Proj'!F26</f>
        <v>0</v>
      </c>
      <c r="G246" s="313">
        <f>+'Cap Proj'!G26</f>
        <v>0</v>
      </c>
      <c r="H246" s="313">
        <f>+'Cap Proj'!H26</f>
        <v>0</v>
      </c>
      <c r="I246" s="313">
        <f>+'Cap Proj'!I26</f>
        <v>0</v>
      </c>
      <c r="J246" s="313">
        <f>+'Cap Proj'!J26</f>
        <v>0</v>
      </c>
      <c r="K246" s="313">
        <f>+'Cap Proj'!K26</f>
        <v>0</v>
      </c>
      <c r="L246" s="313">
        <v>0</v>
      </c>
      <c r="M246" s="274"/>
      <c r="N246" s="313"/>
      <c r="O246" s="313"/>
      <c r="P246" s="314"/>
      <c r="S246" s="19"/>
      <c r="U246" s="27"/>
    </row>
    <row r="247" spans="1:21" hidden="1">
      <c r="A247" s="151" t="s">
        <v>93</v>
      </c>
      <c r="B247" s="159">
        <f>+'Cap Proj'!B27</f>
        <v>0</v>
      </c>
      <c r="C247" s="159">
        <f>+'Cap Proj'!C27</f>
        <v>0</v>
      </c>
      <c r="D247" s="159">
        <f>+'Cap Proj'!D27</f>
        <v>0</v>
      </c>
      <c r="E247" s="159">
        <f>+'Cap Proj'!E27</f>
        <v>0</v>
      </c>
      <c r="F247" s="159">
        <f>+'Cap Proj'!F27</f>
        <v>0</v>
      </c>
      <c r="G247" s="159">
        <f>+'Cap Proj'!G27</f>
        <v>0</v>
      </c>
      <c r="H247" s="159">
        <f>+'Cap Proj'!H27</f>
        <v>0</v>
      </c>
      <c r="I247" s="159">
        <f>+'Cap Proj'!I27</f>
        <v>0</v>
      </c>
      <c r="J247" s="159">
        <f>+'Cap Proj'!J27</f>
        <v>0</v>
      </c>
      <c r="K247" s="159">
        <f>+'Cap Proj'!K27</f>
        <v>0</v>
      </c>
      <c r="L247" s="159">
        <v>0</v>
      </c>
      <c r="M247" s="274"/>
      <c r="N247" s="159"/>
      <c r="O247" s="159"/>
      <c r="P247" s="161"/>
      <c r="S247" s="19"/>
      <c r="U247" s="27"/>
    </row>
    <row r="248" spans="1:21" hidden="1">
      <c r="A248" s="152" t="s">
        <v>155</v>
      </c>
      <c r="B248" s="313">
        <f>+'Cap Proj'!B28</f>
        <v>0</v>
      </c>
      <c r="C248" s="313">
        <f>+'Cap Proj'!C28</f>
        <v>0</v>
      </c>
      <c r="D248" s="313">
        <f>+'Cap Proj'!D28</f>
        <v>0</v>
      </c>
      <c r="E248" s="313">
        <f>+'Cap Proj'!E28</f>
        <v>0</v>
      </c>
      <c r="F248" s="313">
        <f>+'Cap Proj'!F28</f>
        <v>0</v>
      </c>
      <c r="G248" s="313">
        <f>+'Cap Proj'!G28</f>
        <v>0</v>
      </c>
      <c r="H248" s="313">
        <f>+'Cap Proj'!H28</f>
        <v>0</v>
      </c>
      <c r="I248" s="313">
        <f>+'Cap Proj'!I28</f>
        <v>0</v>
      </c>
      <c r="J248" s="313">
        <f>+'Cap Proj'!J28</f>
        <v>0</v>
      </c>
      <c r="K248" s="313">
        <f>+'Cap Proj'!K28</f>
        <v>0</v>
      </c>
      <c r="L248" s="313">
        <v>0</v>
      </c>
      <c r="M248" s="274"/>
      <c r="N248" s="313"/>
      <c r="O248" s="313"/>
      <c r="P248" s="314"/>
      <c r="S248" s="19"/>
      <c r="U248" s="27"/>
    </row>
    <row r="249" spans="1:21" hidden="1">
      <c r="A249" s="310" t="s">
        <v>83</v>
      </c>
      <c r="B249" s="159">
        <f>+'Cap Proj'!B29</f>
        <v>0</v>
      </c>
      <c r="C249" s="313">
        <f>+'Cap Proj'!C29</f>
        <v>0</v>
      </c>
      <c r="D249" s="313">
        <f>+'Cap Proj'!D29</f>
        <v>0</v>
      </c>
      <c r="E249" s="313">
        <f>+'Cap Proj'!E29</f>
        <v>0</v>
      </c>
      <c r="F249" s="313">
        <f>+'Cap Proj'!F29</f>
        <v>0</v>
      </c>
      <c r="G249" s="313">
        <f>+'Cap Proj'!G29</f>
        <v>0</v>
      </c>
      <c r="H249" s="313">
        <f>+'Cap Proj'!H29</f>
        <v>0</v>
      </c>
      <c r="I249" s="313">
        <f>+'Cap Proj'!I29</f>
        <v>0</v>
      </c>
      <c r="J249" s="313">
        <f>+'Other Spec Revenue'!J24</f>
        <v>0</v>
      </c>
      <c r="K249" s="313">
        <f>+'Cap Proj'!K29</f>
        <v>0</v>
      </c>
      <c r="L249" s="313">
        <v>0</v>
      </c>
      <c r="M249" s="274"/>
      <c r="N249" s="313"/>
      <c r="O249" s="313"/>
      <c r="P249" s="314"/>
      <c r="S249" s="19"/>
      <c r="U249" s="27"/>
    </row>
    <row r="250" spans="1:21" ht="16.5" hidden="1" thickBot="1">
      <c r="A250" s="153" t="s">
        <v>157</v>
      </c>
      <c r="B250" s="203">
        <f>+'Cap Proj'!B30</f>
        <v>0</v>
      </c>
      <c r="C250" s="203">
        <f>+'Cap Proj'!C30</f>
        <v>0</v>
      </c>
      <c r="D250" s="203">
        <f>+'Cap Proj'!D30</f>
        <v>0</v>
      </c>
      <c r="E250" s="203">
        <f>+'Cap Proj'!E30</f>
        <v>0</v>
      </c>
      <c r="F250" s="203">
        <f>+'Cap Proj'!F30</f>
        <v>0</v>
      </c>
      <c r="G250" s="203">
        <f>+'Cap Proj'!G30</f>
        <v>0</v>
      </c>
      <c r="H250" s="203">
        <f>+'Cap Proj'!H30</f>
        <v>0</v>
      </c>
      <c r="I250" s="203">
        <f>+'Cap Proj'!I30</f>
        <v>0</v>
      </c>
      <c r="J250" s="203">
        <v>0</v>
      </c>
      <c r="K250" s="203">
        <v>0</v>
      </c>
      <c r="L250" s="203">
        <v>0</v>
      </c>
      <c r="M250" s="274"/>
      <c r="N250" s="203"/>
      <c r="O250" s="203"/>
      <c r="P250" s="316"/>
      <c r="S250" s="19"/>
      <c r="U250" s="27"/>
    </row>
    <row r="251" spans="1:21" hidden="1">
      <c r="A251" s="312" t="s">
        <v>123</v>
      </c>
      <c r="B251" s="117">
        <f t="shared" ref="B251:L251" si="57">SUM(B246:B249)</f>
        <v>0</v>
      </c>
      <c r="C251" s="117">
        <f t="shared" si="57"/>
        <v>0</v>
      </c>
      <c r="D251" s="117">
        <f t="shared" si="57"/>
        <v>0</v>
      </c>
      <c r="E251" s="117">
        <f t="shared" si="57"/>
        <v>0</v>
      </c>
      <c r="F251" s="117">
        <f t="shared" si="57"/>
        <v>0</v>
      </c>
      <c r="G251" s="117">
        <f t="shared" si="57"/>
        <v>0</v>
      </c>
      <c r="H251" s="117">
        <f t="shared" si="57"/>
        <v>0</v>
      </c>
      <c r="I251" s="117">
        <f t="shared" si="57"/>
        <v>0</v>
      </c>
      <c r="J251" s="117">
        <f t="shared" si="57"/>
        <v>0</v>
      </c>
      <c r="K251" s="117">
        <f t="shared" si="57"/>
        <v>0</v>
      </c>
      <c r="L251" s="117">
        <f t="shared" si="57"/>
        <v>0</v>
      </c>
      <c r="M251" s="274"/>
      <c r="N251" s="117"/>
      <c r="O251" s="117"/>
      <c r="P251" s="155"/>
      <c r="S251" s="19"/>
      <c r="U251" s="27"/>
    </row>
    <row r="252" spans="1:21" hidden="1">
      <c r="A252" s="312"/>
      <c r="B252" s="159"/>
      <c r="C252" s="159"/>
      <c r="D252" s="159"/>
      <c r="E252" s="159"/>
      <c r="F252" s="159"/>
      <c r="G252" s="159"/>
      <c r="H252" s="159"/>
      <c r="I252" s="159"/>
      <c r="J252" s="159"/>
      <c r="K252" s="159"/>
      <c r="L252" s="159"/>
      <c r="M252" s="274"/>
      <c r="N252" s="159"/>
      <c r="O252" s="159"/>
      <c r="P252" s="161"/>
      <c r="S252" s="19"/>
      <c r="U252" s="27"/>
    </row>
    <row r="253" spans="1:21" ht="18.75" hidden="1">
      <c r="A253" s="306" t="s">
        <v>171</v>
      </c>
      <c r="B253" s="159"/>
      <c r="C253" s="159"/>
      <c r="D253" s="159"/>
      <c r="E253" s="159"/>
      <c r="F253" s="159"/>
      <c r="G253" s="159"/>
      <c r="H253" s="159"/>
      <c r="I253" s="159"/>
      <c r="J253" s="159"/>
      <c r="K253" s="159"/>
      <c r="L253" s="159"/>
      <c r="M253" s="274"/>
      <c r="N253" s="159"/>
      <c r="O253" s="159"/>
      <c r="P253" s="161"/>
      <c r="S253" s="19"/>
      <c r="U253" s="27"/>
    </row>
    <row r="254" spans="1:21" hidden="1">
      <c r="A254" s="307" t="s">
        <v>100</v>
      </c>
      <c r="B254" s="313">
        <f>+LFRA!B50</f>
        <v>0</v>
      </c>
      <c r="C254" s="313">
        <f>+LFRA!C50</f>
        <v>0</v>
      </c>
      <c r="D254" s="313">
        <f>+LFRA!D50</f>
        <v>0</v>
      </c>
      <c r="E254" s="313">
        <f>+LFRA!E50</f>
        <v>0</v>
      </c>
      <c r="F254" s="313">
        <f>+LFRA!F50</f>
        <v>0</v>
      </c>
      <c r="G254" s="313">
        <f>+LFRA!G50</f>
        <v>0</v>
      </c>
      <c r="H254" s="313">
        <f>+LFRA!H50</f>
        <v>0</v>
      </c>
      <c r="I254" s="313">
        <f>+LFRA!I50</f>
        <v>0</v>
      </c>
      <c r="J254" s="313">
        <f>+LFRA!J50</f>
        <v>0</v>
      </c>
      <c r="K254" s="313">
        <f>+LFRA!K50</f>
        <v>0</v>
      </c>
      <c r="L254" s="313">
        <f>+LFRA!L50</f>
        <v>0</v>
      </c>
      <c r="M254" s="274"/>
      <c r="N254" s="313"/>
      <c r="O254" s="313"/>
      <c r="P254" s="314"/>
      <c r="S254" s="19"/>
      <c r="U254" s="27"/>
    </row>
    <row r="255" spans="1:21" hidden="1">
      <c r="A255" s="151" t="s">
        <v>93</v>
      </c>
      <c r="B255" s="159">
        <f>+LFRA!B51</f>
        <v>0</v>
      </c>
      <c r="C255" s="159">
        <f>+LFRA!C51</f>
        <v>0</v>
      </c>
      <c r="D255" s="313">
        <f>+LFRA!B16</f>
        <v>0</v>
      </c>
      <c r="E255" s="159">
        <f>+LFRA!E51</f>
        <v>0</v>
      </c>
      <c r="F255" s="159">
        <f>+LFRA!F51</f>
        <v>0</v>
      </c>
      <c r="G255" s="159">
        <f>+LFRA!G51</f>
        <v>0</v>
      </c>
      <c r="H255" s="159">
        <f>+LFRA!H51</f>
        <v>0</v>
      </c>
      <c r="I255" s="159">
        <f>+LFRA!I51</f>
        <v>0</v>
      </c>
      <c r="J255" s="159">
        <f>+LFRA!J51</f>
        <v>0</v>
      </c>
      <c r="K255" s="159">
        <f>+LFRA!K51</f>
        <v>0</v>
      </c>
      <c r="L255" s="159">
        <f>+[2]LFRA!L45</f>
        <v>0</v>
      </c>
      <c r="M255" s="274"/>
      <c r="N255" s="159"/>
      <c r="O255" s="159"/>
      <c r="P255" s="161"/>
      <c r="S255" s="19"/>
      <c r="U255" s="27"/>
    </row>
    <row r="256" spans="1:21" hidden="1">
      <c r="A256" s="152" t="s">
        <v>155</v>
      </c>
      <c r="B256" s="313">
        <f>+LFRA!B52</f>
        <v>0</v>
      </c>
      <c r="C256" s="313">
        <f>+LFRA!C52</f>
        <v>0</v>
      </c>
      <c r="D256" s="313">
        <f>+LFRA!B17</f>
        <v>0</v>
      </c>
      <c r="E256" s="313">
        <f>+LFRA!E52</f>
        <v>0</v>
      </c>
      <c r="F256" s="313">
        <f>+LFRA!F52</f>
        <v>0</v>
      </c>
      <c r="G256" s="313">
        <f>+LFRA!G52</f>
        <v>0</v>
      </c>
      <c r="H256" s="313">
        <f>+LFRA!H52</f>
        <v>0</v>
      </c>
      <c r="I256" s="313">
        <f>+LFRA!I52</f>
        <v>0</v>
      </c>
      <c r="J256" s="313">
        <f>+LFRA!J52</f>
        <v>0</v>
      </c>
      <c r="K256" s="313">
        <f>+LFRA!K52</f>
        <v>0</v>
      </c>
      <c r="L256" s="313">
        <f>+[2]LFRA!L46</f>
        <v>0</v>
      </c>
      <c r="M256" s="274"/>
      <c r="N256" s="313"/>
      <c r="O256" s="313"/>
      <c r="P256" s="314"/>
      <c r="S256" s="19"/>
      <c r="U256" s="27"/>
    </row>
    <row r="257" spans="1:29" hidden="1">
      <c r="A257" s="310" t="s">
        <v>83</v>
      </c>
      <c r="B257" s="159">
        <f>+LFRA!B53</f>
        <v>0</v>
      </c>
      <c r="C257" s="313">
        <f>+LFRA!C53</f>
        <v>0</v>
      </c>
      <c r="D257" s="313">
        <f>+LFRA!B18</f>
        <v>0</v>
      </c>
      <c r="E257" s="313">
        <f>+LFRA!E53</f>
        <v>0</v>
      </c>
      <c r="F257" s="313">
        <f>+LFRA!F53</f>
        <v>0</v>
      </c>
      <c r="G257" s="313">
        <f>+LFRA!G53</f>
        <v>0</v>
      </c>
      <c r="H257" s="313">
        <f>+LFRA!H53</f>
        <v>0</v>
      </c>
      <c r="I257" s="313">
        <f>+LFRA!I53</f>
        <v>0</v>
      </c>
      <c r="J257" s="313">
        <f>+LFRA!J19</f>
        <v>0</v>
      </c>
      <c r="K257" s="313">
        <f>+LFRA!K19</f>
        <v>0</v>
      </c>
      <c r="L257" s="313">
        <f>+LFRA!L42</f>
        <v>0</v>
      </c>
      <c r="M257" s="274"/>
      <c r="N257" s="313"/>
      <c r="O257" s="313"/>
      <c r="P257" s="314"/>
      <c r="S257" s="19"/>
      <c r="U257" s="27"/>
    </row>
    <row r="258" spans="1:29" ht="16.5" hidden="1" thickBot="1">
      <c r="A258" s="153" t="s">
        <v>157</v>
      </c>
      <c r="B258" s="203">
        <f>+LFRA!B54</f>
        <v>0</v>
      </c>
      <c r="C258" s="203">
        <f>+LFRA!C54</f>
        <v>0</v>
      </c>
      <c r="D258" s="313">
        <f>+LFRA!B19</f>
        <v>0</v>
      </c>
      <c r="E258" s="203">
        <f>+LFRA!E54</f>
        <v>0</v>
      </c>
      <c r="F258" s="203">
        <f>+LFRA!F54</f>
        <v>0</v>
      </c>
      <c r="G258" s="203">
        <f>+LFRA!G54</f>
        <v>0</v>
      </c>
      <c r="H258" s="203">
        <f>+LFRA!H54</f>
        <v>0</v>
      </c>
      <c r="I258" s="203">
        <f>+LFRA!I54</f>
        <v>0</v>
      </c>
      <c r="J258" s="203">
        <v>0</v>
      </c>
      <c r="K258" s="203">
        <v>0</v>
      </c>
      <c r="L258" s="203">
        <v>0</v>
      </c>
      <c r="M258" s="274"/>
      <c r="N258" s="203"/>
      <c r="O258" s="203"/>
      <c r="P258" s="316"/>
      <c r="S258" s="19"/>
      <c r="U258" s="27"/>
    </row>
    <row r="259" spans="1:29" hidden="1">
      <c r="A259" s="312" t="s">
        <v>123</v>
      </c>
      <c r="B259" s="117">
        <f t="shared" ref="B259:L259" si="58">SUM(B254:B257)</f>
        <v>0</v>
      </c>
      <c r="C259" s="117">
        <f t="shared" si="58"/>
        <v>0</v>
      </c>
      <c r="D259" s="117">
        <f t="shared" si="58"/>
        <v>0</v>
      </c>
      <c r="E259" s="117">
        <f t="shared" si="58"/>
        <v>0</v>
      </c>
      <c r="F259" s="117">
        <f t="shared" si="58"/>
        <v>0</v>
      </c>
      <c r="G259" s="117">
        <f t="shared" si="58"/>
        <v>0</v>
      </c>
      <c r="H259" s="117">
        <f t="shared" si="58"/>
        <v>0</v>
      </c>
      <c r="I259" s="117">
        <f t="shared" si="58"/>
        <v>0</v>
      </c>
      <c r="J259" s="117">
        <f t="shared" si="58"/>
        <v>0</v>
      </c>
      <c r="K259" s="117">
        <f t="shared" si="58"/>
        <v>0</v>
      </c>
      <c r="L259" s="117">
        <f t="shared" si="58"/>
        <v>0</v>
      </c>
      <c r="M259" s="274"/>
      <c r="N259" s="117"/>
      <c r="O259" s="117"/>
      <c r="P259" s="155"/>
      <c r="S259" s="19"/>
      <c r="U259" s="27"/>
    </row>
    <row r="260" spans="1:29">
      <c r="A260" s="312"/>
      <c r="B260" s="159"/>
      <c r="C260" s="159"/>
      <c r="D260" s="159"/>
      <c r="E260" s="159"/>
      <c r="F260" s="159"/>
      <c r="G260" s="159"/>
      <c r="H260" s="159"/>
      <c r="I260" s="159"/>
      <c r="J260" s="159"/>
      <c r="K260" s="159"/>
      <c r="L260" s="159"/>
      <c r="M260" s="274"/>
      <c r="N260" s="269"/>
      <c r="O260" s="269"/>
      <c r="P260" s="270"/>
      <c r="S260" s="19"/>
      <c r="U260" s="27"/>
    </row>
    <row r="261" spans="1:29">
      <c r="A261" s="312"/>
      <c r="B261" s="159"/>
      <c r="C261" s="159"/>
      <c r="D261" s="159"/>
      <c r="E261" s="159"/>
      <c r="F261" s="159"/>
      <c r="G261" s="159"/>
      <c r="H261" s="159"/>
      <c r="I261" s="159"/>
      <c r="J261" s="159"/>
      <c r="K261" s="159"/>
      <c r="L261" s="159"/>
      <c r="M261" s="274"/>
      <c r="N261" s="269"/>
      <c r="O261" s="269"/>
      <c r="P261" s="270"/>
      <c r="S261" s="19"/>
      <c r="U261" s="27"/>
    </row>
    <row r="262" spans="1:29" ht="18.75">
      <c r="A262" s="227" t="s">
        <v>189</v>
      </c>
      <c r="B262" s="248">
        <v>2009</v>
      </c>
      <c r="C262" s="248">
        <v>2010</v>
      </c>
      <c r="D262" s="248">
        <v>2011</v>
      </c>
      <c r="E262" s="248">
        <v>2012</v>
      </c>
      <c r="F262" s="248">
        <v>2013</v>
      </c>
      <c r="G262" s="248">
        <v>2014</v>
      </c>
      <c r="H262" s="248">
        <v>2015</v>
      </c>
      <c r="I262" s="248">
        <v>2016</v>
      </c>
      <c r="J262" s="248">
        <v>2017</v>
      </c>
      <c r="K262" s="248">
        <v>2018</v>
      </c>
      <c r="L262" s="248">
        <v>2019</v>
      </c>
      <c r="M262" s="272" t="s">
        <v>150</v>
      </c>
      <c r="N262" s="248">
        <v>2017</v>
      </c>
      <c r="O262" s="248">
        <v>2018</v>
      </c>
      <c r="P262" s="355" t="s">
        <v>222</v>
      </c>
      <c r="S262" s="19"/>
      <c r="U262" s="27"/>
    </row>
    <row r="263" spans="1:29">
      <c r="A263" s="317" t="s">
        <v>100</v>
      </c>
      <c r="B263" s="318">
        <f t="shared" ref="B263:L263" si="59">+B78+B88+B97+B106+B115+B124+B133+B142+B151+B160+B169+B178+B187+B196+B205+B214+B222+B230+B238+B254</f>
        <v>41696131</v>
      </c>
      <c r="C263" s="318">
        <f t="shared" si="59"/>
        <v>47137788</v>
      </c>
      <c r="D263" s="318">
        <f t="shared" si="59"/>
        <v>54390252</v>
      </c>
      <c r="E263" s="318">
        <f t="shared" si="59"/>
        <v>51518220</v>
      </c>
      <c r="F263" s="318">
        <f t="shared" si="59"/>
        <v>59806390</v>
      </c>
      <c r="G263" s="318">
        <f t="shared" si="59"/>
        <v>72799665</v>
      </c>
      <c r="H263" s="318">
        <f t="shared" si="59"/>
        <v>73874027</v>
      </c>
      <c r="I263" s="318">
        <f t="shared" si="59"/>
        <v>81770413</v>
      </c>
      <c r="J263" s="318">
        <f t="shared" si="59"/>
        <v>103990136</v>
      </c>
      <c r="K263" s="318">
        <f t="shared" si="59"/>
        <v>128815229</v>
      </c>
      <c r="L263" s="318">
        <f t="shared" si="59"/>
        <v>102049572</v>
      </c>
      <c r="M263" s="274">
        <v>48</v>
      </c>
      <c r="N263" s="318">
        <v>103990136</v>
      </c>
      <c r="O263" s="318">
        <v>128815229</v>
      </c>
      <c r="P263" s="319">
        <v>102049572</v>
      </c>
      <c r="Q263" s="16">
        <f t="shared" ref="Q263:S268" si="60">+J263-J59</f>
        <v>0</v>
      </c>
      <c r="R263" s="16">
        <f t="shared" si="60"/>
        <v>0</v>
      </c>
      <c r="S263" s="16">
        <f t="shared" si="60"/>
        <v>0</v>
      </c>
      <c r="U263" s="27"/>
      <c r="AC263" s="204">
        <f>+L263-P263</f>
        <v>0</v>
      </c>
    </row>
    <row r="264" spans="1:29">
      <c r="A264" s="228" t="s">
        <v>93</v>
      </c>
      <c r="B264" s="318">
        <f t="shared" ref="B264:L264" si="61">+B79+B89+B98+B107+B116+B125+B134+B143+B152+B161+B170+B179+B188+B197+B206+B215+B223+B231+B239+B255</f>
        <v>16078251</v>
      </c>
      <c r="C264" s="318">
        <f t="shared" si="61"/>
        <v>15326837</v>
      </c>
      <c r="D264" s="318">
        <f t="shared" si="61"/>
        <v>15939646</v>
      </c>
      <c r="E264" s="318">
        <f t="shared" si="61"/>
        <v>14646690</v>
      </c>
      <c r="F264" s="318">
        <f t="shared" si="61"/>
        <v>17533239</v>
      </c>
      <c r="G264" s="318">
        <f t="shared" si="61"/>
        <v>21537660</v>
      </c>
      <c r="H264" s="318">
        <f t="shared" si="61"/>
        <v>22752692</v>
      </c>
      <c r="I264" s="318">
        <f t="shared" si="61"/>
        <v>20668703</v>
      </c>
      <c r="J264" s="318">
        <f t="shared" si="61"/>
        <v>23000265</v>
      </c>
      <c r="K264" s="318">
        <f t="shared" si="61"/>
        <v>27019005</v>
      </c>
      <c r="L264" s="318">
        <f t="shared" si="61"/>
        <v>27953300</v>
      </c>
      <c r="M264" s="289">
        <v>82</v>
      </c>
      <c r="N264" s="318">
        <v>23000265</v>
      </c>
      <c r="O264" s="318">
        <v>27019005</v>
      </c>
      <c r="P264" s="319">
        <v>27953300</v>
      </c>
      <c r="Q264" s="16">
        <f t="shared" si="60"/>
        <v>0</v>
      </c>
      <c r="R264" s="16">
        <f t="shared" si="60"/>
        <v>0</v>
      </c>
      <c r="S264" s="16">
        <f t="shared" si="60"/>
        <v>0</v>
      </c>
      <c r="U264" s="27"/>
    </row>
    <row r="265" spans="1:29">
      <c r="A265" s="229" t="s">
        <v>155</v>
      </c>
      <c r="B265" s="318">
        <f t="shared" ref="B265:L265" si="62">+B80+B90+B99+B108+B117+B126+B135+B144+B153+B162+B171+B180+B189+B198+B207+B216+B224+B232+B240+B256</f>
        <v>83714490</v>
      </c>
      <c r="C265" s="318">
        <f t="shared" si="62"/>
        <v>78042609</v>
      </c>
      <c r="D265" s="318">
        <f t="shared" si="62"/>
        <v>92362538</v>
      </c>
      <c r="E265" s="318">
        <f t="shared" si="62"/>
        <v>87006375</v>
      </c>
      <c r="F265" s="318">
        <f t="shared" si="62"/>
        <v>102710060</v>
      </c>
      <c r="G265" s="318">
        <f t="shared" si="62"/>
        <v>125788198</v>
      </c>
      <c r="H265" s="318">
        <f t="shared" si="62"/>
        <v>143924079</v>
      </c>
      <c r="I265" s="318">
        <f t="shared" si="62"/>
        <v>138601594</v>
      </c>
      <c r="J265" s="318">
        <f t="shared" si="62"/>
        <v>149561039</v>
      </c>
      <c r="K265" s="318">
        <f t="shared" si="62"/>
        <v>202704817</v>
      </c>
      <c r="L265" s="318">
        <f t="shared" si="62"/>
        <v>199046694</v>
      </c>
      <c r="M265" s="274">
        <v>73</v>
      </c>
      <c r="N265" s="318">
        <v>149561038</v>
      </c>
      <c r="O265" s="318">
        <v>202704817</v>
      </c>
      <c r="P265" s="319">
        <v>199046693</v>
      </c>
      <c r="Q265" s="16">
        <f t="shared" si="60"/>
        <v>0</v>
      </c>
      <c r="R265" s="16">
        <f t="shared" si="60"/>
        <v>0</v>
      </c>
      <c r="S265" s="16">
        <f t="shared" si="60"/>
        <v>0</v>
      </c>
      <c r="U265" s="27"/>
    </row>
    <row r="266" spans="1:29">
      <c r="A266" s="320" t="s">
        <v>83</v>
      </c>
      <c r="B266" s="318">
        <f t="shared" ref="B266:I267" si="63">+B81+B91+B100+B109+B118+B127+B136+B145+B154+B163+B172+B181+B190+B199+B208+B217+B225+B233+B241+B257</f>
        <v>8614137</v>
      </c>
      <c r="C266" s="318">
        <f t="shared" si="63"/>
        <v>9113946</v>
      </c>
      <c r="D266" s="318">
        <f t="shared" si="63"/>
        <v>15282918</v>
      </c>
      <c r="E266" s="318">
        <f t="shared" si="63"/>
        <v>15325474</v>
      </c>
      <c r="F266" s="318">
        <f t="shared" si="63"/>
        <v>18583344</v>
      </c>
      <c r="G266" s="318">
        <f t="shared" si="63"/>
        <v>22863639</v>
      </c>
      <c r="H266" s="318">
        <f t="shared" si="63"/>
        <v>31342659</v>
      </c>
      <c r="I266" s="318">
        <f t="shared" si="63"/>
        <v>31943058</v>
      </c>
      <c r="J266" s="318">
        <v>33036581</v>
      </c>
      <c r="K266" s="318">
        <v>81879273</v>
      </c>
      <c r="L266" s="318">
        <v>49993877</v>
      </c>
      <c r="M266" s="274">
        <v>59</v>
      </c>
      <c r="N266" s="318">
        <v>33036581</v>
      </c>
      <c r="O266" s="318">
        <v>81879273</v>
      </c>
      <c r="P266" s="319">
        <v>49993877</v>
      </c>
      <c r="Q266" s="16">
        <f t="shared" si="60"/>
        <v>0</v>
      </c>
      <c r="R266" s="16">
        <f t="shared" si="60"/>
        <v>0</v>
      </c>
      <c r="S266" s="16">
        <f t="shared" si="60"/>
        <v>0</v>
      </c>
      <c r="U266" s="27"/>
    </row>
    <row r="267" spans="1:29" ht="16.5" thickBot="1">
      <c r="A267" s="230" t="s">
        <v>157</v>
      </c>
      <c r="B267" s="231">
        <f t="shared" si="63"/>
        <v>0</v>
      </c>
      <c r="C267" s="231">
        <f t="shared" si="63"/>
        <v>6606733</v>
      </c>
      <c r="D267" s="231">
        <f t="shared" si="63"/>
        <v>5424627</v>
      </c>
      <c r="E267" s="231">
        <f t="shared" si="63"/>
        <v>12062357</v>
      </c>
      <c r="F267" s="231">
        <f t="shared" si="63"/>
        <v>16446616</v>
      </c>
      <c r="G267" s="231">
        <f t="shared" si="63"/>
        <v>19699968</v>
      </c>
      <c r="H267" s="231">
        <f t="shared" si="63"/>
        <v>24844487</v>
      </c>
      <c r="I267" s="231">
        <f t="shared" si="63"/>
        <v>13205339</v>
      </c>
      <c r="J267" s="231">
        <f>+J82+J92+J101+J110+J119+J128+J137+J146+J155+J164+J173+J182+J191+J200+J209+J218+J226+J234+J242+J258</f>
        <v>32748950</v>
      </c>
      <c r="K267" s="231">
        <f>+K82+K92+K101+K110+K119+K128+K137+K146+K155+K164+K173+K182+K191+K200+K209+K218+K226+K234+K242+K258</f>
        <v>47808333</v>
      </c>
      <c r="L267" s="231">
        <f>+L82+L92+L101+L110+L119+L128+L137+L146+L155+L164+L173+L182+L191+L200+L209+L218+L226+L234+L242+L258</f>
        <v>6180557</v>
      </c>
      <c r="M267" s="274">
        <v>56</v>
      </c>
      <c r="N267" s="231">
        <v>32748950</v>
      </c>
      <c r="O267" s="231">
        <v>47808333</v>
      </c>
      <c r="P267" s="321">
        <v>6180557</v>
      </c>
      <c r="Q267" s="16">
        <f t="shared" si="60"/>
        <v>0</v>
      </c>
      <c r="R267" s="16">
        <f t="shared" si="60"/>
        <v>0</v>
      </c>
      <c r="S267" s="16">
        <f t="shared" si="60"/>
        <v>0</v>
      </c>
      <c r="U267" s="27"/>
    </row>
    <row r="268" spans="1:29" ht="16.5" thickBot="1">
      <c r="A268" s="322" t="s">
        <v>123</v>
      </c>
      <c r="B268" s="323">
        <f t="shared" ref="B268:K268" si="64">SUM(B263:B267)</f>
        <v>150103009</v>
      </c>
      <c r="C268" s="323">
        <f t="shared" si="64"/>
        <v>156227913</v>
      </c>
      <c r="D268" s="323">
        <f t="shared" si="64"/>
        <v>183399981</v>
      </c>
      <c r="E268" s="323">
        <f t="shared" si="64"/>
        <v>180559116</v>
      </c>
      <c r="F268" s="323">
        <f t="shared" si="64"/>
        <v>215079649</v>
      </c>
      <c r="G268" s="323">
        <f t="shared" si="64"/>
        <v>262689130</v>
      </c>
      <c r="H268" s="323">
        <f t="shared" si="64"/>
        <v>296737944</v>
      </c>
      <c r="I268" s="323">
        <f t="shared" si="64"/>
        <v>286189107</v>
      </c>
      <c r="J268" s="323">
        <f t="shared" si="64"/>
        <v>342336971</v>
      </c>
      <c r="K268" s="323">
        <f t="shared" si="64"/>
        <v>488226657</v>
      </c>
      <c r="L268" s="323">
        <f>SUM(L263:L267)</f>
        <v>385224000</v>
      </c>
      <c r="M268" s="324"/>
      <c r="N268" s="323">
        <f t="shared" ref="N268:P268" si="65">SUM(N263:N267)</f>
        <v>342336970</v>
      </c>
      <c r="O268" s="323">
        <f t="shared" si="65"/>
        <v>488226657</v>
      </c>
      <c r="P268" s="323">
        <f t="shared" si="65"/>
        <v>385223999</v>
      </c>
      <c r="Q268" s="16">
        <f t="shared" si="60"/>
        <v>0</v>
      </c>
      <c r="R268" s="16">
        <f t="shared" si="60"/>
        <v>0</v>
      </c>
      <c r="S268" s="16">
        <f t="shared" si="60"/>
        <v>0</v>
      </c>
      <c r="U268" s="27"/>
    </row>
    <row r="269" spans="1:29">
      <c r="A269" s="46"/>
      <c r="B269" s="28"/>
      <c r="C269" s="28"/>
      <c r="D269" s="28"/>
      <c r="E269" s="28"/>
      <c r="F269" s="28"/>
      <c r="G269" s="28"/>
      <c r="H269" s="28"/>
      <c r="I269" s="28"/>
      <c r="J269" s="28">
        <f>+J266-N266</f>
        <v>0</v>
      </c>
      <c r="K269" s="28">
        <f>+K266-O266</f>
        <v>0</v>
      </c>
      <c r="L269" s="28">
        <f>+L266-P266</f>
        <v>0</v>
      </c>
      <c r="M269" s="133"/>
      <c r="N269" s="133"/>
      <c r="O269" s="133"/>
      <c r="P269" s="133"/>
      <c r="Q269" s="16">
        <f>+J269-J65</f>
        <v>0</v>
      </c>
      <c r="S269" s="19"/>
      <c r="U269" s="27"/>
    </row>
    <row r="270" spans="1:29" s="19" customFormat="1">
      <c r="A270" s="328"/>
      <c r="B270" s="329"/>
      <c r="C270" s="329"/>
      <c r="D270" s="329"/>
      <c r="E270" s="329"/>
      <c r="F270" s="329"/>
      <c r="G270" s="329"/>
      <c r="H270" s="329"/>
      <c r="I270" s="329"/>
      <c r="J270" s="329"/>
      <c r="K270" s="329"/>
      <c r="L270" s="329"/>
      <c r="M270" s="330"/>
      <c r="N270" s="330"/>
      <c r="O270" s="330"/>
      <c r="P270" s="330"/>
      <c r="Q270" s="29">
        <f>+J270-J66</f>
        <v>0</v>
      </c>
      <c r="U270" s="27"/>
      <c r="AB270" s="245"/>
    </row>
    <row r="271" spans="1:29" s="19" customFormat="1">
      <c r="A271" s="328"/>
      <c r="B271" s="329"/>
      <c r="C271" s="329"/>
      <c r="D271" s="329"/>
      <c r="E271" s="329"/>
      <c r="F271" s="329"/>
      <c r="G271" s="329"/>
      <c r="H271" s="329"/>
      <c r="I271" s="329"/>
      <c r="J271" s="329"/>
      <c r="K271" s="329"/>
      <c r="L271" s="329"/>
      <c r="M271" s="330"/>
      <c r="N271" s="330"/>
      <c r="O271" s="330"/>
      <c r="P271" s="330"/>
      <c r="U271" s="27"/>
      <c r="AB271" s="245"/>
    </row>
    <row r="272" spans="1:29" s="19" customFormat="1">
      <c r="A272" s="209"/>
      <c r="B272" s="28"/>
      <c r="C272" s="28"/>
      <c r="D272" s="28"/>
      <c r="E272" s="28"/>
      <c r="F272" s="28"/>
      <c r="G272" s="28"/>
      <c r="H272" s="28"/>
      <c r="I272" s="28"/>
      <c r="J272" s="28"/>
      <c r="K272" s="28"/>
      <c r="L272" s="28"/>
      <c r="M272" s="133"/>
      <c r="N272" s="133"/>
      <c r="O272" s="133"/>
      <c r="P272" s="133"/>
      <c r="U272" s="27"/>
      <c r="AB272" s="84"/>
    </row>
    <row r="273" spans="1:28" s="19" customFormat="1">
      <c r="A273" s="361"/>
      <c r="B273" s="159"/>
      <c r="C273" s="159"/>
      <c r="D273" s="159"/>
      <c r="E273" s="159"/>
      <c r="F273" s="159"/>
      <c r="G273" s="159"/>
      <c r="H273" s="159"/>
      <c r="I273" s="159"/>
      <c r="J273" s="159"/>
      <c r="K273" s="159"/>
      <c r="L273" s="159"/>
      <c r="M273" s="269"/>
      <c r="N273" s="269"/>
      <c r="O273" s="269"/>
      <c r="P273" s="269"/>
      <c r="U273" s="27"/>
      <c r="AB273" s="84"/>
    </row>
    <row r="274" spans="1:28" s="19" customFormat="1">
      <c r="A274" s="361"/>
      <c r="B274" s="159"/>
      <c r="C274" s="159"/>
      <c r="D274" s="159"/>
      <c r="E274" s="159"/>
      <c r="F274" s="159"/>
      <c r="G274" s="159"/>
      <c r="H274" s="159"/>
      <c r="I274" s="159"/>
      <c r="J274" s="159"/>
      <c r="K274" s="159"/>
      <c r="L274" s="159"/>
      <c r="M274" s="269"/>
      <c r="N274" s="269"/>
      <c r="O274" s="269"/>
      <c r="P274" s="269"/>
      <c r="U274" s="27"/>
      <c r="AB274" s="84"/>
    </row>
    <row r="275" spans="1:28" s="19" customFormat="1">
      <c r="A275" s="361"/>
      <c r="B275" s="159"/>
      <c r="C275" s="159"/>
      <c r="D275" s="159"/>
      <c r="E275" s="159"/>
      <c r="F275" s="159"/>
      <c r="G275" s="159"/>
      <c r="H275" s="159"/>
      <c r="I275" s="159"/>
      <c r="J275" s="159"/>
      <c r="K275" s="159"/>
      <c r="L275" s="159"/>
      <c r="M275" s="269"/>
      <c r="N275" s="269"/>
      <c r="O275" s="269"/>
      <c r="P275" s="269"/>
      <c r="U275" s="27"/>
      <c r="AB275" s="84"/>
    </row>
    <row r="276" spans="1:28" s="19" customFormat="1">
      <c r="A276" s="361"/>
      <c r="B276" s="159"/>
      <c r="C276" s="159"/>
      <c r="D276" s="159"/>
      <c r="E276" s="159"/>
      <c r="F276" s="159"/>
      <c r="G276" s="159"/>
      <c r="H276" s="159"/>
      <c r="I276" s="159"/>
      <c r="J276" s="159"/>
      <c r="K276" s="159"/>
      <c r="L276" s="159"/>
      <c r="M276" s="269"/>
      <c r="N276" s="269"/>
      <c r="O276" s="269"/>
      <c r="P276" s="269"/>
      <c r="U276" s="27"/>
      <c r="AB276" s="84"/>
    </row>
    <row r="277" spans="1:28" s="19" customFormat="1">
      <c r="A277" s="429"/>
      <c r="B277" s="159"/>
      <c r="C277" s="159"/>
      <c r="D277" s="159"/>
      <c r="E277" s="159"/>
      <c r="F277" s="159"/>
      <c r="G277" s="159"/>
      <c r="H277" s="159"/>
      <c r="I277" s="159"/>
      <c r="J277" s="159"/>
      <c r="K277" s="159"/>
      <c r="L277" s="159"/>
      <c r="M277" s="269"/>
      <c r="N277" s="269"/>
      <c r="O277" s="269"/>
      <c r="P277" s="269"/>
      <c r="Q277" s="133">
        <f t="shared" ref="Q277:AA282" si="66">+Q263-M263</f>
        <v>-48</v>
      </c>
      <c r="R277" s="133">
        <f t="shared" si="66"/>
        <v>-103990136</v>
      </c>
      <c r="S277" s="133">
        <f t="shared" si="66"/>
        <v>-128815229</v>
      </c>
      <c r="T277" s="133">
        <f t="shared" si="66"/>
        <v>-102049572</v>
      </c>
      <c r="U277" s="133">
        <f t="shared" si="66"/>
        <v>0</v>
      </c>
      <c r="V277" s="133">
        <f t="shared" si="66"/>
        <v>0</v>
      </c>
      <c r="W277" s="133">
        <f t="shared" si="66"/>
        <v>0</v>
      </c>
      <c r="X277" s="133">
        <f t="shared" si="66"/>
        <v>0</v>
      </c>
      <c r="Y277" s="133">
        <f t="shared" si="66"/>
        <v>0</v>
      </c>
      <c r="Z277" s="133">
        <f t="shared" si="66"/>
        <v>0</v>
      </c>
      <c r="AA277" s="133">
        <f t="shared" si="66"/>
        <v>0</v>
      </c>
      <c r="AB277" s="84"/>
    </row>
    <row r="278" spans="1:28" s="19" customFormat="1">
      <c r="A278" s="429"/>
      <c r="B278" s="159"/>
      <c r="C278" s="159"/>
      <c r="D278" s="159"/>
      <c r="E278" s="159"/>
      <c r="F278" s="159"/>
      <c r="G278" s="159"/>
      <c r="H278" s="159"/>
      <c r="I278" s="159"/>
      <c r="J278" s="159"/>
      <c r="K278" s="159"/>
      <c r="L278" s="159"/>
      <c r="M278" s="269"/>
      <c r="N278" s="269"/>
      <c r="O278" s="269"/>
      <c r="P278" s="269"/>
      <c r="Q278" s="133">
        <f t="shared" si="66"/>
        <v>-82</v>
      </c>
      <c r="R278" s="133">
        <f t="shared" si="66"/>
        <v>-23000265</v>
      </c>
      <c r="S278" s="133">
        <f t="shared" si="66"/>
        <v>-27019005</v>
      </c>
      <c r="T278" s="133">
        <f t="shared" si="66"/>
        <v>-27953300</v>
      </c>
      <c r="U278" s="133">
        <f t="shared" si="66"/>
        <v>0</v>
      </c>
      <c r="V278" s="133">
        <f t="shared" si="66"/>
        <v>0</v>
      </c>
      <c r="W278" s="133">
        <f t="shared" si="66"/>
        <v>0</v>
      </c>
      <c r="X278" s="133">
        <f t="shared" si="66"/>
        <v>0</v>
      </c>
      <c r="Y278" s="133">
        <f t="shared" si="66"/>
        <v>0</v>
      </c>
      <c r="Z278" s="133">
        <f t="shared" si="66"/>
        <v>0</v>
      </c>
      <c r="AA278" s="133">
        <f t="shared" si="66"/>
        <v>0</v>
      </c>
      <c r="AB278" s="84"/>
    </row>
    <row r="279" spans="1:28" s="19" customFormat="1">
      <c r="A279" s="429"/>
      <c r="B279" s="159"/>
      <c r="C279" s="159"/>
      <c r="D279" s="159"/>
      <c r="E279" s="159"/>
      <c r="F279" s="159"/>
      <c r="G279" s="159"/>
      <c r="H279" s="159"/>
      <c r="I279" s="159"/>
      <c r="J279" s="159"/>
      <c r="K279" s="159"/>
      <c r="L279" s="159"/>
      <c r="M279" s="269"/>
      <c r="N279" s="269"/>
      <c r="O279" s="269"/>
      <c r="P279" s="269"/>
      <c r="Q279" s="133">
        <f t="shared" si="66"/>
        <v>-73</v>
      </c>
      <c r="R279" s="133">
        <f t="shared" si="66"/>
        <v>-149561038</v>
      </c>
      <c r="S279" s="133">
        <f t="shared" si="66"/>
        <v>-202704817</v>
      </c>
      <c r="T279" s="133">
        <f t="shared" si="66"/>
        <v>-199046693</v>
      </c>
      <c r="U279" s="133">
        <f t="shared" si="66"/>
        <v>0</v>
      </c>
      <c r="V279" s="133">
        <f t="shared" si="66"/>
        <v>0</v>
      </c>
      <c r="W279" s="133">
        <f t="shared" si="66"/>
        <v>0</v>
      </c>
      <c r="X279" s="133">
        <f t="shared" si="66"/>
        <v>0</v>
      </c>
      <c r="Y279" s="133">
        <f t="shared" si="66"/>
        <v>0</v>
      </c>
      <c r="Z279" s="133">
        <f t="shared" si="66"/>
        <v>0</v>
      </c>
      <c r="AA279" s="133">
        <f t="shared" si="66"/>
        <v>0</v>
      </c>
      <c r="AB279" s="84"/>
    </row>
    <row r="280" spans="1:28" s="19" customFormat="1">
      <c r="A280" s="429"/>
      <c r="B280" s="159"/>
      <c r="C280" s="159"/>
      <c r="D280" s="159"/>
      <c r="E280" s="159"/>
      <c r="F280" s="159"/>
      <c r="G280" s="159"/>
      <c r="H280" s="159"/>
      <c r="I280" s="159"/>
      <c r="J280" s="159"/>
      <c r="K280" s="159"/>
      <c r="L280" s="159"/>
      <c r="M280" s="269"/>
      <c r="N280" s="269"/>
      <c r="O280" s="269"/>
      <c r="P280" s="269"/>
      <c r="Q280" s="133">
        <f t="shared" si="66"/>
        <v>-59</v>
      </c>
      <c r="R280" s="133">
        <f t="shared" si="66"/>
        <v>-33036581</v>
      </c>
      <c r="S280" s="133">
        <f t="shared" si="66"/>
        <v>-81879273</v>
      </c>
      <c r="T280" s="133">
        <f t="shared" si="66"/>
        <v>-49993877</v>
      </c>
      <c r="U280" s="133">
        <f t="shared" si="66"/>
        <v>0</v>
      </c>
      <c r="V280" s="133">
        <f t="shared" si="66"/>
        <v>0</v>
      </c>
      <c r="W280" s="133">
        <f t="shared" si="66"/>
        <v>0</v>
      </c>
      <c r="X280" s="133">
        <f t="shared" si="66"/>
        <v>0</v>
      </c>
      <c r="Y280" s="133">
        <f t="shared" si="66"/>
        <v>0</v>
      </c>
      <c r="Z280" s="133">
        <f t="shared" si="66"/>
        <v>0</v>
      </c>
      <c r="AA280" s="133">
        <f t="shared" si="66"/>
        <v>0</v>
      </c>
      <c r="AB280" s="84"/>
    </row>
    <row r="281" spans="1:28" s="19" customFormat="1">
      <c r="A281" s="429"/>
      <c r="B281" s="159"/>
      <c r="C281" s="159"/>
      <c r="D281" s="159"/>
      <c r="E281" s="159"/>
      <c r="F281" s="159"/>
      <c r="G281" s="159"/>
      <c r="H281" s="159"/>
      <c r="I281" s="159"/>
      <c r="J281" s="159"/>
      <c r="K281" s="159"/>
      <c r="L281" s="159"/>
      <c r="M281" s="269"/>
      <c r="N281" s="269"/>
      <c r="O281" s="269"/>
      <c r="P281" s="269"/>
      <c r="Q281" s="133">
        <f t="shared" si="66"/>
        <v>-56</v>
      </c>
      <c r="R281" s="133">
        <f t="shared" si="66"/>
        <v>-32748950</v>
      </c>
      <c r="S281" s="133">
        <f t="shared" si="66"/>
        <v>-47808333</v>
      </c>
      <c r="T281" s="133">
        <f t="shared" si="66"/>
        <v>-6180557</v>
      </c>
      <c r="U281" s="133">
        <f t="shared" si="66"/>
        <v>0</v>
      </c>
      <c r="V281" s="133">
        <f t="shared" si="66"/>
        <v>0</v>
      </c>
      <c r="W281" s="133">
        <f t="shared" si="66"/>
        <v>0</v>
      </c>
      <c r="X281" s="133">
        <f t="shared" si="66"/>
        <v>0</v>
      </c>
      <c r="Y281" s="133">
        <f t="shared" si="66"/>
        <v>0</v>
      </c>
      <c r="Z281" s="133">
        <f t="shared" si="66"/>
        <v>0</v>
      </c>
      <c r="AA281" s="133">
        <f t="shared" si="66"/>
        <v>0</v>
      </c>
      <c r="AB281" s="84"/>
    </row>
    <row r="282" spans="1:28" s="19" customFormat="1">
      <c r="A282" s="242"/>
      <c r="B282" s="159"/>
      <c r="C282" s="159"/>
      <c r="D282" s="159"/>
      <c r="E282" s="159"/>
      <c r="F282" s="159"/>
      <c r="G282" s="159"/>
      <c r="H282" s="159"/>
      <c r="I282" s="159"/>
      <c r="J282" s="159"/>
      <c r="K282" s="159"/>
      <c r="L282" s="159"/>
      <c r="M282" s="269"/>
      <c r="N282" s="269"/>
      <c r="O282" s="269"/>
      <c r="P282" s="269"/>
      <c r="Q282" s="133">
        <f t="shared" si="66"/>
        <v>0</v>
      </c>
      <c r="R282" s="133">
        <f t="shared" si="66"/>
        <v>-342336970</v>
      </c>
      <c r="S282" s="133">
        <f t="shared" si="66"/>
        <v>-488226657</v>
      </c>
      <c r="T282" s="133">
        <f t="shared" si="66"/>
        <v>-385223999</v>
      </c>
      <c r="U282" s="133">
        <f t="shared" si="66"/>
        <v>0</v>
      </c>
      <c r="V282" s="133">
        <f t="shared" si="66"/>
        <v>0</v>
      </c>
      <c r="W282" s="133">
        <f t="shared" si="66"/>
        <v>0</v>
      </c>
      <c r="X282" s="133">
        <f t="shared" si="66"/>
        <v>0</v>
      </c>
      <c r="Y282" s="133">
        <f t="shared" si="66"/>
        <v>0</v>
      </c>
      <c r="Z282" s="133">
        <f t="shared" si="66"/>
        <v>0</v>
      </c>
      <c r="AA282" s="133">
        <f t="shared" si="66"/>
        <v>0</v>
      </c>
      <c r="AB282" s="84"/>
    </row>
    <row r="283" spans="1:28" s="19" customFormat="1">
      <c r="A283" s="242"/>
      <c r="B283" s="159"/>
      <c r="C283" s="159"/>
      <c r="D283" s="159"/>
      <c r="E283" s="159"/>
      <c r="F283" s="159"/>
      <c r="G283" s="159"/>
      <c r="H283" s="159"/>
      <c r="I283" s="159"/>
      <c r="J283" s="167"/>
      <c r="K283" s="159"/>
      <c r="L283" s="159"/>
      <c r="M283" s="269"/>
      <c r="N283" s="269"/>
      <c r="O283" s="269"/>
      <c r="P283" s="269"/>
      <c r="U283" s="27"/>
      <c r="AB283" s="84"/>
    </row>
    <row r="284" spans="1:28" s="19" customFormat="1" ht="18.75">
      <c r="A284" s="378"/>
      <c r="B284" s="159"/>
      <c r="C284" s="159"/>
      <c r="D284" s="159"/>
      <c r="E284" s="159"/>
      <c r="F284" s="159"/>
      <c r="G284" s="159"/>
      <c r="H284" s="159"/>
      <c r="I284" s="159"/>
      <c r="J284" s="159"/>
      <c r="K284" s="159"/>
      <c r="L284" s="159"/>
      <c r="M284" s="269"/>
      <c r="N284" s="269"/>
      <c r="O284" s="269"/>
      <c r="P284" s="269"/>
      <c r="U284" s="27"/>
      <c r="AB284" s="84"/>
    </row>
    <row r="285" spans="1:28" s="19" customFormat="1">
      <c r="A285" s="242"/>
      <c r="B285" s="159"/>
      <c r="C285" s="159"/>
      <c r="D285" s="159"/>
      <c r="E285" s="159"/>
      <c r="F285" s="159"/>
      <c r="G285" s="159"/>
      <c r="H285" s="159"/>
      <c r="I285" s="159"/>
      <c r="J285" s="159"/>
      <c r="K285" s="159"/>
      <c r="L285" s="159"/>
      <c r="M285" s="269"/>
      <c r="N285" s="269"/>
      <c r="O285" s="269"/>
      <c r="P285" s="269"/>
      <c r="U285" s="27"/>
      <c r="AB285" s="84"/>
    </row>
    <row r="286" spans="1:28" s="19" customFormat="1">
      <c r="A286" s="163"/>
      <c r="B286" s="163"/>
      <c r="C286" s="163"/>
      <c r="D286" s="163"/>
      <c r="E286" s="163"/>
      <c r="F286" s="163"/>
      <c r="G286" s="163"/>
      <c r="H286" s="163"/>
      <c r="I286" s="163"/>
      <c r="J286" s="163"/>
      <c r="K286" s="163"/>
      <c r="L286" s="163"/>
      <c r="M286" s="269"/>
      <c r="N286" s="269"/>
      <c r="O286" s="269"/>
      <c r="P286" s="269"/>
      <c r="AB286" s="84"/>
    </row>
    <row r="287" spans="1:28" s="19" customFormat="1">
      <c r="A287" s="385"/>
      <c r="B287" s="117"/>
      <c r="C287" s="159"/>
      <c r="D287" s="159"/>
      <c r="E287" s="159"/>
      <c r="F287" s="159"/>
      <c r="G287" s="159"/>
      <c r="H287" s="159"/>
      <c r="I287" s="159"/>
      <c r="J287" s="117"/>
      <c r="K287" s="162"/>
      <c r="L287" s="159"/>
      <c r="M287" s="269"/>
      <c r="N287" s="269"/>
      <c r="O287" s="269"/>
      <c r="P287" s="269"/>
      <c r="Q287" s="74"/>
      <c r="R287" s="28"/>
      <c r="S287" s="27"/>
      <c r="U287" s="27"/>
      <c r="AB287" s="84"/>
    </row>
    <row r="288" spans="1:28" s="19" customFormat="1" ht="18.75">
      <c r="A288" s="430"/>
      <c r="B288" s="163"/>
      <c r="C288" s="163"/>
      <c r="D288" s="163"/>
      <c r="E288" s="163"/>
      <c r="F288" s="163"/>
      <c r="G288" s="163"/>
      <c r="H288" s="163"/>
      <c r="I288" s="242"/>
      <c r="J288" s="117"/>
      <c r="K288" s="163"/>
      <c r="L288" s="163"/>
      <c r="M288" s="269"/>
      <c r="N288" s="269"/>
      <c r="O288" s="269"/>
      <c r="P288" s="269"/>
      <c r="Q288" s="30"/>
      <c r="R288" s="30"/>
      <c r="S288" s="30"/>
      <c r="AB288" s="84"/>
    </row>
    <row r="289" spans="1:28" s="19" customFormat="1">
      <c r="A289" s="357"/>
      <c r="B289" s="117"/>
      <c r="C289" s="117"/>
      <c r="D289" s="117"/>
      <c r="E289" s="117"/>
      <c r="F289" s="117"/>
      <c r="G289" s="117"/>
      <c r="H289" s="117"/>
      <c r="I289" s="117"/>
      <c r="J289" s="117"/>
      <c r="K289" s="117"/>
      <c r="L289" s="117"/>
      <c r="M289" s="269"/>
      <c r="N289" s="269"/>
      <c r="O289" s="269"/>
      <c r="P289" s="269"/>
      <c r="S289" s="30"/>
      <c r="U289" s="105" t="s">
        <v>152</v>
      </c>
      <c r="AB289" s="84"/>
    </row>
    <row r="290" spans="1:28" s="19" customFormat="1">
      <c r="A290" s="386"/>
      <c r="B290" s="117"/>
      <c r="C290" s="117"/>
      <c r="D290" s="117"/>
      <c r="E290" s="117"/>
      <c r="F290" s="117"/>
      <c r="G290" s="117"/>
      <c r="H290" s="117"/>
      <c r="I290" s="117"/>
      <c r="J290" s="117"/>
      <c r="K290" s="117"/>
      <c r="L290" s="117"/>
      <c r="M290" s="269"/>
      <c r="N290" s="269"/>
      <c r="O290" s="269"/>
      <c r="P290" s="269"/>
      <c r="S290" s="30"/>
      <c r="U290" s="27">
        <v>12665707</v>
      </c>
      <c r="W290" s="187">
        <f>+Q290-J290</f>
        <v>0</v>
      </c>
      <c r="X290" s="187">
        <f>+R290-K290</f>
        <v>0</v>
      </c>
      <c r="Y290" s="187">
        <f>+S290-L290</f>
        <v>0</v>
      </c>
      <c r="AB290" s="84"/>
    </row>
    <row r="291" spans="1:28" s="19" customFormat="1">
      <c r="A291" s="369"/>
      <c r="B291" s="117"/>
      <c r="C291" s="117"/>
      <c r="D291" s="117"/>
      <c r="E291" s="117"/>
      <c r="F291" s="117"/>
      <c r="G291" s="117"/>
      <c r="H291" s="117"/>
      <c r="I291" s="117"/>
      <c r="J291" s="117"/>
      <c r="K291" s="117"/>
      <c r="L291" s="117"/>
      <c r="M291" s="269"/>
      <c r="N291" s="269"/>
      <c r="O291" s="269"/>
      <c r="P291" s="269"/>
      <c r="Q291" s="133">
        <f t="shared" ref="Q291:AA291" si="67">+Q263-Q284</f>
        <v>0</v>
      </c>
      <c r="R291" s="133">
        <f t="shared" si="67"/>
        <v>0</v>
      </c>
      <c r="S291" s="133">
        <f t="shared" si="67"/>
        <v>0</v>
      </c>
      <c r="T291" s="133">
        <f t="shared" si="67"/>
        <v>0</v>
      </c>
      <c r="U291" s="133">
        <f t="shared" si="67"/>
        <v>0</v>
      </c>
      <c r="V291" s="133">
        <f t="shared" si="67"/>
        <v>0</v>
      </c>
      <c r="W291" s="133">
        <f t="shared" si="67"/>
        <v>0</v>
      </c>
      <c r="X291" s="133">
        <f t="shared" si="67"/>
        <v>0</v>
      </c>
      <c r="Y291" s="133">
        <f t="shared" si="67"/>
        <v>0</v>
      </c>
      <c r="Z291" s="133">
        <f t="shared" si="67"/>
        <v>0</v>
      </c>
      <c r="AA291" s="133">
        <f t="shared" si="67"/>
        <v>0</v>
      </c>
      <c r="AB291" s="84"/>
    </row>
    <row r="292" spans="1:28" s="19" customFormat="1">
      <c r="A292" s="357"/>
      <c r="B292" s="117"/>
      <c r="C292" s="117"/>
      <c r="D292" s="117"/>
      <c r="E292" s="117"/>
      <c r="F292" s="117"/>
      <c r="G292" s="117"/>
      <c r="H292" s="117"/>
      <c r="I292" s="117"/>
      <c r="J292" s="117"/>
      <c r="K292" s="117"/>
      <c r="L292" s="117"/>
      <c r="M292" s="269"/>
      <c r="N292" s="269"/>
      <c r="O292" s="269"/>
      <c r="P292" s="269"/>
      <c r="Q292" s="133">
        <f t="shared" ref="Q292:AA292" si="68">+Q264-Q285</f>
        <v>0</v>
      </c>
      <c r="R292" s="133">
        <f t="shared" si="68"/>
        <v>0</v>
      </c>
      <c r="S292" s="133">
        <f t="shared" si="68"/>
        <v>0</v>
      </c>
      <c r="T292" s="133">
        <f t="shared" si="68"/>
        <v>0</v>
      </c>
      <c r="U292" s="133">
        <f t="shared" si="68"/>
        <v>0</v>
      </c>
      <c r="V292" s="133">
        <f t="shared" si="68"/>
        <v>0</v>
      </c>
      <c r="W292" s="133">
        <f t="shared" si="68"/>
        <v>0</v>
      </c>
      <c r="X292" s="133">
        <f t="shared" si="68"/>
        <v>0</v>
      </c>
      <c r="Y292" s="133">
        <f t="shared" si="68"/>
        <v>0</v>
      </c>
      <c r="Z292" s="133">
        <f t="shared" si="68"/>
        <v>0</v>
      </c>
      <c r="AA292" s="133">
        <f t="shared" si="68"/>
        <v>0</v>
      </c>
      <c r="AB292" s="84"/>
    </row>
    <row r="293" spans="1:28" s="19" customFormat="1" ht="18.75">
      <c r="A293" s="431"/>
      <c r="B293" s="117"/>
      <c r="C293" s="117"/>
      <c r="D293" s="117"/>
      <c r="E293" s="117"/>
      <c r="F293" s="117"/>
      <c r="G293" s="117"/>
      <c r="H293" s="117"/>
      <c r="I293" s="117"/>
      <c r="J293" s="117"/>
      <c r="K293" s="374"/>
      <c r="L293" s="117"/>
      <c r="M293" s="269"/>
      <c r="N293" s="269"/>
      <c r="O293" s="269"/>
      <c r="P293" s="269"/>
      <c r="Q293" s="133">
        <f t="shared" ref="Q293:AA293" si="69">+Q265-Q286</f>
        <v>0</v>
      </c>
      <c r="R293" s="133">
        <f t="shared" si="69"/>
        <v>0</v>
      </c>
      <c r="S293" s="133">
        <f t="shared" si="69"/>
        <v>0</v>
      </c>
      <c r="T293" s="133">
        <f t="shared" si="69"/>
        <v>0</v>
      </c>
      <c r="U293" s="133">
        <f t="shared" si="69"/>
        <v>0</v>
      </c>
      <c r="V293" s="133">
        <f t="shared" si="69"/>
        <v>0</v>
      </c>
      <c r="W293" s="133">
        <f t="shared" si="69"/>
        <v>0</v>
      </c>
      <c r="X293" s="133">
        <f t="shared" si="69"/>
        <v>0</v>
      </c>
      <c r="Y293" s="133">
        <f t="shared" si="69"/>
        <v>0</v>
      </c>
      <c r="Z293" s="133">
        <f t="shared" si="69"/>
        <v>0</v>
      </c>
      <c r="AA293" s="133">
        <f t="shared" si="69"/>
        <v>0</v>
      </c>
      <c r="AB293" s="84"/>
    </row>
    <row r="294" spans="1:28" s="19" customFormat="1">
      <c r="A294" s="163"/>
      <c r="B294" s="163"/>
      <c r="C294" s="163"/>
      <c r="D294" s="163"/>
      <c r="E294" s="163"/>
      <c r="F294" s="163"/>
      <c r="G294" s="163"/>
      <c r="H294" s="163"/>
      <c r="I294" s="163"/>
      <c r="J294" s="117"/>
      <c r="K294" s="163"/>
      <c r="L294" s="163"/>
      <c r="M294" s="269"/>
      <c r="N294" s="269"/>
      <c r="O294" s="269"/>
      <c r="P294" s="269"/>
      <c r="Q294" s="133">
        <f t="shared" ref="Q294:AA294" si="70">+Q266-Q287</f>
        <v>0</v>
      </c>
      <c r="R294" s="133">
        <f t="shared" si="70"/>
        <v>0</v>
      </c>
      <c r="S294" s="133">
        <f t="shared" si="70"/>
        <v>0</v>
      </c>
      <c r="T294" s="133">
        <f t="shared" si="70"/>
        <v>0</v>
      </c>
      <c r="U294" s="133">
        <f t="shared" si="70"/>
        <v>0</v>
      </c>
      <c r="V294" s="133">
        <f t="shared" si="70"/>
        <v>0</v>
      </c>
      <c r="W294" s="133">
        <f t="shared" si="70"/>
        <v>0</v>
      </c>
      <c r="X294" s="133">
        <f t="shared" si="70"/>
        <v>0</v>
      </c>
      <c r="Y294" s="133">
        <f t="shared" si="70"/>
        <v>0</v>
      </c>
      <c r="Z294" s="133">
        <f t="shared" si="70"/>
        <v>0</v>
      </c>
      <c r="AA294" s="133">
        <f t="shared" si="70"/>
        <v>0</v>
      </c>
      <c r="AB294" s="84"/>
    </row>
    <row r="295" spans="1:28" s="19" customFormat="1">
      <c r="A295" s="432"/>
      <c r="B295" s="117"/>
      <c r="C295" s="117"/>
      <c r="D295" s="117"/>
      <c r="E295" s="117"/>
      <c r="F295" s="117"/>
      <c r="G295" s="117"/>
      <c r="H295" s="117"/>
      <c r="I295" s="117"/>
      <c r="J295" s="117"/>
      <c r="K295" s="117"/>
      <c r="L295" s="117"/>
      <c r="M295" s="269"/>
      <c r="N295" s="269"/>
      <c r="O295" s="269"/>
      <c r="P295" s="269"/>
      <c r="Q295" s="133">
        <f t="shared" ref="Q295:AA295" si="71">+Q267-Q288</f>
        <v>0</v>
      </c>
      <c r="R295" s="133">
        <f t="shared" si="71"/>
        <v>0</v>
      </c>
      <c r="S295" s="133">
        <f t="shared" si="71"/>
        <v>0</v>
      </c>
      <c r="T295" s="133">
        <f t="shared" si="71"/>
        <v>0</v>
      </c>
      <c r="U295" s="133">
        <f t="shared" si="71"/>
        <v>0</v>
      </c>
      <c r="V295" s="133">
        <f t="shared" si="71"/>
        <v>0</v>
      </c>
      <c r="W295" s="133">
        <f t="shared" si="71"/>
        <v>0</v>
      </c>
      <c r="X295" s="133">
        <f t="shared" si="71"/>
        <v>0</v>
      </c>
      <c r="Y295" s="133">
        <f t="shared" si="71"/>
        <v>0</v>
      </c>
      <c r="Z295" s="133">
        <f t="shared" si="71"/>
        <v>0</v>
      </c>
      <c r="AA295" s="133">
        <f t="shared" si="71"/>
        <v>0</v>
      </c>
      <c r="AB295" s="84"/>
    </row>
    <row r="296" spans="1:28" s="19" customFormat="1">
      <c r="A296" s="413"/>
      <c r="B296" s="117"/>
      <c r="C296" s="117"/>
      <c r="D296" s="117"/>
      <c r="E296" s="117"/>
      <c r="F296" s="117"/>
      <c r="G296" s="117"/>
      <c r="H296" s="117"/>
      <c r="I296" s="117"/>
      <c r="J296" s="117"/>
      <c r="K296" s="117"/>
      <c r="L296" s="117"/>
      <c r="M296" s="269"/>
      <c r="N296" s="269"/>
      <c r="O296" s="269"/>
      <c r="P296" s="269"/>
      <c r="Q296" s="133">
        <f t="shared" ref="Q296:AA296" si="72">+Q268-Q289</f>
        <v>0</v>
      </c>
      <c r="R296" s="133">
        <f t="shared" si="72"/>
        <v>0</v>
      </c>
      <c r="S296" s="133">
        <f t="shared" si="72"/>
        <v>0</v>
      </c>
      <c r="T296" s="133">
        <f t="shared" si="72"/>
        <v>0</v>
      </c>
      <c r="U296" s="133" t="e">
        <f t="shared" si="72"/>
        <v>#VALUE!</v>
      </c>
      <c r="V296" s="133">
        <f t="shared" si="72"/>
        <v>0</v>
      </c>
      <c r="W296" s="133">
        <f t="shared" si="72"/>
        <v>0</v>
      </c>
      <c r="X296" s="133">
        <f t="shared" si="72"/>
        <v>0</v>
      </c>
      <c r="Y296" s="133">
        <f t="shared" si="72"/>
        <v>0</v>
      </c>
      <c r="Z296" s="133">
        <f t="shared" si="72"/>
        <v>0</v>
      </c>
      <c r="AA296" s="133">
        <f t="shared" si="72"/>
        <v>0</v>
      </c>
      <c r="AB296" s="84"/>
    </row>
    <row r="297" spans="1:28" s="19" customFormat="1">
      <c r="A297" s="433"/>
      <c r="B297" s="117"/>
      <c r="C297" s="117"/>
      <c r="D297" s="117"/>
      <c r="E297" s="117"/>
      <c r="F297" s="117"/>
      <c r="G297" s="117"/>
      <c r="H297" s="117"/>
      <c r="I297" s="117"/>
      <c r="J297" s="117"/>
      <c r="K297" s="117"/>
      <c r="L297" s="117"/>
      <c r="M297" s="269"/>
      <c r="N297" s="269"/>
      <c r="O297" s="269"/>
      <c r="P297" s="269"/>
      <c r="Q297" s="27">
        <f>SUM(Q295:Q296)</f>
        <v>0</v>
      </c>
      <c r="R297" s="27">
        <f>SUM(R295:R296)</f>
        <v>0</v>
      </c>
      <c r="S297" s="27">
        <f>SUM(S295:S296)</f>
        <v>0</v>
      </c>
      <c r="U297" s="27" t="e">
        <f>SUM(U295:U296)</f>
        <v>#VALUE!</v>
      </c>
      <c r="AB297" s="84"/>
    </row>
    <row r="298" spans="1:28" s="19" customFormat="1">
      <c r="A298" s="163"/>
      <c r="B298" s="163"/>
      <c r="C298" s="163"/>
      <c r="D298" s="163"/>
      <c r="E298" s="163"/>
      <c r="F298" s="163"/>
      <c r="G298" s="163"/>
      <c r="H298" s="163"/>
      <c r="I298" s="163"/>
      <c r="J298" s="163"/>
      <c r="K298" s="163"/>
      <c r="L298" s="213"/>
      <c r="M298" s="269"/>
      <c r="N298" s="269"/>
      <c r="O298" s="269"/>
      <c r="P298" s="269"/>
      <c r="AB298" s="84"/>
    </row>
    <row r="299" spans="1:28" s="19" customFormat="1">
      <c r="A299" s="357"/>
      <c r="B299" s="117"/>
      <c r="C299" s="117"/>
      <c r="D299" s="117"/>
      <c r="E299" s="117"/>
      <c r="F299" s="117"/>
      <c r="G299" s="117"/>
      <c r="H299" s="117"/>
      <c r="I299" s="117"/>
      <c r="J299" s="374"/>
      <c r="K299" s="117"/>
      <c r="L299" s="117"/>
      <c r="M299" s="269"/>
      <c r="N299" s="269"/>
      <c r="O299" s="269"/>
      <c r="P299" s="269"/>
      <c r="Q299" s="79"/>
      <c r="R299" s="28"/>
      <c r="U299" s="27">
        <v>177500</v>
      </c>
      <c r="AB299" s="84"/>
    </row>
    <row r="300" spans="1:28" s="19" customFormat="1">
      <c r="A300" s="163"/>
      <c r="B300" s="117"/>
      <c r="C300" s="117"/>
      <c r="D300" s="117"/>
      <c r="E300" s="117"/>
      <c r="F300" s="117"/>
      <c r="G300" s="117"/>
      <c r="H300" s="117"/>
      <c r="I300" s="117"/>
      <c r="J300" s="242"/>
      <c r="K300" s="374"/>
      <c r="L300" s="117"/>
      <c r="M300" s="269"/>
      <c r="N300" s="269"/>
      <c r="O300" s="269"/>
      <c r="P300" s="269"/>
      <c r="Q300" s="27"/>
      <c r="R300" s="28"/>
      <c r="S300" s="27"/>
      <c r="U300" s="27"/>
      <c r="AB300" s="84"/>
    </row>
    <row r="301" spans="1:28" s="19" customFormat="1">
      <c r="A301" s="357"/>
      <c r="B301" s="117"/>
      <c r="C301" s="117"/>
      <c r="D301" s="117"/>
      <c r="E301" s="117"/>
      <c r="F301" s="117"/>
      <c r="G301" s="117"/>
      <c r="H301" s="117"/>
      <c r="I301" s="117"/>
      <c r="J301" s="242"/>
      <c r="K301" s="374"/>
      <c r="L301" s="117"/>
      <c r="M301" s="269"/>
      <c r="N301" s="269"/>
      <c r="O301" s="269"/>
      <c r="P301" s="269"/>
      <c r="Q301" s="27"/>
      <c r="R301" s="28"/>
      <c r="S301" s="27"/>
      <c r="U301" s="27">
        <v>9588936</v>
      </c>
      <c r="W301" s="187">
        <f t="shared" ref="W301:Y303" si="73">+Q301-J301</f>
        <v>0</v>
      </c>
      <c r="X301" s="187">
        <f t="shared" si="73"/>
        <v>0</v>
      </c>
      <c r="Y301" s="187">
        <f t="shared" si="73"/>
        <v>0</v>
      </c>
      <c r="AB301" s="84"/>
    </row>
    <row r="302" spans="1:28" s="19" customFormat="1">
      <c r="A302" s="432"/>
      <c r="B302" s="117"/>
      <c r="C302" s="117"/>
      <c r="D302" s="117"/>
      <c r="E302" s="117"/>
      <c r="F302" s="117"/>
      <c r="G302" s="117"/>
      <c r="H302" s="117"/>
      <c r="I302" s="117"/>
      <c r="J302" s="242"/>
      <c r="K302" s="374"/>
      <c r="L302" s="117"/>
      <c r="M302" s="269"/>
      <c r="N302" s="269"/>
      <c r="O302" s="269"/>
      <c r="P302" s="269"/>
      <c r="Q302" s="27"/>
      <c r="R302" s="28"/>
      <c r="S302" s="27"/>
      <c r="U302" s="27"/>
      <c r="W302" s="187">
        <f t="shared" si="73"/>
        <v>0</v>
      </c>
      <c r="X302" s="187">
        <f t="shared" si="73"/>
        <v>0</v>
      </c>
      <c r="Y302" s="187">
        <f t="shared" si="73"/>
        <v>0</v>
      </c>
      <c r="AB302" s="84"/>
    </row>
    <row r="303" spans="1:28" s="19" customFormat="1">
      <c r="A303" s="369"/>
      <c r="B303" s="117"/>
      <c r="C303" s="117"/>
      <c r="D303" s="117"/>
      <c r="E303" s="117"/>
      <c r="F303" s="117"/>
      <c r="G303" s="117"/>
      <c r="H303" s="117"/>
      <c r="I303" s="117"/>
      <c r="J303" s="242"/>
      <c r="K303" s="374"/>
      <c r="L303" s="117"/>
      <c r="M303" s="269"/>
      <c r="N303" s="269"/>
      <c r="O303" s="269"/>
      <c r="P303" s="269"/>
      <c r="Q303" s="27"/>
      <c r="R303" s="28"/>
      <c r="S303" s="27"/>
      <c r="U303" s="27"/>
      <c r="W303" s="187">
        <f t="shared" si="73"/>
        <v>0</v>
      </c>
      <c r="X303" s="187">
        <f t="shared" si="73"/>
        <v>0</v>
      </c>
      <c r="Y303" s="187">
        <f t="shared" si="73"/>
        <v>0</v>
      </c>
      <c r="AB303" s="84"/>
    </row>
    <row r="304" spans="1:28" s="19" customFormat="1">
      <c r="A304" s="163"/>
      <c r="B304" s="117"/>
      <c r="C304" s="117"/>
      <c r="D304" s="117"/>
      <c r="E304" s="117"/>
      <c r="F304" s="117"/>
      <c r="G304" s="117"/>
      <c r="H304" s="117"/>
      <c r="I304" s="117"/>
      <c r="J304" s="242"/>
      <c r="K304" s="117"/>
      <c r="L304" s="117"/>
      <c r="M304" s="269"/>
      <c r="N304" s="269"/>
      <c r="O304" s="269"/>
      <c r="P304" s="269"/>
      <c r="U304" s="27"/>
      <c r="AB304" s="84"/>
    </row>
    <row r="305" spans="1:28" s="19" customFormat="1">
      <c r="A305" s="357"/>
      <c r="B305" s="117"/>
      <c r="C305" s="117"/>
      <c r="D305" s="117"/>
      <c r="E305" s="117"/>
      <c r="F305" s="117"/>
      <c r="G305" s="117"/>
      <c r="H305" s="117"/>
      <c r="I305" s="117"/>
      <c r="J305" s="117"/>
      <c r="K305" s="163"/>
      <c r="L305" s="163"/>
      <c r="M305" s="269"/>
      <c r="N305" s="269"/>
      <c r="O305" s="269"/>
      <c r="P305" s="269"/>
      <c r="Q305" s="80"/>
      <c r="R305" s="29"/>
      <c r="AB305" s="84"/>
    </row>
    <row r="306" spans="1:28" s="19" customFormat="1">
      <c r="A306" s="434"/>
      <c r="B306" s="117"/>
      <c r="C306" s="117"/>
      <c r="D306" s="117"/>
      <c r="E306" s="117"/>
      <c r="F306" s="117"/>
      <c r="G306" s="117"/>
      <c r="H306" s="117"/>
      <c r="I306" s="117"/>
      <c r="J306" s="117"/>
      <c r="K306" s="117"/>
      <c r="L306" s="117"/>
      <c r="M306" s="269"/>
      <c r="N306" s="269"/>
      <c r="O306" s="269"/>
      <c r="P306" s="269"/>
      <c r="Q306" s="27">
        <v>10402949</v>
      </c>
      <c r="R306" s="27">
        <v>11463184</v>
      </c>
      <c r="S306" s="27">
        <v>12049817</v>
      </c>
      <c r="U306" s="27">
        <v>12049817</v>
      </c>
      <c r="W306" s="187">
        <f t="shared" ref="W306:Y307" si="74">+Q306-J306</f>
        <v>10402949</v>
      </c>
      <c r="X306" s="187">
        <f t="shared" si="74"/>
        <v>11463184</v>
      </c>
      <c r="Y306" s="187">
        <f t="shared" si="74"/>
        <v>12049817</v>
      </c>
      <c r="AB306" s="84"/>
    </row>
    <row r="307" spans="1:28" s="19" customFormat="1">
      <c r="A307" s="369"/>
      <c r="B307" s="117"/>
      <c r="C307" s="117"/>
      <c r="D307" s="117"/>
      <c r="E307" s="117"/>
      <c r="F307" s="117"/>
      <c r="G307" s="117"/>
      <c r="H307" s="117"/>
      <c r="I307" s="117"/>
      <c r="J307" s="117"/>
      <c r="K307" s="117"/>
      <c r="L307" s="117"/>
      <c r="M307" s="269"/>
      <c r="N307" s="269"/>
      <c r="O307" s="269"/>
      <c r="P307" s="269"/>
      <c r="Q307" s="27"/>
      <c r="R307" s="27"/>
      <c r="S307" s="27"/>
      <c r="U307" s="27"/>
      <c r="W307" s="187">
        <f t="shared" si="74"/>
        <v>0</v>
      </c>
      <c r="X307" s="187">
        <f t="shared" si="74"/>
        <v>0</v>
      </c>
      <c r="Y307" s="187">
        <f t="shared" si="74"/>
        <v>0</v>
      </c>
      <c r="AB307" s="84"/>
    </row>
    <row r="308" spans="1:28" s="19" customFormat="1">
      <c r="A308" s="434"/>
      <c r="B308" s="117"/>
      <c r="C308" s="117"/>
      <c r="D308" s="117"/>
      <c r="E308" s="117"/>
      <c r="F308" s="117"/>
      <c r="G308" s="117"/>
      <c r="H308" s="117"/>
      <c r="I308" s="117"/>
      <c r="J308" s="117"/>
      <c r="K308" s="117"/>
      <c r="L308" s="117"/>
      <c r="M308" s="269"/>
      <c r="N308" s="269"/>
      <c r="O308" s="269"/>
      <c r="P308" s="269"/>
      <c r="U308" s="27"/>
      <c r="AB308" s="84"/>
    </row>
    <row r="309" spans="1:28" s="76" customFormat="1">
      <c r="A309" s="435"/>
      <c r="B309" s="415"/>
      <c r="C309" s="415"/>
      <c r="D309" s="415"/>
      <c r="E309" s="415"/>
      <c r="F309" s="415"/>
      <c r="G309" s="415"/>
      <c r="H309" s="415"/>
      <c r="I309" s="415"/>
      <c r="J309" s="415"/>
      <c r="K309" s="415"/>
      <c r="L309" s="415"/>
      <c r="M309" s="436"/>
      <c r="N309" s="436"/>
      <c r="O309" s="436"/>
      <c r="P309" s="436"/>
      <c r="Q309" s="139">
        <f>Q297+Q299+Q301+Q306</f>
        <v>10402949</v>
      </c>
      <c r="R309" s="139">
        <f>R297+R299+R301+R306</f>
        <v>11463184</v>
      </c>
      <c r="S309" s="139">
        <f>S297+S299+S301+S306</f>
        <v>12049817</v>
      </c>
      <c r="U309" s="139" t="e">
        <f>U297+U299+U301+U306</f>
        <v>#VALUE!</v>
      </c>
      <c r="AB309" s="84"/>
    </row>
    <row r="310" spans="1:28" s="19" customFormat="1">
      <c r="A310" s="434"/>
      <c r="B310" s="117"/>
      <c r="C310" s="117"/>
      <c r="D310" s="117"/>
      <c r="E310" s="117"/>
      <c r="F310" s="117"/>
      <c r="G310" s="117"/>
      <c r="H310" s="117"/>
      <c r="I310" s="117"/>
      <c r="J310" s="117"/>
      <c r="K310" s="117"/>
      <c r="L310" s="117"/>
      <c r="M310" s="269"/>
      <c r="N310" s="269"/>
      <c r="O310" s="269"/>
      <c r="P310" s="269"/>
      <c r="U310" s="27"/>
      <c r="AB310" s="84"/>
    </row>
    <row r="311" spans="1:28" s="19" customFormat="1">
      <c r="A311" s="163"/>
      <c r="B311" s="163"/>
      <c r="C311" s="163"/>
      <c r="D311" s="163"/>
      <c r="E311" s="163"/>
      <c r="F311" s="163"/>
      <c r="G311" s="163"/>
      <c r="H311" s="163"/>
      <c r="I311" s="163"/>
      <c r="J311" s="163"/>
      <c r="K311" s="163"/>
      <c r="L311" s="163"/>
      <c r="M311" s="269"/>
      <c r="N311" s="269"/>
      <c r="O311" s="269"/>
      <c r="P311" s="269"/>
      <c r="AB311" s="84"/>
    </row>
    <row r="312" spans="1:28" s="19" customFormat="1">
      <c r="A312" s="369"/>
      <c r="B312" s="117"/>
      <c r="C312" s="117"/>
      <c r="D312" s="117"/>
      <c r="E312" s="117"/>
      <c r="F312" s="117"/>
      <c r="G312" s="117"/>
      <c r="H312" s="117"/>
      <c r="I312" s="117"/>
      <c r="J312" s="117"/>
      <c r="K312" s="117"/>
      <c r="L312" s="117"/>
      <c r="M312" s="269"/>
      <c r="N312" s="269"/>
      <c r="O312" s="269"/>
      <c r="P312" s="269"/>
      <c r="AB312" s="84"/>
    </row>
    <row r="313" spans="1:28" s="19" customFormat="1">
      <c r="A313" s="369"/>
      <c r="B313" s="157"/>
      <c r="C313" s="158"/>
      <c r="D313" s="158"/>
      <c r="E313" s="158"/>
      <c r="F313" s="158"/>
      <c r="G313" s="158"/>
      <c r="H313" s="158"/>
      <c r="I313" s="158"/>
      <c r="J313" s="145"/>
      <c r="K313" s="157"/>
      <c r="L313" s="326"/>
      <c r="M313" s="269"/>
      <c r="N313" s="269"/>
      <c r="O313" s="269"/>
      <c r="P313" s="269"/>
      <c r="AB313" s="84"/>
    </row>
    <row r="314" spans="1:28" s="19" customFormat="1">
      <c r="A314" s="163"/>
      <c r="B314" s="117"/>
      <c r="C314" s="159"/>
      <c r="D314" s="159"/>
      <c r="E314" s="159"/>
      <c r="F314" s="159"/>
      <c r="G314" s="159"/>
      <c r="H314" s="159"/>
      <c r="I314" s="159"/>
      <c r="J314" s="145"/>
      <c r="K314" s="160"/>
      <c r="L314" s="159"/>
      <c r="M314" s="269"/>
      <c r="N314" s="269"/>
      <c r="O314" s="269"/>
      <c r="P314" s="269"/>
      <c r="AB314" s="84"/>
    </row>
    <row r="315" spans="1:28" s="19" customFormat="1">
      <c r="A315" s="369"/>
      <c r="B315" s="117"/>
      <c r="C315" s="117"/>
      <c r="D315" s="117"/>
      <c r="E315" s="117"/>
      <c r="F315" s="117"/>
      <c r="G315" s="117"/>
      <c r="H315" s="117"/>
      <c r="I315" s="117"/>
      <c r="J315" s="145"/>
      <c r="K315" s="117"/>
      <c r="L315" s="159"/>
      <c r="M315" s="269"/>
      <c r="N315" s="269"/>
      <c r="O315" s="269"/>
      <c r="P315" s="269"/>
      <c r="AB315" s="84"/>
    </row>
    <row r="316" spans="1:28" s="19" customFormat="1">
      <c r="A316" s="163"/>
      <c r="B316" s="117"/>
      <c r="C316" s="159"/>
      <c r="D316" s="159"/>
      <c r="E316" s="159"/>
      <c r="F316" s="159"/>
      <c r="G316" s="159"/>
      <c r="H316" s="159"/>
      <c r="I316" s="159"/>
      <c r="J316" s="145"/>
      <c r="K316" s="162"/>
      <c r="L316" s="159"/>
      <c r="M316" s="269"/>
      <c r="N316" s="269"/>
      <c r="O316" s="269"/>
      <c r="P316" s="269"/>
      <c r="AB316" s="84"/>
    </row>
    <row r="317" spans="1:28" s="19" customFormat="1">
      <c r="A317" s="369"/>
      <c r="B317" s="117"/>
      <c r="C317" s="117"/>
      <c r="D317" s="117"/>
      <c r="E317" s="117"/>
      <c r="F317" s="117"/>
      <c r="G317" s="117"/>
      <c r="H317" s="117"/>
      <c r="I317" s="117"/>
      <c r="J317" s="145"/>
      <c r="K317" s="117"/>
      <c r="L317" s="159"/>
      <c r="M317" s="269"/>
      <c r="N317" s="269"/>
      <c r="O317" s="269"/>
      <c r="P317" s="269"/>
      <c r="AB317" s="84"/>
    </row>
    <row r="318" spans="1:28" s="19" customFormat="1">
      <c r="A318" s="163"/>
      <c r="B318" s="117"/>
      <c r="C318" s="159"/>
      <c r="D318" s="159"/>
      <c r="E318" s="159"/>
      <c r="F318" s="159"/>
      <c r="G318" s="159"/>
      <c r="H318" s="159"/>
      <c r="I318" s="159"/>
      <c r="J318" s="159"/>
      <c r="K318" s="162"/>
      <c r="L318" s="159"/>
      <c r="M318" s="269"/>
      <c r="N318" s="269"/>
      <c r="O318" s="269"/>
      <c r="P318" s="269"/>
      <c r="AB318" s="84"/>
    </row>
    <row r="319" spans="1:28" s="19" customFormat="1">
      <c r="A319" s="435"/>
      <c r="B319" s="213"/>
      <c r="C319" s="213"/>
      <c r="D319" s="213"/>
      <c r="E319" s="213"/>
      <c r="F319" s="213"/>
      <c r="G319" s="213"/>
      <c r="H319" s="213"/>
      <c r="I319" s="213"/>
      <c r="J319" s="213"/>
      <c r="K319" s="213"/>
      <c r="L319" s="213"/>
      <c r="M319" s="269"/>
      <c r="N319" s="269"/>
      <c r="O319" s="269"/>
      <c r="P319" s="269"/>
      <c r="AB319" s="84"/>
    </row>
    <row r="320" spans="1:28" s="19" customFormat="1">
      <c r="A320" s="163"/>
      <c r="B320" s="163"/>
      <c r="C320" s="163"/>
      <c r="D320" s="163"/>
      <c r="E320" s="163"/>
      <c r="F320" s="163"/>
      <c r="G320" s="163"/>
      <c r="H320" s="163"/>
      <c r="I320" s="163"/>
      <c r="J320" s="163"/>
      <c r="K320" s="163"/>
      <c r="L320" s="163"/>
      <c r="M320" s="269"/>
      <c r="N320" s="269"/>
      <c r="O320" s="269"/>
      <c r="P320" s="269"/>
      <c r="U320" s="27"/>
      <c r="AB320" s="84"/>
    </row>
    <row r="321" spans="1:28" s="19" customFormat="1">
      <c r="A321" s="163"/>
      <c r="B321" s="163"/>
      <c r="C321" s="163"/>
      <c r="D321" s="163"/>
      <c r="E321" s="163"/>
      <c r="F321" s="163"/>
      <c r="G321" s="163"/>
      <c r="H321" s="163"/>
      <c r="I321" s="163"/>
      <c r="J321" s="163"/>
      <c r="K321" s="163"/>
      <c r="L321" s="163"/>
      <c r="M321" s="269"/>
      <c r="N321" s="269"/>
      <c r="O321" s="269"/>
      <c r="P321" s="269"/>
      <c r="Q321" s="105" t="s">
        <v>153</v>
      </c>
      <c r="R321" s="105" t="s">
        <v>153</v>
      </c>
      <c r="S321" s="105" t="s">
        <v>153</v>
      </c>
      <c r="U321" s="105" t="s">
        <v>152</v>
      </c>
      <c r="AB321" s="84"/>
    </row>
    <row r="322" spans="1:28" s="19" customFormat="1">
      <c r="A322" s="385"/>
      <c r="B322" s="117"/>
      <c r="C322" s="159"/>
      <c r="D322" s="159"/>
      <c r="E322" s="159"/>
      <c r="F322" s="159"/>
      <c r="G322" s="159"/>
      <c r="H322" s="159"/>
      <c r="I322" s="159"/>
      <c r="J322" s="117"/>
      <c r="K322" s="162"/>
      <c r="L322" s="159"/>
      <c r="M322" s="269"/>
      <c r="N322" s="269"/>
      <c r="O322" s="269"/>
      <c r="P322" s="269"/>
      <c r="Q322" s="27">
        <v>174077</v>
      </c>
      <c r="R322" s="29">
        <v>92051</v>
      </c>
      <c r="S322" s="27">
        <v>242585</v>
      </c>
      <c r="U322" s="27">
        <v>12665707</v>
      </c>
      <c r="W322" s="187">
        <f>+Q322-J312</f>
        <v>174077</v>
      </c>
      <c r="X322" s="187">
        <f>+R322-K312</f>
        <v>92051</v>
      </c>
      <c r="Y322" s="187">
        <f>+S322-L312</f>
        <v>242585</v>
      </c>
      <c r="AB322" s="84"/>
    </row>
    <row r="323" spans="1:28" s="77" customFormat="1" ht="18.75">
      <c r="A323" s="437"/>
      <c r="B323" s="165"/>
      <c r="C323" s="165"/>
      <c r="D323" s="165"/>
      <c r="E323" s="165"/>
      <c r="F323" s="165"/>
      <c r="G323" s="165"/>
      <c r="H323" s="165"/>
      <c r="I323" s="165"/>
      <c r="J323" s="117"/>
      <c r="K323" s="165"/>
      <c r="L323" s="165"/>
      <c r="M323" s="326"/>
      <c r="N323" s="326"/>
      <c r="O323" s="326"/>
      <c r="P323" s="326"/>
      <c r="Q323" s="103"/>
      <c r="R323" s="104"/>
      <c r="S323" s="103">
        <v>0</v>
      </c>
      <c r="U323" s="27">
        <v>573606</v>
      </c>
      <c r="AB323" s="331"/>
    </row>
    <row r="324" spans="1:28" s="19" customFormat="1">
      <c r="A324" s="366"/>
      <c r="B324" s="145"/>
      <c r="C324" s="145"/>
      <c r="D324" s="145"/>
      <c r="E324" s="145"/>
      <c r="F324" s="145"/>
      <c r="G324" s="145"/>
      <c r="H324" s="145"/>
      <c r="I324" s="145"/>
      <c r="J324" s="117"/>
      <c r="K324" s="145"/>
      <c r="L324" s="145"/>
      <c r="M324" s="269"/>
      <c r="N324" s="269"/>
      <c r="O324" s="269"/>
      <c r="P324" s="269"/>
      <c r="Q324" s="74"/>
      <c r="R324" s="28"/>
      <c r="U324" s="138" t="s">
        <v>154</v>
      </c>
      <c r="AB324" s="84"/>
    </row>
    <row r="325" spans="1:28" s="19" customFormat="1">
      <c r="A325" s="394"/>
      <c r="B325" s="145"/>
      <c r="C325" s="145"/>
      <c r="D325" s="145"/>
      <c r="E325" s="145"/>
      <c r="F325" s="145"/>
      <c r="G325" s="145"/>
      <c r="H325" s="145"/>
      <c r="I325" s="145"/>
      <c r="J325" s="117"/>
      <c r="K325" s="145"/>
      <c r="L325" s="145"/>
      <c r="M325" s="269"/>
      <c r="N325" s="269"/>
      <c r="O325" s="269"/>
      <c r="P325" s="269"/>
      <c r="Q325" s="27">
        <v>10721849</v>
      </c>
      <c r="R325" s="27">
        <v>12680658</v>
      </c>
      <c r="S325" s="27">
        <v>13399662</v>
      </c>
      <c r="U325" s="27">
        <v>0</v>
      </c>
      <c r="W325" s="187">
        <f>+Q325-J315</f>
        <v>10721849</v>
      </c>
      <c r="X325" s="187">
        <f>+R325-K315</f>
        <v>12680658</v>
      </c>
      <c r="Y325" s="187">
        <f>+S325-L315</f>
        <v>13399662</v>
      </c>
      <c r="AB325" s="84"/>
    </row>
    <row r="326" spans="1:28" s="19" customFormat="1">
      <c r="A326" s="413"/>
      <c r="B326" s="145"/>
      <c r="C326" s="145"/>
      <c r="D326" s="145"/>
      <c r="E326" s="145"/>
      <c r="F326" s="145"/>
      <c r="G326" s="145"/>
      <c r="H326" s="145"/>
      <c r="I326" s="145"/>
      <c r="J326" s="117"/>
      <c r="K326" s="145"/>
      <c r="L326" s="145"/>
      <c r="M326" s="269"/>
      <c r="N326" s="269"/>
      <c r="O326" s="269"/>
      <c r="P326" s="269"/>
      <c r="Q326" s="74"/>
      <c r="R326" s="28"/>
      <c r="S326" s="27"/>
      <c r="U326" s="138" t="s">
        <v>154</v>
      </c>
      <c r="AB326" s="84"/>
    </row>
    <row r="327" spans="1:28" s="19" customFormat="1">
      <c r="A327" s="369"/>
      <c r="B327" s="145"/>
      <c r="C327" s="145"/>
      <c r="D327" s="145"/>
      <c r="E327" s="145"/>
      <c r="F327" s="145"/>
      <c r="G327" s="145"/>
      <c r="H327" s="145"/>
      <c r="I327" s="145"/>
      <c r="J327" s="117"/>
      <c r="K327" s="145"/>
      <c r="L327" s="145"/>
      <c r="M327" s="269"/>
      <c r="N327" s="269"/>
      <c r="O327" s="269"/>
      <c r="P327" s="269"/>
      <c r="Q327" s="27">
        <v>18183465</v>
      </c>
      <c r="R327" s="27">
        <v>36507093</v>
      </c>
      <c r="S327" s="27">
        <v>21590949</v>
      </c>
      <c r="U327" s="27">
        <v>0</v>
      </c>
      <c r="W327" s="187">
        <f>+Q327-J317</f>
        <v>18183465</v>
      </c>
      <c r="X327" s="187">
        <f>+R327-K317</f>
        <v>36507093</v>
      </c>
      <c r="Y327" s="187">
        <f>+S327-L317</f>
        <v>21590949</v>
      </c>
      <c r="AB327" s="84"/>
    </row>
    <row r="328" spans="1:28" s="19" customFormat="1">
      <c r="A328" s="414"/>
      <c r="B328" s="145"/>
      <c r="C328" s="145"/>
      <c r="D328" s="145"/>
      <c r="E328" s="145"/>
      <c r="F328" s="145"/>
      <c r="G328" s="145"/>
      <c r="H328" s="145"/>
      <c r="I328" s="145"/>
      <c r="J328" s="117"/>
      <c r="K328" s="145"/>
      <c r="L328" s="145"/>
      <c r="M328" s="269"/>
      <c r="N328" s="269"/>
      <c r="O328" s="269"/>
      <c r="P328" s="269"/>
      <c r="Q328" s="74"/>
      <c r="R328" s="28"/>
      <c r="S328" s="27"/>
      <c r="U328" s="27"/>
      <c r="AB328" s="84"/>
    </row>
    <row r="329" spans="1:28" s="19" customFormat="1">
      <c r="A329" s="385"/>
      <c r="B329" s="145"/>
      <c r="C329" s="145"/>
      <c r="D329" s="145"/>
      <c r="E329" s="145"/>
      <c r="F329" s="145"/>
      <c r="G329" s="145"/>
      <c r="H329" s="145"/>
      <c r="I329" s="145"/>
      <c r="J329" s="117"/>
      <c r="K329" s="145"/>
      <c r="L329" s="145"/>
      <c r="M329" s="269"/>
      <c r="N329" s="269"/>
      <c r="O329" s="269"/>
      <c r="P329" s="269"/>
      <c r="Q329" s="187">
        <f>Q322+Q323+Q325+Q327</f>
        <v>29079391</v>
      </c>
      <c r="R329" s="187">
        <f>R322+R323+R325+R327</f>
        <v>49279802</v>
      </c>
      <c r="S329" s="187">
        <f>S322+S323+S325+S327</f>
        <v>35233196</v>
      </c>
      <c r="U329" s="187">
        <f>U322+U323+U325+U327</f>
        <v>13239313</v>
      </c>
      <c r="W329" s="187">
        <f>+Q329-J319</f>
        <v>29079391</v>
      </c>
      <c r="X329" s="187">
        <f>+R329-K319</f>
        <v>49279802</v>
      </c>
      <c r="Y329" s="187">
        <f>+S329-L319</f>
        <v>35233196</v>
      </c>
      <c r="AB329" s="84"/>
    </row>
    <row r="330" spans="1:28" s="19" customFormat="1">
      <c r="A330" s="385"/>
      <c r="B330" s="117"/>
      <c r="C330" s="159"/>
      <c r="D330" s="159"/>
      <c r="E330" s="159"/>
      <c r="F330" s="159"/>
      <c r="G330" s="159"/>
      <c r="H330" s="159"/>
      <c r="I330" s="159"/>
      <c r="J330" s="117"/>
      <c r="K330" s="162"/>
      <c r="L330" s="159"/>
      <c r="M330" s="269"/>
      <c r="N330" s="269"/>
      <c r="O330" s="269"/>
      <c r="P330" s="269"/>
      <c r="AB330" s="84"/>
    </row>
    <row r="331" spans="1:28" s="19" customFormat="1">
      <c r="A331" s="434"/>
      <c r="B331" s="117"/>
      <c r="C331" s="117"/>
      <c r="D331" s="117"/>
      <c r="E331" s="117"/>
      <c r="F331" s="117"/>
      <c r="G331" s="117"/>
      <c r="H331" s="117"/>
      <c r="I331" s="117"/>
      <c r="J331" s="117"/>
      <c r="K331" s="117"/>
      <c r="L331" s="117"/>
      <c r="M331" s="269"/>
      <c r="N331" s="269"/>
      <c r="O331" s="269"/>
      <c r="P331" s="269"/>
      <c r="AB331" s="84"/>
    </row>
    <row r="332" spans="1:28" s="19" customFormat="1">
      <c r="A332" s="163"/>
      <c r="B332" s="117"/>
      <c r="C332" s="117"/>
      <c r="D332" s="117"/>
      <c r="E332" s="117"/>
      <c r="F332" s="117"/>
      <c r="G332" s="117"/>
      <c r="H332" s="117"/>
      <c r="I332" s="117"/>
      <c r="J332" s="117"/>
      <c r="K332" s="117"/>
      <c r="L332" s="117"/>
      <c r="M332" s="269"/>
      <c r="N332" s="269"/>
      <c r="O332" s="269"/>
      <c r="P332" s="269"/>
      <c r="Q332" s="74"/>
      <c r="R332" s="28"/>
      <c r="S332" s="27"/>
      <c r="U332" s="27"/>
      <c r="AB332" s="84"/>
    </row>
    <row r="333" spans="1:28" s="19" customFormat="1" ht="18.75">
      <c r="A333" s="438"/>
      <c r="B333" s="165"/>
      <c r="C333" s="165"/>
      <c r="D333" s="165"/>
      <c r="E333" s="165"/>
      <c r="F333" s="219"/>
      <c r="G333" s="165"/>
      <c r="H333" s="165"/>
      <c r="I333" s="165"/>
      <c r="J333" s="165"/>
      <c r="K333" s="165"/>
      <c r="L333" s="165"/>
      <c r="M333" s="269"/>
      <c r="N333" s="269"/>
      <c r="O333" s="269"/>
      <c r="P333" s="269"/>
      <c r="Q333" s="27"/>
      <c r="U333" s="27"/>
      <c r="AB333" s="84"/>
    </row>
    <row r="334" spans="1:28" s="19" customFormat="1">
      <c r="A334" s="439"/>
      <c r="B334" s="117"/>
      <c r="C334" s="117"/>
      <c r="D334" s="117"/>
      <c r="E334" s="117"/>
      <c r="F334" s="117"/>
      <c r="G334" s="117"/>
      <c r="H334" s="117"/>
      <c r="I334" s="117"/>
      <c r="J334" s="167"/>
      <c r="K334" s="167"/>
      <c r="L334" s="167"/>
      <c r="M334" s="269"/>
      <c r="N334" s="269"/>
      <c r="O334" s="269"/>
      <c r="P334" s="269"/>
      <c r="Q334" s="27">
        <v>91440246</v>
      </c>
      <c r="R334" s="27">
        <v>123283829</v>
      </c>
      <c r="S334" s="27">
        <v>113315604</v>
      </c>
      <c r="U334" s="215">
        <f>U78+U81+U97+U106+U115+U124+U133+U142+U151+U160+U169+U178+U187+U322+U325+U327</f>
        <v>90748115</v>
      </c>
      <c r="W334" s="187">
        <f t="shared" ref="W334:Y337" si="75">+Q334-J324</f>
        <v>91440246</v>
      </c>
      <c r="X334" s="187">
        <f t="shared" si="75"/>
        <v>123283829</v>
      </c>
      <c r="Y334" s="187">
        <f t="shared" si="75"/>
        <v>113315604</v>
      </c>
      <c r="AB334" s="84"/>
    </row>
    <row r="335" spans="1:28" s="19" customFormat="1" ht="18.75">
      <c r="A335" s="438"/>
      <c r="B335" s="117"/>
      <c r="C335" s="117"/>
      <c r="D335" s="117"/>
      <c r="E335" s="117"/>
      <c r="F335" s="117"/>
      <c r="G335" s="117"/>
      <c r="H335" s="117"/>
      <c r="I335" s="117"/>
      <c r="J335" s="117"/>
      <c r="K335" s="167"/>
      <c r="L335" s="167"/>
      <c r="M335" s="269"/>
      <c r="N335" s="269"/>
      <c r="O335" s="269"/>
      <c r="P335" s="269"/>
      <c r="Q335" s="27">
        <v>20668703</v>
      </c>
      <c r="R335" s="27">
        <v>28898063</v>
      </c>
      <c r="S335" s="27">
        <v>26083392</v>
      </c>
      <c r="U335" s="32">
        <f>U143+U188</f>
        <v>26083392</v>
      </c>
      <c r="W335" s="187">
        <f t="shared" si="75"/>
        <v>20668703</v>
      </c>
      <c r="X335" s="187">
        <f t="shared" si="75"/>
        <v>28898063</v>
      </c>
      <c r="Y335" s="187">
        <f t="shared" si="75"/>
        <v>26083392</v>
      </c>
      <c r="AB335" s="84"/>
    </row>
    <row r="336" spans="1:28" s="19" customFormat="1" ht="18.75">
      <c r="A336" s="440"/>
      <c r="B336" s="117"/>
      <c r="C336" s="117"/>
      <c r="D336" s="117"/>
      <c r="E336" s="117"/>
      <c r="F336" s="117"/>
      <c r="G336" s="117"/>
      <c r="H336" s="117"/>
      <c r="I336" s="117"/>
      <c r="J336" s="117"/>
      <c r="K336" s="117"/>
      <c r="L336" s="117"/>
      <c r="M336" s="269"/>
      <c r="N336" s="269"/>
      <c r="O336" s="269"/>
      <c r="P336" s="269"/>
      <c r="Q336" s="27">
        <f>7078178+6748311+4584652</f>
        <v>18411141</v>
      </c>
      <c r="R336" s="27">
        <f>11190901+7628225+4271147</f>
        <v>23090273</v>
      </c>
      <c r="S336" s="27">
        <f>9264269+8071910+4540987</f>
        <v>21877166</v>
      </c>
      <c r="U336" s="32">
        <f>U135+U171+U189</f>
        <v>21877166</v>
      </c>
      <c r="W336" s="187">
        <f t="shared" si="75"/>
        <v>18411141</v>
      </c>
      <c r="X336" s="187">
        <f t="shared" si="75"/>
        <v>23090273</v>
      </c>
      <c r="Y336" s="187">
        <f t="shared" si="75"/>
        <v>21877166</v>
      </c>
      <c r="AB336" s="84"/>
    </row>
    <row r="337" spans="1:28" s="19" customFormat="1" ht="19.5" thickBot="1">
      <c r="A337" s="441"/>
      <c r="B337" s="117"/>
      <c r="C337" s="117"/>
      <c r="D337" s="117"/>
      <c r="E337" s="117"/>
      <c r="F337" s="117"/>
      <c r="G337" s="117"/>
      <c r="H337" s="117"/>
      <c r="I337" s="117"/>
      <c r="J337" s="167"/>
      <c r="K337" s="167"/>
      <c r="L337" s="167"/>
      <c r="M337" s="269"/>
      <c r="N337" s="269"/>
      <c r="O337" s="269"/>
      <c r="P337" s="269"/>
      <c r="Q337" s="69">
        <f>37932163-2505058-3910-2079868-408210-65531-403038-132319-354233</f>
        <v>31979996</v>
      </c>
      <c r="R337" s="69">
        <f>107452593-5508558-160-249688-650000-842284-2000000-1346745-300-0-648419</f>
        <v>96206439</v>
      </c>
      <c r="S337" s="69">
        <f>66753646-1542109-252500-35000-6010377-2000-23500-6654501-144343</f>
        <v>52089316</v>
      </c>
      <c r="U337" s="125">
        <f>U83+U110+U127+U154+U172+U190+U323</f>
        <v>39732669</v>
      </c>
      <c r="W337" s="187">
        <f t="shared" si="75"/>
        <v>31979996</v>
      </c>
      <c r="X337" s="187">
        <f t="shared" si="75"/>
        <v>96206439</v>
      </c>
      <c r="Y337" s="187">
        <f t="shared" si="75"/>
        <v>52089316</v>
      </c>
      <c r="AB337" s="84"/>
    </row>
    <row r="338" spans="1:28" s="19" customFormat="1">
      <c r="A338" s="412"/>
      <c r="B338" s="117"/>
      <c r="C338" s="117"/>
      <c r="D338" s="117"/>
      <c r="E338" s="117"/>
      <c r="F338" s="117"/>
      <c r="G338" s="117"/>
      <c r="H338" s="117"/>
      <c r="I338" s="117"/>
      <c r="J338" s="117"/>
      <c r="K338" s="117"/>
      <c r="L338" s="117"/>
      <c r="M338" s="269"/>
      <c r="N338" s="269"/>
      <c r="O338" s="269"/>
      <c r="P338" s="269"/>
      <c r="Q338" s="32">
        <f>SUM(Q334:Q337)</f>
        <v>162500086</v>
      </c>
      <c r="R338" s="32">
        <f>SUM(R334:R337)</f>
        <v>271478604</v>
      </c>
      <c r="S338" s="32">
        <f>SUM(S334:S337)</f>
        <v>213365478</v>
      </c>
      <c r="U338" s="32">
        <f>SUM(U334:U337)</f>
        <v>178441342</v>
      </c>
      <c r="AB338" s="84"/>
    </row>
    <row r="339" spans="1:28" s="19" customFormat="1">
      <c r="A339" s="442"/>
      <c r="B339" s="117"/>
      <c r="C339" s="117"/>
      <c r="D339" s="117"/>
      <c r="E339" s="117"/>
      <c r="F339" s="117"/>
      <c r="G339" s="117"/>
      <c r="H339" s="117"/>
      <c r="I339" s="117"/>
      <c r="J339" s="117"/>
      <c r="K339" s="117"/>
      <c r="L339" s="117"/>
      <c r="M339" s="269"/>
      <c r="N339" s="269"/>
      <c r="O339" s="269"/>
      <c r="P339" s="269"/>
      <c r="Q339" s="27"/>
      <c r="R339" s="27"/>
      <c r="S339" s="27"/>
      <c r="U339" s="27"/>
      <c r="AB339" s="84"/>
    </row>
    <row r="340" spans="1:28" s="19" customFormat="1">
      <c r="A340" s="443"/>
      <c r="B340" s="117"/>
      <c r="C340" s="117"/>
      <c r="D340" s="117"/>
      <c r="E340" s="117"/>
      <c r="F340" s="117"/>
      <c r="G340" s="117"/>
      <c r="H340" s="117"/>
      <c r="I340" s="117"/>
      <c r="J340" s="117"/>
      <c r="K340" s="117"/>
      <c r="L340" s="117"/>
      <c r="M340" s="269"/>
      <c r="N340" s="269"/>
      <c r="O340" s="269"/>
      <c r="P340" s="269"/>
      <c r="Q340" s="74"/>
      <c r="R340" s="28"/>
      <c r="S340" s="27"/>
      <c r="U340" s="27"/>
      <c r="AB340" s="84"/>
    </row>
    <row r="341" spans="1:28" s="19" customFormat="1">
      <c r="A341" s="444"/>
      <c r="B341" s="117"/>
      <c r="C341" s="117"/>
      <c r="D341" s="117"/>
      <c r="E341" s="117"/>
      <c r="F341" s="117"/>
      <c r="G341" s="117"/>
      <c r="H341" s="117"/>
      <c r="I341" s="117"/>
      <c r="J341" s="117"/>
      <c r="K341" s="117"/>
      <c r="L341" s="117"/>
      <c r="M341" s="269"/>
      <c r="N341" s="269"/>
      <c r="O341" s="269"/>
      <c r="P341" s="269"/>
      <c r="U341" s="27"/>
      <c r="AB341" s="84"/>
    </row>
    <row r="342" spans="1:28" s="19" customFormat="1">
      <c r="A342" s="445"/>
      <c r="B342" s="117"/>
      <c r="C342" s="117"/>
      <c r="D342" s="117"/>
      <c r="E342" s="117"/>
      <c r="F342" s="117"/>
      <c r="G342" s="117"/>
      <c r="H342" s="117"/>
      <c r="I342" s="117"/>
      <c r="J342" s="117"/>
      <c r="K342" s="117"/>
      <c r="L342" s="117"/>
      <c r="M342" s="269"/>
      <c r="N342" s="269"/>
      <c r="O342" s="269"/>
      <c r="P342" s="269"/>
      <c r="U342" s="27"/>
      <c r="AB342" s="84"/>
    </row>
    <row r="343" spans="1:28" s="19" customFormat="1">
      <c r="A343" s="414"/>
      <c r="B343" s="117"/>
      <c r="C343" s="117"/>
      <c r="D343" s="117"/>
      <c r="E343" s="117"/>
      <c r="F343" s="117"/>
      <c r="G343" s="117"/>
      <c r="H343" s="117"/>
      <c r="I343" s="117"/>
      <c r="J343" s="117"/>
      <c r="K343" s="117"/>
      <c r="L343" s="117"/>
      <c r="M343" s="269"/>
      <c r="N343" s="269"/>
      <c r="O343" s="269"/>
      <c r="P343" s="269"/>
      <c r="Q343" s="31">
        <v>2016</v>
      </c>
      <c r="R343" s="31">
        <v>2017</v>
      </c>
      <c r="S343" s="31">
        <v>2018</v>
      </c>
      <c r="U343" s="27"/>
      <c r="AB343" s="84"/>
    </row>
    <row r="344" spans="1:28" s="19" customFormat="1">
      <c r="A344" s="356"/>
      <c r="B344" s="117"/>
      <c r="C344" s="117"/>
      <c r="D344" s="117"/>
      <c r="E344" s="117"/>
      <c r="F344" s="117"/>
      <c r="G344" s="117"/>
      <c r="H344" s="117"/>
      <c r="I344" s="117"/>
      <c r="J344" s="159"/>
      <c r="K344" s="117"/>
      <c r="L344" s="117"/>
      <c r="M344" s="269"/>
      <c r="N344" s="269"/>
      <c r="O344" s="269"/>
      <c r="P344" s="269"/>
      <c r="Q344" s="220" t="s">
        <v>158</v>
      </c>
      <c r="R344" s="220" t="s">
        <v>158</v>
      </c>
      <c r="S344" s="220" t="s">
        <v>158</v>
      </c>
      <c r="U344" s="27"/>
      <c r="AB344" s="84"/>
    </row>
    <row r="345" spans="1:28" s="19" customFormat="1" ht="18.75">
      <c r="A345" s="437"/>
      <c r="B345" s="117"/>
      <c r="C345" s="117"/>
      <c r="D345" s="117"/>
      <c r="E345" s="117"/>
      <c r="F345" s="117"/>
      <c r="G345" s="117"/>
      <c r="H345" s="117"/>
      <c r="I345" s="117"/>
      <c r="J345" s="117"/>
      <c r="K345" s="117"/>
      <c r="L345" s="117"/>
      <c r="M345" s="269"/>
      <c r="N345" s="269"/>
      <c r="O345" s="269"/>
      <c r="P345" s="269"/>
      <c r="Q345" s="27">
        <f>57148470+11151504+88187512+55650253+5150605</f>
        <v>217288344</v>
      </c>
      <c r="R345" s="27">
        <f>55584905+15951663+94375106+58043815+4039100</f>
        <v>227994589</v>
      </c>
      <c r="S345" s="27">
        <f>28242958+14199014+61487109+47872014+4228124</f>
        <v>156029219</v>
      </c>
      <c r="U345" s="27"/>
      <c r="AB345" s="84"/>
    </row>
    <row r="346" spans="1:28" s="19" customFormat="1">
      <c r="A346" s="356"/>
      <c r="B346" s="117"/>
      <c r="C346" s="117"/>
      <c r="D346" s="117"/>
      <c r="E346" s="117"/>
      <c r="F346" s="117"/>
      <c r="G346" s="117"/>
      <c r="H346" s="117"/>
      <c r="I346" s="117"/>
      <c r="J346" s="117"/>
      <c r="K346" s="117"/>
      <c r="L346" s="237"/>
      <c r="M346" s="269"/>
      <c r="N346" s="269"/>
      <c r="O346" s="269"/>
      <c r="P346" s="269"/>
      <c r="Q346" s="27">
        <f>89876681+25468862+132414000+40325725+28991512</f>
        <v>317076780</v>
      </c>
      <c r="R346" s="27">
        <f>95941882+27145414+153980937+97280792+34921582</f>
        <v>409270607</v>
      </c>
      <c r="S346" s="27">
        <f>102998533+27336605+134512771+64416122+33473352</f>
        <v>362737383</v>
      </c>
      <c r="U346" s="27"/>
      <c r="AB346" s="84"/>
    </row>
    <row r="347" spans="1:28" s="19" customFormat="1">
      <c r="A347" s="163"/>
      <c r="B347" s="163"/>
      <c r="C347" s="163"/>
      <c r="D347" s="163"/>
      <c r="E347" s="163"/>
      <c r="F347" s="163"/>
      <c r="G347" s="163"/>
      <c r="H347" s="163"/>
      <c r="I347" s="163"/>
      <c r="J347" s="163"/>
      <c r="K347" s="163"/>
      <c r="L347" s="163"/>
      <c r="M347" s="269"/>
      <c r="N347" s="269"/>
      <c r="O347" s="269"/>
      <c r="P347" s="269"/>
      <c r="Q347" s="220" t="s">
        <v>158</v>
      </c>
      <c r="R347" s="220" t="s">
        <v>158</v>
      </c>
      <c r="S347" s="220" t="s">
        <v>158</v>
      </c>
      <c r="U347" s="27"/>
      <c r="AB347" s="84"/>
    </row>
    <row r="348" spans="1:28" s="19" customFormat="1">
      <c r="A348" s="163"/>
      <c r="B348" s="163"/>
      <c r="C348" s="163"/>
      <c r="D348" s="163"/>
      <c r="E348" s="163"/>
      <c r="F348" s="163"/>
      <c r="G348" s="163"/>
      <c r="H348" s="163"/>
      <c r="I348" s="163"/>
      <c r="J348" s="163"/>
      <c r="K348" s="163"/>
      <c r="L348" s="163"/>
      <c r="M348" s="269"/>
      <c r="N348" s="269"/>
      <c r="O348" s="269"/>
      <c r="P348" s="269"/>
      <c r="Q348" s="139">
        <v>91440246</v>
      </c>
      <c r="R348" s="139">
        <v>123283829</v>
      </c>
      <c r="S348" s="139">
        <v>113315604</v>
      </c>
      <c r="U348" s="27"/>
      <c r="AB348" s="84"/>
    </row>
    <row r="349" spans="1:28" s="19" customFormat="1">
      <c r="A349" s="366"/>
      <c r="B349" s="327"/>
      <c r="C349" s="327"/>
      <c r="D349" s="327"/>
      <c r="E349" s="327"/>
      <c r="F349" s="327"/>
      <c r="G349" s="327"/>
      <c r="H349" s="327"/>
      <c r="I349" s="327"/>
      <c r="J349" s="327"/>
      <c r="K349" s="327"/>
      <c r="L349" s="327"/>
      <c r="M349" s="269"/>
      <c r="N349" s="269"/>
      <c r="O349" s="269"/>
      <c r="P349" s="269"/>
      <c r="Q349" s="27">
        <v>20668703</v>
      </c>
      <c r="R349" s="27">
        <v>28898063</v>
      </c>
      <c r="S349" s="27">
        <v>26083392</v>
      </c>
      <c r="U349" s="27"/>
      <c r="AB349" s="84"/>
    </row>
    <row r="350" spans="1:28" s="19" customFormat="1">
      <c r="A350" s="163"/>
      <c r="B350" s="163"/>
      <c r="C350" s="163"/>
      <c r="D350" s="163"/>
      <c r="E350" s="163"/>
      <c r="F350" s="163"/>
      <c r="G350" s="163"/>
      <c r="H350" s="163"/>
      <c r="I350" s="163"/>
      <c r="J350" s="163"/>
      <c r="K350" s="163"/>
      <c r="L350" s="163"/>
      <c r="M350" s="269"/>
      <c r="N350" s="269"/>
      <c r="O350" s="269"/>
      <c r="P350" s="269"/>
      <c r="Q350" s="27">
        <v>138601594</v>
      </c>
      <c r="R350" s="27">
        <v>186868934</v>
      </c>
      <c r="S350" s="27">
        <v>154606556</v>
      </c>
      <c r="U350" s="27"/>
      <c r="AB350" s="84"/>
    </row>
    <row r="351" spans="1:28" s="19" customFormat="1">
      <c r="A351" s="163"/>
      <c r="B351" s="163"/>
      <c r="C351" s="163"/>
      <c r="D351" s="163"/>
      <c r="E351" s="163"/>
      <c r="F351" s="163"/>
      <c r="G351" s="163"/>
      <c r="H351" s="163"/>
      <c r="I351" s="163"/>
      <c r="J351" s="163"/>
      <c r="K351" s="163"/>
      <c r="L351" s="163"/>
      <c r="M351" s="269"/>
      <c r="N351" s="269"/>
      <c r="O351" s="269"/>
      <c r="P351" s="269"/>
      <c r="Q351" s="117">
        <f>37932163-2505058-3910-2079868-408210-65531-403038-132319-354233</f>
        <v>31979996</v>
      </c>
      <c r="R351" s="117">
        <f>107452593-5508558-160-249688-650000-842284-2000000-1346745-300-0-648419</f>
        <v>96206439</v>
      </c>
      <c r="S351" s="117">
        <f>66753646-1542109-252500-35000-6010377-2000-23500-6654501-144343</f>
        <v>52089316</v>
      </c>
      <c r="U351" s="27"/>
      <c r="AB351" s="84"/>
    </row>
    <row r="352" spans="1:28" s="19" customFormat="1">
      <c r="A352" s="412"/>
      <c r="B352" s="213"/>
      <c r="C352" s="213"/>
      <c r="D352" s="213"/>
      <c r="E352" s="213"/>
      <c r="F352" s="213"/>
      <c r="G352" s="213"/>
      <c r="H352" s="213"/>
      <c r="I352" s="213"/>
      <c r="J352" s="213"/>
      <c r="K352" s="213"/>
      <c r="L352" s="213"/>
      <c r="M352" s="269"/>
      <c r="N352" s="269"/>
      <c r="O352" s="269"/>
      <c r="P352" s="269"/>
      <c r="Q352" s="126">
        <v>30103017</v>
      </c>
      <c r="R352" s="126">
        <v>34732558</v>
      </c>
      <c r="S352" s="126">
        <v>32880026</v>
      </c>
      <c r="T352" s="221"/>
      <c r="U352" s="126"/>
      <c r="AB352" s="84"/>
    </row>
    <row r="353" spans="1:28" s="19" customFormat="1">
      <c r="A353" s="442"/>
      <c r="B353" s="213"/>
      <c r="C353" s="213"/>
      <c r="D353" s="213"/>
      <c r="E353" s="213"/>
      <c r="F353" s="213"/>
      <c r="G353" s="213"/>
      <c r="H353" s="213"/>
      <c r="I353" s="213"/>
      <c r="J353" s="213"/>
      <c r="K353" s="213"/>
      <c r="L353" s="213"/>
      <c r="M353" s="269"/>
      <c r="N353" s="269"/>
      <c r="O353" s="269"/>
      <c r="P353" s="269"/>
      <c r="Q353" s="27">
        <f>SUM(Q348:Q352)</f>
        <v>312793556</v>
      </c>
      <c r="R353" s="27">
        <f>SUM(R348:R352)</f>
        <v>469989823</v>
      </c>
      <c r="S353" s="27">
        <f>SUM(S348:S352)</f>
        <v>378974894</v>
      </c>
      <c r="U353" s="27"/>
      <c r="AB353" s="84"/>
    </row>
    <row r="354" spans="1:28" s="19" customFormat="1" ht="16.5" thickBot="1">
      <c r="A354" s="443"/>
      <c r="B354" s="213"/>
      <c r="C354" s="213"/>
      <c r="D354" s="213"/>
      <c r="E354" s="213"/>
      <c r="F354" s="213"/>
      <c r="G354" s="213"/>
      <c r="H354" s="213"/>
      <c r="I354" s="213"/>
      <c r="J354" s="213"/>
      <c r="K354" s="213"/>
      <c r="L354" s="213"/>
      <c r="M354" s="269"/>
      <c r="N354" s="269"/>
      <c r="O354" s="269"/>
      <c r="P354" s="269"/>
      <c r="Q354" s="69"/>
      <c r="R354" s="69"/>
      <c r="S354" s="69"/>
      <c r="U354" s="27"/>
      <c r="AB354" s="84"/>
    </row>
    <row r="355" spans="1:28" s="19" customFormat="1">
      <c r="A355" s="444"/>
      <c r="B355" s="213"/>
      <c r="C355" s="213"/>
      <c r="D355" s="213"/>
      <c r="E355" s="213"/>
      <c r="F355" s="213"/>
      <c r="G355" s="213"/>
      <c r="H355" s="213"/>
      <c r="I355" s="213"/>
      <c r="J355" s="213"/>
      <c r="K355" s="213"/>
      <c r="L355" s="213"/>
      <c r="M355" s="269"/>
      <c r="N355" s="269"/>
      <c r="O355" s="269"/>
      <c r="P355" s="269"/>
      <c r="Q355" s="27">
        <f>Q345+Q346-Q353</f>
        <v>221571568</v>
      </c>
      <c r="R355" s="27">
        <f>R345+R346-R353</f>
        <v>167275373</v>
      </c>
      <c r="S355" s="27">
        <f>S345+S346-S353</f>
        <v>139791708</v>
      </c>
      <c r="U355" s="27"/>
      <c r="AB355" s="84"/>
    </row>
    <row r="356" spans="1:28" s="19" customFormat="1">
      <c r="A356" s="414"/>
      <c r="B356" s="213"/>
      <c r="C356" s="213"/>
      <c r="D356" s="213"/>
      <c r="E356" s="213"/>
      <c r="F356" s="213"/>
      <c r="G356" s="213"/>
      <c r="H356" s="213"/>
      <c r="I356" s="213"/>
      <c r="J356" s="213"/>
      <c r="K356" s="213"/>
      <c r="L356" s="213"/>
      <c r="M356" s="269"/>
      <c r="N356" s="269"/>
      <c r="O356" s="269"/>
      <c r="P356" s="269"/>
      <c r="Q356" s="27"/>
      <c r="R356" s="27"/>
      <c r="S356" s="27"/>
      <c r="U356" s="27"/>
      <c r="AB356" s="84"/>
    </row>
    <row r="357" spans="1:28" s="19" customFormat="1">
      <c r="A357" s="163"/>
      <c r="B357" s="213"/>
      <c r="C357" s="213"/>
      <c r="D357" s="213"/>
      <c r="E357" s="213"/>
      <c r="F357" s="213"/>
      <c r="G357" s="213"/>
      <c r="H357" s="213"/>
      <c r="I357" s="213"/>
      <c r="J357" s="213"/>
      <c r="K357" s="213"/>
      <c r="L357" s="213"/>
      <c r="M357" s="269"/>
      <c r="N357" s="269"/>
      <c r="O357" s="269"/>
      <c r="P357" s="269"/>
      <c r="Q357" s="27"/>
      <c r="R357" s="27"/>
      <c r="S357" s="27"/>
      <c r="AB357" s="84"/>
    </row>
    <row r="358" spans="1:28" s="19" customFormat="1">
      <c r="A358" s="412"/>
      <c r="B358" s="213"/>
      <c r="C358" s="213"/>
      <c r="D358" s="213"/>
      <c r="E358" s="213"/>
      <c r="F358" s="213"/>
      <c r="G358" s="213"/>
      <c r="H358" s="213"/>
      <c r="I358" s="213"/>
      <c r="J358" s="213"/>
      <c r="K358" s="213"/>
      <c r="L358" s="213"/>
      <c r="M358" s="269"/>
      <c r="N358" s="269"/>
      <c r="O358" s="269"/>
      <c r="P358" s="269"/>
      <c r="Q358" s="27"/>
      <c r="R358" s="27"/>
      <c r="S358" s="27"/>
      <c r="AB358" s="84"/>
    </row>
    <row r="359" spans="1:28" s="19" customFormat="1">
      <c r="A359" s="442"/>
      <c r="B359" s="213"/>
      <c r="C359" s="213"/>
      <c r="D359" s="213"/>
      <c r="E359" s="213"/>
      <c r="F359" s="213"/>
      <c r="G359" s="213"/>
      <c r="H359" s="213"/>
      <c r="I359" s="213"/>
      <c r="J359" s="213"/>
      <c r="K359" s="213"/>
      <c r="L359" s="213"/>
      <c r="M359" s="269"/>
      <c r="N359" s="269"/>
      <c r="O359" s="269"/>
      <c r="P359" s="269"/>
      <c r="AB359" s="84"/>
    </row>
    <row r="360" spans="1:28" s="19" customFormat="1">
      <c r="A360" s="443"/>
      <c r="B360" s="213"/>
      <c r="C360" s="213"/>
      <c r="D360" s="213"/>
      <c r="E360" s="213"/>
      <c r="F360" s="213"/>
      <c r="G360" s="213"/>
      <c r="H360" s="213"/>
      <c r="I360" s="213"/>
      <c r="J360" s="213"/>
      <c r="K360" s="213"/>
      <c r="L360" s="213"/>
      <c r="M360" s="269"/>
      <c r="N360" s="269"/>
      <c r="O360" s="269"/>
      <c r="P360" s="269"/>
      <c r="AB360" s="84"/>
    </row>
    <row r="361" spans="1:28" s="19" customFormat="1">
      <c r="A361" s="444"/>
      <c r="B361" s="213"/>
      <c r="C361" s="213"/>
      <c r="D361" s="213"/>
      <c r="E361" s="213"/>
      <c r="F361" s="213"/>
      <c r="G361" s="213"/>
      <c r="H361" s="213"/>
      <c r="I361" s="213"/>
      <c r="J361" s="213"/>
      <c r="K361" s="213"/>
      <c r="L361" s="213"/>
      <c r="M361" s="269"/>
      <c r="N361" s="269"/>
      <c r="O361" s="269"/>
      <c r="P361" s="269"/>
      <c r="AB361" s="84"/>
    </row>
    <row r="362" spans="1:28" s="19" customFormat="1">
      <c r="A362" s="414"/>
      <c r="B362" s="213"/>
      <c r="C362" s="213"/>
      <c r="D362" s="213"/>
      <c r="E362" s="213"/>
      <c r="F362" s="213"/>
      <c r="G362" s="213"/>
      <c r="H362" s="213"/>
      <c r="I362" s="213"/>
      <c r="J362" s="213"/>
      <c r="K362" s="213"/>
      <c r="L362" s="213"/>
      <c r="M362" s="269"/>
      <c r="N362" s="269"/>
      <c r="O362" s="269"/>
      <c r="P362" s="269"/>
      <c r="AB362" s="84"/>
    </row>
    <row r="363" spans="1:28" s="19" customFormat="1">
      <c r="A363" s="163"/>
      <c r="B363" s="213"/>
      <c r="C363" s="213"/>
      <c r="D363" s="213"/>
      <c r="E363" s="213"/>
      <c r="F363" s="213"/>
      <c r="G363" s="213"/>
      <c r="H363" s="213"/>
      <c r="I363" s="213"/>
      <c r="J363" s="213"/>
      <c r="K363" s="213"/>
      <c r="L363" s="213"/>
      <c r="M363" s="269"/>
      <c r="N363" s="269"/>
      <c r="O363" s="269"/>
      <c r="P363" s="269"/>
      <c r="AB363" s="84"/>
    </row>
    <row r="364" spans="1:28" s="19" customFormat="1">
      <c r="A364" s="163"/>
      <c r="B364" s="213"/>
      <c r="C364" s="213"/>
      <c r="D364" s="213"/>
      <c r="E364" s="213"/>
      <c r="F364" s="213"/>
      <c r="G364" s="213"/>
      <c r="H364" s="213"/>
      <c r="I364" s="213"/>
      <c r="J364" s="213"/>
      <c r="K364" s="213"/>
      <c r="L364" s="213"/>
      <c r="M364" s="269"/>
      <c r="N364" s="269"/>
      <c r="O364" s="269"/>
      <c r="P364" s="269"/>
      <c r="AB364" s="84"/>
    </row>
    <row r="365" spans="1:28" s="19" customFormat="1">
      <c r="A365" s="163"/>
      <c r="B365" s="163"/>
      <c r="C365" s="163"/>
      <c r="D365" s="163"/>
      <c r="E365" s="163"/>
      <c r="F365" s="163"/>
      <c r="G365" s="163"/>
      <c r="H365" s="163"/>
      <c r="I365" s="163"/>
      <c r="J365" s="163"/>
      <c r="K365" s="163"/>
      <c r="L365" s="163"/>
      <c r="M365" s="269"/>
      <c r="N365" s="269"/>
      <c r="O365" s="269"/>
      <c r="P365" s="269"/>
      <c r="AB365" s="84"/>
    </row>
    <row r="366" spans="1:28" s="19" customFormat="1">
      <c r="A366" s="412"/>
      <c r="B366" s="213"/>
      <c r="C366" s="213"/>
      <c r="D366" s="213"/>
      <c r="E366" s="213"/>
      <c r="F366" s="213"/>
      <c r="G366" s="213"/>
      <c r="H366" s="213"/>
      <c r="I366" s="213"/>
      <c r="J366" s="213"/>
      <c r="K366" s="213"/>
      <c r="L366" s="213"/>
      <c r="M366" s="269"/>
      <c r="N366" s="269"/>
      <c r="O366" s="269"/>
      <c r="P366" s="269"/>
      <c r="AB366" s="84"/>
    </row>
    <row r="367" spans="1:28" s="19" customFormat="1">
      <c r="A367" s="442"/>
      <c r="B367" s="213"/>
      <c r="C367" s="213"/>
      <c r="D367" s="213"/>
      <c r="E367" s="213"/>
      <c r="F367" s="213"/>
      <c r="G367" s="213"/>
      <c r="H367" s="213"/>
      <c r="I367" s="213"/>
      <c r="J367" s="213"/>
      <c r="K367" s="213"/>
      <c r="L367" s="213"/>
      <c r="M367" s="269"/>
      <c r="N367" s="269"/>
      <c r="O367" s="269"/>
      <c r="P367" s="269"/>
      <c r="AB367" s="84"/>
    </row>
    <row r="368" spans="1:28" s="19" customFormat="1">
      <c r="A368" s="443"/>
      <c r="B368" s="213"/>
      <c r="C368" s="213"/>
      <c r="D368" s="213"/>
      <c r="E368" s="213"/>
      <c r="F368" s="213"/>
      <c r="G368" s="213"/>
      <c r="H368" s="213"/>
      <c r="I368" s="213"/>
      <c r="J368" s="213"/>
      <c r="K368" s="213"/>
      <c r="L368" s="213"/>
      <c r="M368" s="269"/>
      <c r="N368" s="269"/>
      <c r="O368" s="269"/>
      <c r="P368" s="269"/>
      <c r="AB368" s="84"/>
    </row>
    <row r="369" spans="1:28" s="19" customFormat="1">
      <c r="A369" s="444"/>
      <c r="B369" s="213"/>
      <c r="C369" s="213"/>
      <c r="D369" s="213"/>
      <c r="E369" s="213"/>
      <c r="F369" s="213"/>
      <c r="G369" s="213"/>
      <c r="H369" s="213"/>
      <c r="I369" s="213"/>
      <c r="J369" s="213"/>
      <c r="K369" s="213"/>
      <c r="L369" s="213"/>
      <c r="M369" s="269"/>
      <c r="N369" s="269"/>
      <c r="O369" s="269"/>
      <c r="P369" s="269"/>
      <c r="AB369" s="84"/>
    </row>
    <row r="370" spans="1:28" s="19" customFormat="1">
      <c r="A370" s="444"/>
      <c r="B370" s="213"/>
      <c r="C370" s="213"/>
      <c r="D370" s="213"/>
      <c r="E370" s="213"/>
      <c r="F370" s="213"/>
      <c r="G370" s="213"/>
      <c r="H370" s="213"/>
      <c r="I370" s="213"/>
      <c r="J370" s="213"/>
      <c r="K370" s="213"/>
      <c r="L370" s="213"/>
      <c r="M370" s="269"/>
      <c r="N370" s="269"/>
      <c r="O370" s="269"/>
      <c r="P370" s="269"/>
      <c r="AB370" s="84"/>
    </row>
    <row r="371" spans="1:28" s="19" customFormat="1">
      <c r="A371" s="163"/>
      <c r="B371" s="163"/>
      <c r="C371" s="163"/>
      <c r="D371" s="163"/>
      <c r="E371" s="163"/>
      <c r="F371" s="163"/>
      <c r="G371" s="163"/>
      <c r="H371" s="163"/>
      <c r="I371" s="163"/>
      <c r="J371" s="163"/>
      <c r="K371" s="163"/>
      <c r="L371" s="163"/>
      <c r="M371" s="269"/>
      <c r="N371" s="269"/>
      <c r="O371" s="269"/>
      <c r="P371" s="269"/>
      <c r="AB371" s="84"/>
    </row>
    <row r="372" spans="1:28" s="19" customFormat="1">
      <c r="A372" s="163"/>
      <c r="B372" s="163"/>
      <c r="C372" s="163"/>
      <c r="D372" s="163"/>
      <c r="E372" s="163"/>
      <c r="F372" s="163"/>
      <c r="G372" s="163"/>
      <c r="H372" s="163"/>
      <c r="I372" s="163"/>
      <c r="J372" s="163"/>
      <c r="K372" s="163"/>
      <c r="L372" s="163"/>
      <c r="M372" s="269"/>
      <c r="N372" s="269"/>
      <c r="O372" s="269"/>
      <c r="P372" s="269"/>
      <c r="AB372" s="84"/>
    </row>
    <row r="373" spans="1:28" s="19" customFormat="1">
      <c r="A373" s="163"/>
      <c r="B373" s="163"/>
      <c r="C373" s="163"/>
      <c r="D373" s="163"/>
      <c r="E373" s="163"/>
      <c r="F373" s="163"/>
      <c r="G373" s="163"/>
      <c r="H373" s="163"/>
      <c r="I373" s="163"/>
      <c r="J373" s="163"/>
      <c r="K373" s="163"/>
      <c r="L373" s="163"/>
      <c r="M373" s="269"/>
      <c r="N373" s="269"/>
      <c r="O373" s="269"/>
      <c r="P373" s="269"/>
      <c r="AB373" s="84"/>
    </row>
    <row r="374" spans="1:28" s="19" customFormat="1" ht="18.75">
      <c r="A374" s="446"/>
      <c r="B374" s="117"/>
      <c r="C374" s="117"/>
      <c r="D374" s="117"/>
      <c r="E374" s="117"/>
      <c r="F374" s="117"/>
      <c r="G374" s="117"/>
      <c r="H374" s="117"/>
      <c r="I374" s="117"/>
      <c r="J374" s="117"/>
      <c r="K374" s="117"/>
      <c r="L374" s="117"/>
      <c r="M374" s="269"/>
      <c r="N374" s="269"/>
      <c r="O374" s="269"/>
      <c r="P374" s="269"/>
      <c r="AB374" s="84"/>
    </row>
    <row r="375" spans="1:28" s="19" customFormat="1">
      <c r="A375" s="447"/>
      <c r="B375" s="117"/>
      <c r="C375" s="313"/>
      <c r="D375" s="313"/>
      <c r="E375" s="313"/>
      <c r="F375" s="313"/>
      <c r="G375" s="313"/>
      <c r="H375" s="313"/>
      <c r="I375" s="313"/>
      <c r="J375" s="313"/>
      <c r="K375" s="448"/>
      <c r="L375" s="313"/>
      <c r="M375" s="269"/>
      <c r="N375" s="269"/>
      <c r="O375" s="269"/>
      <c r="P375" s="269"/>
      <c r="AB375" s="84"/>
    </row>
    <row r="376" spans="1:28" s="19" customFormat="1">
      <c r="A376" s="385"/>
      <c r="B376" s="117"/>
      <c r="C376" s="313"/>
      <c r="D376" s="313"/>
      <c r="E376" s="313"/>
      <c r="F376" s="313"/>
      <c r="G376" s="313"/>
      <c r="H376" s="313"/>
      <c r="I376" s="313"/>
      <c r="J376" s="117"/>
      <c r="K376" s="313"/>
      <c r="L376" s="313"/>
      <c r="M376" s="269"/>
      <c r="N376" s="269"/>
      <c r="O376" s="269"/>
      <c r="P376" s="269"/>
      <c r="AB376" s="84"/>
    </row>
    <row r="377" spans="1:28" s="19" customFormat="1">
      <c r="A377" s="163"/>
      <c r="B377" s="163"/>
      <c r="C377" s="163"/>
      <c r="D377" s="163"/>
      <c r="E377" s="163"/>
      <c r="F377" s="163"/>
      <c r="G377" s="163"/>
      <c r="H377" s="163"/>
      <c r="I377" s="163"/>
      <c r="J377" s="163"/>
      <c r="K377" s="163"/>
      <c r="L377" s="163"/>
      <c r="M377" s="269"/>
      <c r="N377" s="269"/>
      <c r="O377" s="269"/>
      <c r="P377" s="269"/>
      <c r="AB377" s="84"/>
    </row>
    <row r="378" spans="1:28" s="19" customFormat="1">
      <c r="A378" s="163"/>
      <c r="B378" s="163"/>
      <c r="C378" s="163"/>
      <c r="D378" s="163"/>
      <c r="E378" s="163"/>
      <c r="F378" s="163"/>
      <c r="G378" s="163"/>
      <c r="H378" s="163"/>
      <c r="I378" s="163"/>
      <c r="J378" s="163"/>
      <c r="K378" s="163"/>
      <c r="L378" s="163"/>
      <c r="M378" s="269"/>
      <c r="N378" s="269"/>
      <c r="O378" s="269"/>
      <c r="P378" s="269"/>
      <c r="AB378" s="84"/>
    </row>
    <row r="379" spans="1:28" s="19" customFormat="1">
      <c r="A379" s="163"/>
      <c r="B379" s="163"/>
      <c r="C379" s="163"/>
      <c r="D379" s="163"/>
      <c r="E379" s="163"/>
      <c r="F379" s="163"/>
      <c r="G379" s="163"/>
      <c r="H379" s="163"/>
      <c r="I379" s="163"/>
      <c r="J379" s="163"/>
      <c r="K379" s="163"/>
      <c r="L379" s="163"/>
      <c r="M379" s="269"/>
      <c r="N379" s="269"/>
      <c r="O379" s="269"/>
      <c r="P379" s="269"/>
      <c r="AB379" s="84"/>
    </row>
    <row r="380" spans="1:28" s="19" customFormat="1">
      <c r="A380" s="163"/>
      <c r="B380" s="163"/>
      <c r="C380" s="163"/>
      <c r="D380" s="163"/>
      <c r="E380" s="163"/>
      <c r="F380" s="163"/>
      <c r="G380" s="163"/>
      <c r="H380" s="163"/>
      <c r="I380" s="163"/>
      <c r="J380" s="163"/>
      <c r="K380" s="163"/>
      <c r="L380" s="163"/>
      <c r="M380" s="269"/>
      <c r="N380" s="269"/>
      <c r="O380" s="269"/>
      <c r="P380" s="269"/>
      <c r="AB380" s="84"/>
    </row>
    <row r="381" spans="1:28" s="19" customFormat="1">
      <c r="A381" s="163"/>
      <c r="B381" s="163"/>
      <c r="C381" s="163"/>
      <c r="D381" s="163"/>
      <c r="E381" s="163"/>
      <c r="F381" s="163"/>
      <c r="G381" s="163"/>
      <c r="H381" s="163"/>
      <c r="I381" s="163"/>
      <c r="J381" s="163"/>
      <c r="K381" s="163"/>
      <c r="L381" s="163"/>
      <c r="M381" s="269"/>
      <c r="N381" s="269"/>
      <c r="O381" s="269"/>
      <c r="P381" s="269"/>
      <c r="AB381" s="84"/>
    </row>
    <row r="382" spans="1:28" s="19" customFormat="1">
      <c r="A382" s="163"/>
      <c r="B382" s="163"/>
      <c r="C382" s="163"/>
      <c r="D382" s="163"/>
      <c r="E382" s="163"/>
      <c r="F382" s="163"/>
      <c r="G382" s="163"/>
      <c r="H382" s="163"/>
      <c r="I382" s="163"/>
      <c r="J382" s="163"/>
      <c r="K382" s="163"/>
      <c r="L382" s="163"/>
      <c r="M382" s="269"/>
      <c r="N382" s="269"/>
      <c r="O382" s="269"/>
      <c r="P382" s="269"/>
      <c r="AB382" s="84"/>
    </row>
    <row r="383" spans="1:28" s="19" customFormat="1">
      <c r="A383" s="163"/>
      <c r="B383" s="163"/>
      <c r="C383" s="163"/>
      <c r="D383" s="163"/>
      <c r="E383" s="163"/>
      <c r="F383" s="163"/>
      <c r="G383" s="163"/>
      <c r="H383" s="163"/>
      <c r="I383" s="163"/>
      <c r="J383" s="163"/>
      <c r="K383" s="163"/>
      <c r="L383" s="163"/>
      <c r="M383" s="269"/>
      <c r="N383" s="269"/>
      <c r="O383" s="269"/>
      <c r="P383" s="269"/>
      <c r="AB383" s="84"/>
    </row>
    <row r="384" spans="1:28" s="19" customFormat="1">
      <c r="A384" s="163"/>
      <c r="B384" s="163"/>
      <c r="C384" s="163"/>
      <c r="D384" s="163"/>
      <c r="E384" s="163"/>
      <c r="F384" s="163"/>
      <c r="G384" s="163"/>
      <c r="H384" s="163"/>
      <c r="I384" s="163"/>
      <c r="J384" s="163"/>
      <c r="K384" s="163"/>
      <c r="L384" s="163"/>
      <c r="M384" s="269"/>
      <c r="N384" s="269"/>
      <c r="O384" s="269"/>
      <c r="P384" s="269"/>
      <c r="Q384" s="27">
        <f>Q78+Q84+Q97+Q111+Q115+Q129+Q138+Q147+Q156+Q160+Q174+Q178+Q192+Q322+Q325+Q327</f>
        <v>155592188</v>
      </c>
      <c r="R384" s="27">
        <f>R78+R84+R97+R111+R115+R129+R138+R147+R156+R160+R174+R178+R192+R322+R325+R327</f>
        <v>186579472</v>
      </c>
      <c r="S384" s="27">
        <f>S78+S84+S97+S111+S115+S129+S138+S147+S156+S160+S174+S178+S192+S322+S325+S327</f>
        <v>186114391</v>
      </c>
      <c r="U384" s="27"/>
      <c r="AB384" s="84"/>
    </row>
    <row r="385" spans="1:28" s="222" customFormat="1">
      <c r="A385" s="449"/>
      <c r="B385" s="449"/>
      <c r="C385" s="449"/>
      <c r="D385" s="449"/>
      <c r="E385" s="449"/>
      <c r="F385" s="449"/>
      <c r="G385" s="449"/>
      <c r="H385" s="449"/>
      <c r="I385" s="449"/>
      <c r="J385" s="449"/>
      <c r="K385" s="449"/>
      <c r="L385" s="449"/>
      <c r="M385" s="269"/>
      <c r="N385" s="269"/>
      <c r="O385" s="269"/>
      <c r="P385" s="269"/>
      <c r="Q385" s="106">
        <v>91440246</v>
      </c>
      <c r="R385" s="29">
        <v>123283829</v>
      </c>
      <c r="S385" s="106">
        <v>113315604</v>
      </c>
      <c r="U385" s="27"/>
      <c r="AB385" s="84"/>
    </row>
    <row r="386" spans="1:28" s="19" customFormat="1">
      <c r="A386" s="163"/>
      <c r="B386" s="163"/>
      <c r="C386" s="163"/>
      <c r="D386" s="163"/>
      <c r="E386" s="163"/>
      <c r="F386" s="163"/>
      <c r="G386" s="163"/>
      <c r="H386" s="163"/>
      <c r="I386" s="163"/>
      <c r="J386" s="163"/>
      <c r="K386" s="163"/>
      <c r="L386" s="163"/>
      <c r="M386" s="269"/>
      <c r="N386" s="269"/>
      <c r="O386" s="269"/>
      <c r="P386" s="269"/>
      <c r="Q386" s="74"/>
      <c r="R386" s="28"/>
      <c r="S386" s="27"/>
      <c r="U386" s="27"/>
      <c r="AB386" s="84"/>
    </row>
    <row r="387" spans="1:28" s="19" customFormat="1">
      <c r="A387" s="163"/>
      <c r="B387" s="163"/>
      <c r="C387" s="163"/>
      <c r="D387" s="163"/>
      <c r="E387" s="163"/>
      <c r="F387" s="163"/>
      <c r="G387" s="163"/>
      <c r="H387" s="163"/>
      <c r="I387" s="163"/>
      <c r="J387" s="163"/>
      <c r="K387" s="163"/>
      <c r="L387" s="163"/>
      <c r="M387" s="269"/>
      <c r="N387" s="269"/>
      <c r="O387" s="269"/>
      <c r="P387" s="269"/>
      <c r="AB387" s="84"/>
    </row>
    <row r="388" spans="1:28" s="19" customFormat="1">
      <c r="A388" s="163"/>
      <c r="B388" s="163"/>
      <c r="C388" s="163"/>
      <c r="D388" s="163"/>
      <c r="E388" s="163"/>
      <c r="F388" s="163"/>
      <c r="G388" s="163"/>
      <c r="H388" s="163"/>
      <c r="I388" s="163"/>
      <c r="J388" s="163"/>
      <c r="K388" s="163"/>
      <c r="L388" s="163"/>
      <c r="M388" s="269"/>
      <c r="N388" s="269"/>
      <c r="O388" s="269"/>
      <c r="P388" s="269"/>
      <c r="AB388" s="84"/>
    </row>
    <row r="389" spans="1:28" s="19" customFormat="1">
      <c r="A389" s="163"/>
      <c r="B389" s="163"/>
      <c r="C389" s="163"/>
      <c r="D389" s="163"/>
      <c r="E389" s="163"/>
      <c r="F389" s="163"/>
      <c r="G389" s="163"/>
      <c r="H389" s="163"/>
      <c r="I389" s="163"/>
      <c r="J389" s="163"/>
      <c r="K389" s="163"/>
      <c r="L389" s="163"/>
      <c r="M389" s="269"/>
      <c r="N389" s="269"/>
      <c r="O389" s="269"/>
      <c r="P389" s="269"/>
      <c r="AB389" s="84"/>
    </row>
    <row r="390" spans="1:28" s="19" customFormat="1">
      <c r="A390" s="163"/>
      <c r="B390" s="163"/>
      <c r="C390" s="163"/>
      <c r="D390" s="163"/>
      <c r="E390" s="163"/>
      <c r="F390" s="163"/>
      <c r="G390" s="163"/>
      <c r="H390" s="163"/>
      <c r="I390" s="163"/>
      <c r="J390" s="163"/>
      <c r="K390" s="163"/>
      <c r="L390" s="163"/>
      <c r="M390" s="269"/>
      <c r="N390" s="269"/>
      <c r="O390" s="269"/>
      <c r="P390" s="269"/>
      <c r="AB390" s="84"/>
    </row>
    <row r="391" spans="1:28" s="19" customFormat="1">
      <c r="A391" s="163"/>
      <c r="B391" s="163"/>
      <c r="C391" s="163"/>
      <c r="D391" s="163"/>
      <c r="E391" s="163"/>
      <c r="F391" s="163"/>
      <c r="G391" s="163"/>
      <c r="H391" s="163"/>
      <c r="I391" s="163"/>
      <c r="J391" s="163"/>
      <c r="K391" s="163"/>
      <c r="L391" s="163"/>
      <c r="M391" s="269"/>
      <c r="N391" s="269"/>
      <c r="O391" s="269"/>
      <c r="P391" s="269"/>
      <c r="AB391" s="84"/>
    </row>
    <row r="392" spans="1:28" s="19" customFormat="1">
      <c r="A392" s="163"/>
      <c r="B392" s="163"/>
      <c r="C392" s="163"/>
      <c r="D392" s="163"/>
      <c r="E392" s="163"/>
      <c r="F392" s="163"/>
      <c r="G392" s="163"/>
      <c r="H392" s="163"/>
      <c r="I392" s="163"/>
      <c r="J392" s="163"/>
      <c r="K392" s="163"/>
      <c r="L392" s="163"/>
      <c r="M392" s="269"/>
      <c r="N392" s="269"/>
      <c r="O392" s="269"/>
      <c r="P392" s="269"/>
      <c r="AB392" s="84"/>
    </row>
    <row r="393" spans="1:28" s="19" customFormat="1">
      <c r="A393" s="163"/>
      <c r="B393" s="163"/>
      <c r="C393" s="163"/>
      <c r="D393" s="163"/>
      <c r="E393" s="163"/>
      <c r="F393" s="163"/>
      <c r="G393" s="163"/>
      <c r="H393" s="163"/>
      <c r="I393" s="163"/>
      <c r="J393" s="163"/>
      <c r="K393" s="163"/>
      <c r="L393" s="163"/>
      <c r="M393" s="269"/>
      <c r="N393" s="269"/>
      <c r="O393" s="269"/>
      <c r="P393" s="269"/>
      <c r="AB393" s="84"/>
    </row>
    <row r="394" spans="1:28" s="19" customFormat="1">
      <c r="A394" s="163"/>
      <c r="B394" s="163"/>
      <c r="C394" s="163"/>
      <c r="D394" s="163"/>
      <c r="E394" s="163"/>
      <c r="F394" s="163"/>
      <c r="G394" s="163"/>
      <c r="H394" s="163"/>
      <c r="I394" s="163"/>
      <c r="J394" s="163"/>
      <c r="K394" s="163"/>
      <c r="L394" s="163"/>
      <c r="M394" s="269"/>
      <c r="N394" s="269"/>
      <c r="O394" s="269"/>
      <c r="P394" s="269"/>
      <c r="AB394" s="84"/>
    </row>
    <row r="395" spans="1:28" s="19" customFormat="1">
      <c r="A395" s="163"/>
      <c r="B395" s="163"/>
      <c r="C395" s="163"/>
      <c r="D395" s="163"/>
      <c r="E395" s="163"/>
      <c r="F395" s="163"/>
      <c r="G395" s="163"/>
      <c r="H395" s="163"/>
      <c r="I395" s="163"/>
      <c r="J395" s="163"/>
      <c r="K395" s="163"/>
      <c r="L395" s="163"/>
      <c r="M395" s="269"/>
      <c r="N395" s="269"/>
      <c r="O395" s="269"/>
      <c r="P395" s="269"/>
      <c r="AB395" s="84"/>
    </row>
    <row r="396" spans="1:28" s="19" customFormat="1">
      <c r="A396" s="163"/>
      <c r="B396" s="163"/>
      <c r="C396" s="163"/>
      <c r="D396" s="163"/>
      <c r="E396" s="163"/>
      <c r="F396" s="163"/>
      <c r="G396" s="163"/>
      <c r="H396" s="163"/>
      <c r="I396" s="163"/>
      <c r="J396" s="163"/>
      <c r="K396" s="163"/>
      <c r="L396" s="163"/>
      <c r="M396" s="269"/>
      <c r="N396" s="269"/>
      <c r="O396" s="269"/>
      <c r="P396" s="269"/>
      <c r="AB396" s="84"/>
    </row>
    <row r="397" spans="1:28" s="19" customFormat="1">
      <c r="A397" s="163"/>
      <c r="B397" s="163"/>
      <c r="C397" s="163"/>
      <c r="D397" s="163"/>
      <c r="E397" s="163"/>
      <c r="F397" s="163"/>
      <c r="G397" s="163"/>
      <c r="H397" s="163"/>
      <c r="I397" s="163"/>
      <c r="J397" s="163"/>
      <c r="K397" s="163"/>
      <c r="L397" s="163"/>
      <c r="M397" s="269"/>
      <c r="N397" s="269"/>
      <c r="O397" s="269"/>
      <c r="P397" s="269"/>
      <c r="AB397" s="84"/>
    </row>
    <row r="398" spans="1:28" s="19" customFormat="1">
      <c r="A398" s="163"/>
      <c r="B398" s="163"/>
      <c r="C398" s="163"/>
      <c r="D398" s="163"/>
      <c r="E398" s="163"/>
      <c r="F398" s="163"/>
      <c r="G398" s="163"/>
      <c r="H398" s="163"/>
      <c r="I398" s="163"/>
      <c r="J398" s="163"/>
      <c r="K398" s="163"/>
      <c r="L398" s="163"/>
      <c r="M398" s="269"/>
      <c r="N398" s="269"/>
      <c r="O398" s="269"/>
      <c r="P398" s="269"/>
      <c r="AB398" s="84"/>
    </row>
    <row r="399" spans="1:28" s="19" customFormat="1">
      <c r="A399" s="163"/>
      <c r="B399" s="163"/>
      <c r="C399" s="163"/>
      <c r="D399" s="163"/>
      <c r="E399" s="163"/>
      <c r="F399" s="163"/>
      <c r="G399" s="163"/>
      <c r="H399" s="163"/>
      <c r="I399" s="163"/>
      <c r="J399" s="163"/>
      <c r="K399" s="163"/>
      <c r="L399" s="163"/>
      <c r="M399" s="269"/>
      <c r="N399" s="269"/>
      <c r="O399" s="269"/>
      <c r="P399" s="269"/>
      <c r="AB399" s="84"/>
    </row>
    <row r="400" spans="1:28" s="19" customFormat="1">
      <c r="A400" s="163"/>
      <c r="B400" s="163"/>
      <c r="C400" s="163"/>
      <c r="D400" s="163"/>
      <c r="E400" s="163"/>
      <c r="F400" s="163"/>
      <c r="G400" s="163"/>
      <c r="H400" s="163"/>
      <c r="I400" s="163"/>
      <c r="J400" s="163"/>
      <c r="K400" s="163"/>
      <c r="L400" s="163"/>
      <c r="M400" s="269"/>
      <c r="N400" s="269"/>
      <c r="O400" s="269"/>
      <c r="P400" s="269"/>
      <c r="AB400" s="84"/>
    </row>
    <row r="401" spans="1:28" s="19" customFormat="1">
      <c r="A401" s="163"/>
      <c r="B401" s="163"/>
      <c r="C401" s="163"/>
      <c r="D401" s="163"/>
      <c r="E401" s="163"/>
      <c r="F401" s="163"/>
      <c r="G401" s="163"/>
      <c r="H401" s="163"/>
      <c r="I401" s="163"/>
      <c r="J401" s="163"/>
      <c r="K401" s="163"/>
      <c r="L401" s="163"/>
      <c r="M401" s="269"/>
      <c r="N401" s="269"/>
      <c r="O401" s="269"/>
      <c r="P401" s="269"/>
      <c r="AB401" s="84"/>
    </row>
    <row r="402" spans="1:28" s="19" customFormat="1">
      <c r="A402" s="163"/>
      <c r="B402" s="163"/>
      <c r="C402" s="163"/>
      <c r="D402" s="163"/>
      <c r="E402" s="163"/>
      <c r="F402" s="163"/>
      <c r="G402" s="163"/>
      <c r="H402" s="163"/>
      <c r="I402" s="163"/>
      <c r="J402" s="163"/>
      <c r="K402" s="163"/>
      <c r="L402" s="163"/>
      <c r="M402" s="269"/>
      <c r="N402" s="269"/>
      <c r="O402" s="269"/>
      <c r="P402" s="269"/>
      <c r="AB402" s="84"/>
    </row>
    <row r="403" spans="1:28" s="19" customFormat="1">
      <c r="A403" s="163"/>
      <c r="B403" s="163"/>
      <c r="C403" s="163"/>
      <c r="D403" s="163"/>
      <c r="E403" s="163"/>
      <c r="F403" s="163"/>
      <c r="G403" s="163"/>
      <c r="H403" s="163"/>
      <c r="I403" s="163"/>
      <c r="J403" s="163"/>
      <c r="K403" s="163"/>
      <c r="L403" s="163"/>
      <c r="M403" s="269"/>
      <c r="N403" s="269"/>
      <c r="O403" s="269"/>
      <c r="P403" s="269"/>
      <c r="AB403" s="84"/>
    </row>
    <row r="404" spans="1:28" s="19" customFormat="1">
      <c r="A404" s="163"/>
      <c r="B404" s="163"/>
      <c r="C404" s="163"/>
      <c r="D404" s="163"/>
      <c r="E404" s="163"/>
      <c r="F404" s="163"/>
      <c r="G404" s="163"/>
      <c r="H404" s="163"/>
      <c r="I404" s="163"/>
      <c r="J404" s="163"/>
      <c r="K404" s="163"/>
      <c r="L404" s="163"/>
      <c r="M404" s="269"/>
      <c r="N404" s="269"/>
      <c r="O404" s="269"/>
      <c r="P404" s="269"/>
      <c r="AB404" s="84"/>
    </row>
    <row r="405" spans="1:28" s="19" customFormat="1">
      <c r="A405" s="163"/>
      <c r="B405" s="163"/>
      <c r="C405" s="163"/>
      <c r="D405" s="163"/>
      <c r="E405" s="163"/>
      <c r="F405" s="163"/>
      <c r="G405" s="163"/>
      <c r="H405" s="163"/>
      <c r="I405" s="163"/>
      <c r="J405" s="163"/>
      <c r="K405" s="163"/>
      <c r="L405" s="163"/>
      <c r="M405" s="269"/>
      <c r="N405" s="269"/>
      <c r="O405" s="269"/>
      <c r="P405" s="269"/>
      <c r="AB405" s="84"/>
    </row>
    <row r="406" spans="1:28" s="19" customFormat="1">
      <c r="A406" s="163"/>
      <c r="B406" s="163"/>
      <c r="C406" s="163"/>
      <c r="D406" s="163"/>
      <c r="E406" s="163"/>
      <c r="F406" s="163"/>
      <c r="G406" s="163"/>
      <c r="H406" s="163"/>
      <c r="I406" s="163"/>
      <c r="J406" s="163"/>
      <c r="K406" s="163"/>
      <c r="L406" s="163"/>
      <c r="M406" s="269"/>
      <c r="N406" s="269"/>
      <c r="O406" s="269"/>
      <c r="P406" s="269"/>
      <c r="AB406" s="84"/>
    </row>
    <row r="407" spans="1:28" s="19" customFormat="1">
      <c r="A407" s="163"/>
      <c r="B407" s="163"/>
      <c r="C407" s="163"/>
      <c r="D407" s="163"/>
      <c r="E407" s="163"/>
      <c r="F407" s="163"/>
      <c r="G407" s="163"/>
      <c r="H407" s="163"/>
      <c r="I407" s="163"/>
      <c r="J407" s="163"/>
      <c r="K407" s="163"/>
      <c r="L407" s="163"/>
      <c r="M407" s="269"/>
      <c r="N407" s="269"/>
      <c r="O407" s="269"/>
      <c r="P407" s="269"/>
      <c r="AB407" s="84"/>
    </row>
    <row r="408" spans="1:28" s="19" customFormat="1">
      <c r="A408" s="163"/>
      <c r="B408" s="163"/>
      <c r="C408" s="163"/>
      <c r="D408" s="163"/>
      <c r="E408" s="163"/>
      <c r="F408" s="163"/>
      <c r="G408" s="163"/>
      <c r="H408" s="163"/>
      <c r="I408" s="163"/>
      <c r="J408" s="163"/>
      <c r="K408" s="163"/>
      <c r="L408" s="163"/>
      <c r="M408" s="269"/>
      <c r="N408" s="269"/>
      <c r="O408" s="269"/>
      <c r="P408" s="269"/>
      <c r="AB408" s="84"/>
    </row>
    <row r="409" spans="1:28" s="19" customFormat="1">
      <c r="A409" s="163"/>
      <c r="B409" s="163"/>
      <c r="C409" s="163"/>
      <c r="D409" s="163"/>
      <c r="E409" s="163"/>
      <c r="F409" s="163"/>
      <c r="G409" s="163"/>
      <c r="H409" s="163"/>
      <c r="I409" s="163"/>
      <c r="J409" s="163"/>
      <c r="K409" s="163"/>
      <c r="L409" s="163"/>
      <c r="M409" s="269"/>
      <c r="N409" s="269"/>
      <c r="O409" s="269"/>
      <c r="P409" s="269"/>
      <c r="AB409" s="84"/>
    </row>
    <row r="410" spans="1:28" s="19" customFormat="1">
      <c r="A410" s="163"/>
      <c r="B410" s="163"/>
      <c r="C410" s="163"/>
      <c r="D410" s="163"/>
      <c r="E410" s="163"/>
      <c r="F410" s="163"/>
      <c r="G410" s="163"/>
      <c r="H410" s="163"/>
      <c r="I410" s="163"/>
      <c r="J410" s="163"/>
      <c r="K410" s="163"/>
      <c r="L410" s="163"/>
      <c r="M410" s="269"/>
      <c r="N410" s="269"/>
      <c r="O410" s="269"/>
      <c r="P410" s="269"/>
      <c r="AB410" s="84"/>
    </row>
    <row r="411" spans="1:28" s="19" customFormat="1">
      <c r="A411" s="163"/>
      <c r="B411" s="163"/>
      <c r="C411" s="163"/>
      <c r="D411" s="163"/>
      <c r="E411" s="163"/>
      <c r="F411" s="163"/>
      <c r="G411" s="163"/>
      <c r="H411" s="163"/>
      <c r="I411" s="163"/>
      <c r="J411" s="163"/>
      <c r="K411" s="163"/>
      <c r="L411" s="163"/>
      <c r="M411" s="269"/>
      <c r="N411" s="269"/>
      <c r="O411" s="269"/>
      <c r="P411" s="269"/>
      <c r="AB411" s="84"/>
    </row>
    <row r="412" spans="1:28" s="19" customFormat="1">
      <c r="A412" s="163"/>
      <c r="B412" s="163"/>
      <c r="C412" s="163"/>
      <c r="D412" s="163"/>
      <c r="E412" s="163"/>
      <c r="F412" s="163"/>
      <c r="G412" s="163"/>
      <c r="H412" s="163"/>
      <c r="I412" s="163"/>
      <c r="J412" s="163"/>
      <c r="K412" s="163"/>
      <c r="L412" s="163"/>
      <c r="M412" s="269"/>
      <c r="N412" s="269"/>
      <c r="O412" s="269"/>
      <c r="P412" s="269"/>
      <c r="AB412" s="84"/>
    </row>
    <row r="413" spans="1:28" s="19" customFormat="1">
      <c r="A413" s="163"/>
      <c r="B413" s="163"/>
      <c r="C413" s="163"/>
      <c r="D413" s="163"/>
      <c r="E413" s="163"/>
      <c r="F413" s="163"/>
      <c r="G413" s="163"/>
      <c r="H413" s="163"/>
      <c r="I413" s="163"/>
      <c r="J413" s="163"/>
      <c r="K413" s="163"/>
      <c r="L413" s="163"/>
      <c r="M413" s="269"/>
      <c r="N413" s="269"/>
      <c r="O413" s="269"/>
      <c r="P413" s="269"/>
      <c r="AB413" s="84"/>
    </row>
    <row r="414" spans="1:28" s="19" customFormat="1">
      <c r="A414" s="163"/>
      <c r="B414" s="163"/>
      <c r="C414" s="163"/>
      <c r="D414" s="163"/>
      <c r="E414" s="163"/>
      <c r="F414" s="163"/>
      <c r="G414" s="163"/>
      <c r="H414" s="163"/>
      <c r="I414" s="163"/>
      <c r="J414" s="163"/>
      <c r="K414" s="163"/>
      <c r="L414" s="163"/>
      <c r="M414" s="269"/>
      <c r="N414" s="269"/>
      <c r="O414" s="269"/>
      <c r="P414" s="269"/>
      <c r="AB414" s="84"/>
    </row>
    <row r="415" spans="1:28" s="19" customFormat="1">
      <c r="A415" s="163"/>
      <c r="B415" s="163"/>
      <c r="C415" s="163"/>
      <c r="D415" s="163"/>
      <c r="E415" s="163"/>
      <c r="F415" s="163"/>
      <c r="G415" s="163"/>
      <c r="H415" s="163"/>
      <c r="I415" s="163"/>
      <c r="J415" s="163"/>
      <c r="K415" s="163"/>
      <c r="L415" s="163"/>
      <c r="M415" s="269"/>
      <c r="N415" s="269"/>
      <c r="O415" s="269"/>
      <c r="P415" s="269"/>
      <c r="AB415" s="84"/>
    </row>
    <row r="416" spans="1:28" s="19" customFormat="1">
      <c r="A416" s="163"/>
      <c r="B416" s="163"/>
      <c r="C416" s="163"/>
      <c r="D416" s="163"/>
      <c r="E416" s="163"/>
      <c r="F416" s="163"/>
      <c r="G416" s="163"/>
      <c r="H416" s="163"/>
      <c r="I416" s="163"/>
      <c r="J416" s="163"/>
      <c r="K416" s="163"/>
      <c r="L416" s="163"/>
      <c r="M416" s="269"/>
      <c r="N416" s="269"/>
      <c r="O416" s="269"/>
      <c r="P416" s="269"/>
      <c r="AB416" s="84"/>
    </row>
    <row r="417" spans="1:28" s="19" customFormat="1">
      <c r="A417" s="163"/>
      <c r="B417" s="163"/>
      <c r="C417" s="163"/>
      <c r="D417" s="163"/>
      <c r="E417" s="163"/>
      <c r="F417" s="163"/>
      <c r="G417" s="163"/>
      <c r="H417" s="163"/>
      <c r="I417" s="163"/>
      <c r="J417" s="163"/>
      <c r="K417" s="163"/>
      <c r="L417" s="163"/>
      <c r="M417" s="269"/>
      <c r="N417" s="269"/>
      <c r="O417" s="269"/>
      <c r="P417" s="269"/>
      <c r="AB417" s="84"/>
    </row>
    <row r="418" spans="1:28" s="19" customFormat="1">
      <c r="A418" s="163"/>
      <c r="B418" s="163"/>
      <c r="C418" s="163"/>
      <c r="D418" s="163"/>
      <c r="E418" s="163"/>
      <c r="F418" s="163"/>
      <c r="G418" s="163"/>
      <c r="H418" s="163"/>
      <c r="I418" s="163"/>
      <c r="J418" s="163"/>
      <c r="K418" s="163"/>
      <c r="L418" s="163"/>
      <c r="M418" s="269"/>
      <c r="N418" s="269"/>
      <c r="O418" s="269"/>
      <c r="P418" s="269"/>
      <c r="AB418" s="84"/>
    </row>
    <row r="419" spans="1:28" s="19" customFormat="1">
      <c r="A419" s="163"/>
      <c r="B419" s="163"/>
      <c r="C419" s="163"/>
      <c r="D419" s="163"/>
      <c r="E419" s="163"/>
      <c r="F419" s="163"/>
      <c r="G419" s="163"/>
      <c r="H419" s="163"/>
      <c r="I419" s="163"/>
      <c r="J419" s="163"/>
      <c r="K419" s="163"/>
      <c r="L419" s="163"/>
      <c r="M419" s="269"/>
      <c r="N419" s="269"/>
      <c r="O419" s="269"/>
      <c r="P419" s="269"/>
      <c r="AB419" s="84"/>
    </row>
    <row r="420" spans="1:28" s="19" customFormat="1">
      <c r="A420" s="163"/>
      <c r="B420" s="163"/>
      <c r="C420" s="163"/>
      <c r="D420" s="163"/>
      <c r="E420" s="163"/>
      <c r="F420" s="163"/>
      <c r="G420" s="163"/>
      <c r="H420" s="163"/>
      <c r="I420" s="163"/>
      <c r="J420" s="163"/>
      <c r="K420" s="163"/>
      <c r="L420" s="163"/>
      <c r="M420" s="269"/>
      <c r="N420" s="269"/>
      <c r="O420" s="269"/>
      <c r="P420" s="269"/>
      <c r="AB420" s="84"/>
    </row>
    <row r="421" spans="1:28" s="19" customFormat="1">
      <c r="A421" s="163"/>
      <c r="B421" s="163"/>
      <c r="C421" s="163"/>
      <c r="D421" s="163"/>
      <c r="E421" s="163"/>
      <c r="F421" s="163"/>
      <c r="G421" s="163"/>
      <c r="H421" s="163"/>
      <c r="I421" s="163"/>
      <c r="J421" s="163"/>
      <c r="K421" s="163"/>
      <c r="L421" s="163"/>
      <c r="M421" s="269"/>
      <c r="N421" s="269"/>
      <c r="O421" s="269"/>
      <c r="P421" s="269"/>
      <c r="AB421" s="84"/>
    </row>
    <row r="422" spans="1:28" s="19" customFormat="1">
      <c r="A422" s="163"/>
      <c r="B422" s="163"/>
      <c r="C422" s="163"/>
      <c r="D422" s="163"/>
      <c r="E422" s="163"/>
      <c r="F422" s="163"/>
      <c r="G422" s="163"/>
      <c r="H422" s="163"/>
      <c r="I422" s="163"/>
      <c r="J422" s="163"/>
      <c r="K422" s="163"/>
      <c r="L422" s="163"/>
      <c r="M422" s="269"/>
      <c r="N422" s="269"/>
      <c r="O422" s="269"/>
      <c r="P422" s="269"/>
      <c r="AB422" s="84"/>
    </row>
    <row r="423" spans="1:28" s="19" customFormat="1">
      <c r="A423" s="163"/>
      <c r="B423" s="163"/>
      <c r="C423" s="163"/>
      <c r="D423" s="163"/>
      <c r="E423" s="163"/>
      <c r="F423" s="163"/>
      <c r="G423" s="163"/>
      <c r="H423" s="163"/>
      <c r="I423" s="163"/>
      <c r="J423" s="163"/>
      <c r="K423" s="163"/>
      <c r="L423" s="163"/>
      <c r="M423" s="269"/>
      <c r="N423" s="269"/>
      <c r="O423" s="269"/>
      <c r="P423" s="269"/>
      <c r="AB423" s="84"/>
    </row>
    <row r="424" spans="1:28" s="19" customFormat="1">
      <c r="A424" s="163"/>
      <c r="B424" s="163"/>
      <c r="C424" s="163"/>
      <c r="D424" s="163"/>
      <c r="E424" s="163"/>
      <c r="F424" s="163"/>
      <c r="G424" s="163"/>
      <c r="H424" s="163"/>
      <c r="I424" s="163"/>
      <c r="J424" s="163"/>
      <c r="K424" s="163"/>
      <c r="L424" s="163"/>
      <c r="M424" s="269"/>
      <c r="N424" s="269"/>
      <c r="O424" s="269"/>
      <c r="P424" s="269"/>
      <c r="AB424" s="84"/>
    </row>
    <row r="425" spans="1:28" s="19" customFormat="1">
      <c r="A425" s="163"/>
      <c r="B425" s="163"/>
      <c r="C425" s="163"/>
      <c r="D425" s="163"/>
      <c r="E425" s="163"/>
      <c r="F425" s="163"/>
      <c r="G425" s="163"/>
      <c r="H425" s="163"/>
      <c r="I425" s="163"/>
      <c r="J425" s="163"/>
      <c r="K425" s="163"/>
      <c r="L425" s="163"/>
      <c r="M425" s="269"/>
      <c r="N425" s="269"/>
      <c r="O425" s="269"/>
      <c r="P425" s="269"/>
      <c r="AB425" s="84"/>
    </row>
    <row r="426" spans="1:28" s="19" customFormat="1">
      <c r="A426" s="163"/>
      <c r="B426" s="163"/>
      <c r="C426" s="163"/>
      <c r="D426" s="163"/>
      <c r="E426" s="163"/>
      <c r="F426" s="163"/>
      <c r="G426" s="163"/>
      <c r="H426" s="163"/>
      <c r="I426" s="163"/>
      <c r="J426" s="163"/>
      <c r="K426" s="163"/>
      <c r="L426" s="163"/>
      <c r="M426" s="269"/>
      <c r="N426" s="269"/>
      <c r="O426" s="269"/>
      <c r="P426" s="269"/>
      <c r="AB426" s="84"/>
    </row>
    <row r="427" spans="1:28" s="19" customFormat="1">
      <c r="A427" s="163"/>
      <c r="B427" s="163"/>
      <c r="C427" s="163"/>
      <c r="D427" s="163"/>
      <c r="E427" s="163"/>
      <c r="F427" s="163"/>
      <c r="G427" s="163"/>
      <c r="H427" s="163"/>
      <c r="I427" s="163"/>
      <c r="J427" s="163"/>
      <c r="K427" s="163"/>
      <c r="L427" s="163"/>
      <c r="M427" s="269"/>
      <c r="N427" s="269"/>
      <c r="O427" s="269"/>
      <c r="P427" s="269"/>
      <c r="AB427" s="84"/>
    </row>
    <row r="428" spans="1:28" s="19" customFormat="1">
      <c r="A428" s="163"/>
      <c r="B428" s="163"/>
      <c r="C428" s="163"/>
      <c r="D428" s="163"/>
      <c r="E428" s="163"/>
      <c r="F428" s="163"/>
      <c r="G428" s="163"/>
      <c r="H428" s="163"/>
      <c r="I428" s="163"/>
      <c r="J428" s="163"/>
      <c r="K428" s="163"/>
      <c r="L428" s="163"/>
      <c r="M428" s="269"/>
      <c r="N428" s="269"/>
      <c r="O428" s="269"/>
      <c r="P428" s="269"/>
      <c r="AB428" s="84"/>
    </row>
    <row r="429" spans="1:28" s="19" customFormat="1">
      <c r="A429" s="163"/>
      <c r="B429" s="163"/>
      <c r="C429" s="163"/>
      <c r="D429" s="163"/>
      <c r="E429" s="163"/>
      <c r="F429" s="163"/>
      <c r="G429" s="163"/>
      <c r="H429" s="163"/>
      <c r="I429" s="163"/>
      <c r="J429" s="163"/>
      <c r="K429" s="163"/>
      <c r="L429" s="163"/>
      <c r="M429" s="269"/>
      <c r="N429" s="269"/>
      <c r="O429" s="269"/>
      <c r="P429" s="269"/>
      <c r="AB429" s="84"/>
    </row>
    <row r="430" spans="1:28" s="19" customFormat="1">
      <c r="A430" s="163"/>
      <c r="B430" s="163"/>
      <c r="C430" s="163"/>
      <c r="D430" s="163"/>
      <c r="E430" s="163"/>
      <c r="F430" s="163"/>
      <c r="G430" s="163"/>
      <c r="H430" s="163"/>
      <c r="I430" s="163"/>
      <c r="J430" s="163"/>
      <c r="K430" s="163"/>
      <c r="L430" s="163"/>
      <c r="M430" s="269"/>
      <c r="N430" s="269"/>
      <c r="O430" s="269"/>
      <c r="P430" s="269"/>
      <c r="AB430" s="84"/>
    </row>
    <row r="431" spans="1:28" s="19" customFormat="1">
      <c r="A431" s="163"/>
      <c r="B431" s="163"/>
      <c r="C431" s="163"/>
      <c r="D431" s="163"/>
      <c r="E431" s="163"/>
      <c r="F431" s="163"/>
      <c r="G431" s="163"/>
      <c r="H431" s="163"/>
      <c r="I431" s="163"/>
      <c r="J431" s="163"/>
      <c r="K431" s="163"/>
      <c r="L431" s="163"/>
      <c r="M431" s="269"/>
      <c r="N431" s="269"/>
      <c r="O431" s="269"/>
      <c r="P431" s="269"/>
      <c r="AB431" s="84"/>
    </row>
    <row r="432" spans="1:28" s="19" customFormat="1">
      <c r="A432" s="163"/>
      <c r="B432" s="163"/>
      <c r="C432" s="163"/>
      <c r="D432" s="163"/>
      <c r="E432" s="163"/>
      <c r="F432" s="163"/>
      <c r="G432" s="163"/>
      <c r="H432" s="163"/>
      <c r="I432" s="163"/>
      <c r="J432" s="163"/>
      <c r="K432" s="163"/>
      <c r="L432" s="163"/>
      <c r="M432" s="269"/>
      <c r="N432" s="269"/>
      <c r="O432" s="269"/>
      <c r="P432" s="269"/>
      <c r="AB432" s="84"/>
    </row>
    <row r="433" spans="1:28" s="19" customFormat="1">
      <c r="A433" s="163"/>
      <c r="B433" s="163"/>
      <c r="C433" s="163"/>
      <c r="D433" s="163"/>
      <c r="E433" s="163"/>
      <c r="F433" s="163"/>
      <c r="G433" s="163"/>
      <c r="H433" s="163"/>
      <c r="I433" s="163"/>
      <c r="J433" s="163"/>
      <c r="K433" s="163"/>
      <c r="L433" s="163"/>
      <c r="M433" s="269"/>
      <c r="N433" s="269"/>
      <c r="O433" s="269"/>
      <c r="P433" s="269"/>
      <c r="AB433" s="84"/>
    </row>
    <row r="434" spans="1:28" s="19" customFormat="1">
      <c r="A434" s="163"/>
      <c r="B434" s="163"/>
      <c r="C434" s="163"/>
      <c r="D434" s="163"/>
      <c r="E434" s="163"/>
      <c r="F434" s="163"/>
      <c r="G434" s="163"/>
      <c r="H434" s="163"/>
      <c r="I434" s="163"/>
      <c r="J434" s="163"/>
      <c r="K434" s="163"/>
      <c r="L434" s="163"/>
      <c r="M434" s="269"/>
      <c r="N434" s="269"/>
      <c r="O434" s="269"/>
      <c r="P434" s="269"/>
      <c r="AB434" s="84"/>
    </row>
    <row r="435" spans="1:28" s="19" customFormat="1">
      <c r="A435" s="163"/>
      <c r="B435" s="163"/>
      <c r="C435" s="163"/>
      <c r="D435" s="163"/>
      <c r="E435" s="163"/>
      <c r="F435" s="163"/>
      <c r="G435" s="163"/>
      <c r="H435" s="163"/>
      <c r="I435" s="163"/>
      <c r="J435" s="163"/>
      <c r="K435" s="163"/>
      <c r="L435" s="163"/>
      <c r="M435" s="269"/>
      <c r="N435" s="269"/>
      <c r="O435" s="269"/>
      <c r="P435" s="269"/>
      <c r="AB435" s="84"/>
    </row>
    <row r="436" spans="1:28" s="19" customFormat="1">
      <c r="A436" s="163"/>
      <c r="B436" s="163"/>
      <c r="C436" s="163"/>
      <c r="D436" s="163"/>
      <c r="E436" s="163"/>
      <c r="F436" s="163"/>
      <c r="G436" s="163"/>
      <c r="H436" s="163"/>
      <c r="I436" s="163"/>
      <c r="J436" s="163"/>
      <c r="K436" s="163"/>
      <c r="L436" s="163"/>
      <c r="M436" s="269"/>
      <c r="N436" s="269"/>
      <c r="O436" s="269"/>
      <c r="P436" s="269"/>
      <c r="AB436" s="84"/>
    </row>
    <row r="437" spans="1:28" s="19" customFormat="1">
      <c r="A437" s="163"/>
      <c r="B437" s="163"/>
      <c r="C437" s="163"/>
      <c r="D437" s="163"/>
      <c r="E437" s="163"/>
      <c r="F437" s="163"/>
      <c r="G437" s="163"/>
      <c r="H437" s="163"/>
      <c r="I437" s="163"/>
      <c r="J437" s="163"/>
      <c r="K437" s="163"/>
      <c r="L437" s="163"/>
      <c r="M437" s="269"/>
      <c r="N437" s="269"/>
      <c r="O437" s="269"/>
      <c r="P437" s="269"/>
      <c r="AB437" s="84"/>
    </row>
    <row r="438" spans="1:28" s="19" customFormat="1">
      <c r="A438" s="163"/>
      <c r="B438" s="163"/>
      <c r="C438" s="163"/>
      <c r="D438" s="163"/>
      <c r="E438" s="163"/>
      <c r="F438" s="163"/>
      <c r="G438" s="163"/>
      <c r="H438" s="163"/>
      <c r="I438" s="163"/>
      <c r="J438" s="163"/>
      <c r="K438" s="163"/>
      <c r="L438" s="163"/>
      <c r="M438" s="269"/>
      <c r="N438" s="269"/>
      <c r="O438" s="269"/>
      <c r="P438" s="269"/>
      <c r="AB438" s="84"/>
    </row>
    <row r="439" spans="1:28" s="19" customFormat="1">
      <c r="A439" s="163"/>
      <c r="B439" s="163"/>
      <c r="C439" s="163"/>
      <c r="D439" s="163"/>
      <c r="E439" s="163"/>
      <c r="F439" s="163"/>
      <c r="G439" s="163"/>
      <c r="H439" s="163"/>
      <c r="I439" s="163"/>
      <c r="J439" s="163"/>
      <c r="K439" s="163"/>
      <c r="L439" s="163"/>
      <c r="M439" s="269"/>
      <c r="N439" s="269"/>
      <c r="O439" s="269"/>
      <c r="P439" s="269"/>
      <c r="AB439" s="84"/>
    </row>
    <row r="440" spans="1:28" s="19" customFormat="1">
      <c r="A440" s="163"/>
      <c r="B440" s="163"/>
      <c r="C440" s="163"/>
      <c r="D440" s="163"/>
      <c r="E440" s="163"/>
      <c r="F440" s="163"/>
      <c r="G440" s="163"/>
      <c r="H440" s="163"/>
      <c r="I440" s="163"/>
      <c r="J440" s="163"/>
      <c r="K440" s="163"/>
      <c r="L440" s="163"/>
      <c r="M440" s="269"/>
      <c r="N440" s="269"/>
      <c r="O440" s="269"/>
      <c r="P440" s="269"/>
      <c r="AB440" s="84"/>
    </row>
    <row r="441" spans="1:28" s="19" customFormat="1">
      <c r="A441" s="163"/>
      <c r="B441" s="163"/>
      <c r="C441" s="163"/>
      <c r="D441" s="163"/>
      <c r="E441" s="163"/>
      <c r="F441" s="163"/>
      <c r="G441" s="163"/>
      <c r="H441" s="163"/>
      <c r="I441" s="163"/>
      <c r="J441" s="163"/>
      <c r="K441" s="163"/>
      <c r="L441" s="163"/>
      <c r="M441" s="269"/>
      <c r="N441" s="269"/>
      <c r="O441" s="269"/>
      <c r="P441" s="269"/>
      <c r="AB441" s="84"/>
    </row>
    <row r="442" spans="1:28" s="19" customFormat="1">
      <c r="A442" s="163"/>
      <c r="B442" s="163"/>
      <c r="C442" s="163"/>
      <c r="D442" s="163"/>
      <c r="E442" s="163"/>
      <c r="F442" s="163"/>
      <c r="G442" s="163"/>
      <c r="H442" s="163"/>
      <c r="I442" s="163"/>
      <c r="J442" s="163"/>
      <c r="K442" s="163"/>
      <c r="L442" s="163"/>
      <c r="M442" s="269"/>
      <c r="N442" s="269"/>
      <c r="O442" s="269"/>
      <c r="P442" s="269"/>
      <c r="AB442" s="84"/>
    </row>
    <row r="443" spans="1:28" s="19" customFormat="1">
      <c r="A443" s="163"/>
      <c r="B443" s="163"/>
      <c r="C443" s="163"/>
      <c r="D443" s="163"/>
      <c r="E443" s="163"/>
      <c r="F443" s="163"/>
      <c r="G443" s="163"/>
      <c r="H443" s="163"/>
      <c r="I443" s="163"/>
      <c r="J443" s="163"/>
      <c r="K443" s="163"/>
      <c r="L443" s="163"/>
      <c r="M443" s="269"/>
      <c r="N443" s="269"/>
      <c r="O443" s="269"/>
      <c r="P443" s="269"/>
      <c r="AB443" s="84"/>
    </row>
    <row r="444" spans="1:28" s="19" customFormat="1">
      <c r="A444" s="163"/>
      <c r="B444" s="163"/>
      <c r="C444" s="163"/>
      <c r="D444" s="163"/>
      <c r="E444" s="163"/>
      <c r="F444" s="163"/>
      <c r="G444" s="163"/>
      <c r="H444" s="163"/>
      <c r="I444" s="163"/>
      <c r="J444" s="163"/>
      <c r="K444" s="163"/>
      <c r="L444" s="163"/>
      <c r="M444" s="269"/>
      <c r="N444" s="269"/>
      <c r="O444" s="269"/>
      <c r="P444" s="269"/>
      <c r="AB444" s="84"/>
    </row>
    <row r="445" spans="1:28" s="19" customFormat="1">
      <c r="A445" s="163"/>
      <c r="B445" s="163"/>
      <c r="C445" s="163"/>
      <c r="D445" s="163"/>
      <c r="E445" s="163"/>
      <c r="F445" s="163"/>
      <c r="G445" s="163"/>
      <c r="H445" s="163"/>
      <c r="I445" s="163"/>
      <c r="J445" s="163"/>
      <c r="K445" s="163"/>
      <c r="L445" s="163"/>
      <c r="M445" s="269"/>
      <c r="N445" s="269"/>
      <c r="O445" s="269"/>
      <c r="P445" s="269"/>
      <c r="AB445" s="84"/>
    </row>
    <row r="446" spans="1:28" s="19" customFormat="1">
      <c r="A446" s="163"/>
      <c r="B446" s="163"/>
      <c r="C446" s="163"/>
      <c r="D446" s="163"/>
      <c r="E446" s="163"/>
      <c r="F446" s="163"/>
      <c r="G446" s="163"/>
      <c r="H446" s="163"/>
      <c r="I446" s="163"/>
      <c r="J446" s="163"/>
      <c r="K446" s="163"/>
      <c r="L446" s="163"/>
      <c r="M446" s="269"/>
      <c r="N446" s="269"/>
      <c r="O446" s="269"/>
      <c r="P446" s="269"/>
      <c r="AB446" s="84"/>
    </row>
    <row r="447" spans="1:28" s="19" customFormat="1">
      <c r="A447" s="163"/>
      <c r="B447" s="163"/>
      <c r="C447" s="163"/>
      <c r="D447" s="163"/>
      <c r="E447" s="163"/>
      <c r="F447" s="163"/>
      <c r="G447" s="163"/>
      <c r="H447" s="163"/>
      <c r="I447" s="163"/>
      <c r="J447" s="163"/>
      <c r="K447" s="163"/>
      <c r="L447" s="163"/>
      <c r="M447" s="269"/>
      <c r="N447" s="269"/>
      <c r="O447" s="269"/>
      <c r="P447" s="269"/>
      <c r="AB447" s="84"/>
    </row>
    <row r="448" spans="1:28" s="19" customFormat="1">
      <c r="A448" s="163"/>
      <c r="B448" s="163"/>
      <c r="C448" s="163"/>
      <c r="D448" s="163"/>
      <c r="E448" s="163"/>
      <c r="F448" s="163"/>
      <c r="G448" s="163"/>
      <c r="H448" s="163"/>
      <c r="I448" s="163"/>
      <c r="J448" s="163"/>
      <c r="K448" s="163"/>
      <c r="L448" s="163"/>
      <c r="M448" s="269"/>
      <c r="N448" s="269"/>
      <c r="O448" s="269"/>
      <c r="P448" s="269"/>
      <c r="AB448" s="84"/>
    </row>
    <row r="449" spans="1:28" s="19" customFormat="1">
      <c r="A449" s="163"/>
      <c r="B449" s="163"/>
      <c r="C449" s="163"/>
      <c r="D449" s="163"/>
      <c r="E449" s="163"/>
      <c r="F449" s="163"/>
      <c r="G449" s="163"/>
      <c r="H449" s="163"/>
      <c r="I449" s="163"/>
      <c r="J449" s="163"/>
      <c r="K449" s="163"/>
      <c r="L449" s="163"/>
      <c r="M449" s="269"/>
      <c r="N449" s="269"/>
      <c r="O449" s="269"/>
      <c r="P449" s="269"/>
      <c r="AB449" s="84"/>
    </row>
    <row r="450" spans="1:28" s="19" customFormat="1">
      <c r="A450" s="163"/>
      <c r="B450" s="163"/>
      <c r="C450" s="163"/>
      <c r="D450" s="163"/>
      <c r="E450" s="163"/>
      <c r="F450" s="163"/>
      <c r="G450" s="163"/>
      <c r="H450" s="163"/>
      <c r="I450" s="163"/>
      <c r="J450" s="163"/>
      <c r="K450" s="163"/>
      <c r="L450" s="163"/>
      <c r="M450" s="269"/>
      <c r="N450" s="269"/>
      <c r="O450" s="269"/>
      <c r="P450" s="269"/>
      <c r="AB450" s="84"/>
    </row>
    <row r="451" spans="1:28" s="19" customFormat="1">
      <c r="A451" s="163"/>
      <c r="B451" s="163"/>
      <c r="C451" s="163"/>
      <c r="D451" s="163"/>
      <c r="E451" s="163"/>
      <c r="F451" s="163"/>
      <c r="G451" s="163"/>
      <c r="H451" s="163"/>
      <c r="I451" s="163"/>
      <c r="J451" s="163"/>
      <c r="K451" s="163"/>
      <c r="L451" s="163"/>
      <c r="M451" s="269"/>
      <c r="N451" s="269"/>
      <c r="O451" s="269"/>
      <c r="P451" s="269"/>
      <c r="AB451" s="84"/>
    </row>
    <row r="452" spans="1:28" s="19" customFormat="1">
      <c r="A452" s="163"/>
      <c r="B452" s="163"/>
      <c r="C452" s="163"/>
      <c r="D452" s="163"/>
      <c r="E452" s="163"/>
      <c r="F452" s="163"/>
      <c r="G452" s="163"/>
      <c r="H452" s="163"/>
      <c r="I452" s="163"/>
      <c r="J452" s="163"/>
      <c r="K452" s="163"/>
      <c r="L452" s="163"/>
      <c r="M452" s="269"/>
      <c r="N452" s="269"/>
      <c r="O452" s="269"/>
      <c r="P452" s="269"/>
      <c r="AB452" s="84"/>
    </row>
    <row r="453" spans="1:28" s="19" customFormat="1">
      <c r="A453" s="163"/>
      <c r="B453" s="163"/>
      <c r="C453" s="163"/>
      <c r="D453" s="163"/>
      <c r="E453" s="163"/>
      <c r="F453" s="163"/>
      <c r="G453" s="163"/>
      <c r="H453" s="163"/>
      <c r="I453" s="163"/>
      <c r="J453" s="163"/>
      <c r="K453" s="163"/>
      <c r="L453" s="163"/>
      <c r="M453" s="269"/>
      <c r="N453" s="269"/>
      <c r="O453" s="269"/>
      <c r="P453" s="269"/>
      <c r="AB453" s="84"/>
    </row>
    <row r="454" spans="1:28" s="19" customFormat="1">
      <c r="A454" s="163"/>
      <c r="B454" s="163"/>
      <c r="C454" s="163"/>
      <c r="D454" s="163"/>
      <c r="E454" s="163"/>
      <c r="F454" s="163"/>
      <c r="G454" s="163"/>
      <c r="H454" s="163"/>
      <c r="I454" s="163"/>
      <c r="J454" s="163"/>
      <c r="K454" s="163"/>
      <c r="L454" s="163"/>
      <c r="M454" s="269"/>
      <c r="N454" s="269"/>
      <c r="O454" s="269"/>
      <c r="P454" s="269"/>
      <c r="AB454" s="84"/>
    </row>
    <row r="455" spans="1:28" s="19" customFormat="1">
      <c r="A455" s="163"/>
      <c r="B455" s="163"/>
      <c r="C455" s="163"/>
      <c r="D455" s="163"/>
      <c r="E455" s="163"/>
      <c r="F455" s="163"/>
      <c r="G455" s="163"/>
      <c r="H455" s="163"/>
      <c r="I455" s="163"/>
      <c r="J455" s="163"/>
      <c r="K455" s="163"/>
      <c r="L455" s="163"/>
      <c r="M455" s="269"/>
      <c r="N455" s="269"/>
      <c r="O455" s="269"/>
      <c r="P455" s="269"/>
      <c r="AB455" s="84"/>
    </row>
    <row r="456" spans="1:28" s="19" customFormat="1">
      <c r="A456" s="163"/>
      <c r="B456" s="163"/>
      <c r="C456" s="163"/>
      <c r="D456" s="163"/>
      <c r="E456" s="163"/>
      <c r="F456" s="163"/>
      <c r="G456" s="163"/>
      <c r="H456" s="163"/>
      <c r="I456" s="163"/>
      <c r="J456" s="163"/>
      <c r="K456" s="163"/>
      <c r="L456" s="163"/>
      <c r="M456" s="269"/>
      <c r="N456" s="269"/>
      <c r="O456" s="269"/>
      <c r="P456" s="269"/>
      <c r="AB456" s="84"/>
    </row>
    <row r="457" spans="1:28" s="19" customFormat="1">
      <c r="A457" s="163"/>
      <c r="B457" s="163"/>
      <c r="C457" s="163"/>
      <c r="D457" s="163"/>
      <c r="E457" s="163"/>
      <c r="F457" s="163"/>
      <c r="G457" s="163"/>
      <c r="H457" s="163"/>
      <c r="I457" s="163"/>
      <c r="J457" s="163"/>
      <c r="K457" s="163"/>
      <c r="L457" s="163"/>
      <c r="M457" s="269"/>
      <c r="N457" s="269"/>
      <c r="O457" s="269"/>
      <c r="P457" s="269"/>
      <c r="AB457" s="84"/>
    </row>
    <row r="458" spans="1:28" s="19" customFormat="1">
      <c r="M458" s="133"/>
      <c r="N458" s="133"/>
      <c r="O458" s="133"/>
      <c r="P458" s="133"/>
      <c r="AB458" s="84"/>
    </row>
    <row r="459" spans="1:28" s="19" customFormat="1">
      <c r="M459" s="133"/>
      <c r="N459" s="133"/>
      <c r="O459" s="133"/>
      <c r="P459" s="133"/>
      <c r="AB459" s="84"/>
    </row>
    <row r="460" spans="1:28" s="19" customFormat="1">
      <c r="M460" s="133"/>
      <c r="N460" s="133"/>
      <c r="O460" s="133"/>
      <c r="P460" s="133"/>
      <c r="AB460" s="84"/>
    </row>
    <row r="461" spans="1:28" s="19" customFormat="1">
      <c r="M461" s="133"/>
      <c r="N461" s="133"/>
      <c r="O461" s="133"/>
      <c r="P461" s="133"/>
      <c r="AB461" s="84"/>
    </row>
    <row r="462" spans="1:28" s="19" customFormat="1">
      <c r="M462" s="133"/>
      <c r="N462" s="133"/>
      <c r="O462" s="133"/>
      <c r="P462" s="133"/>
      <c r="AB462" s="84"/>
    </row>
    <row r="463" spans="1:28" s="19" customFormat="1">
      <c r="M463" s="133"/>
      <c r="N463" s="133"/>
      <c r="O463" s="133"/>
      <c r="P463" s="133"/>
      <c r="AB463" s="84"/>
    </row>
    <row r="464" spans="1:28" s="19" customFormat="1">
      <c r="M464" s="133"/>
      <c r="N464" s="133"/>
      <c r="O464" s="133"/>
      <c r="P464" s="133"/>
      <c r="AB464" s="84"/>
    </row>
    <row r="465" spans="13:28" s="19" customFormat="1">
      <c r="M465" s="133"/>
      <c r="N465" s="133"/>
      <c r="O465" s="133"/>
      <c r="P465" s="133"/>
      <c r="AB465" s="84"/>
    </row>
    <row r="466" spans="13:28" s="19" customFormat="1">
      <c r="M466" s="133"/>
      <c r="N466" s="133"/>
      <c r="O466" s="133"/>
      <c r="P466" s="133"/>
      <c r="AB466" s="84"/>
    </row>
    <row r="467" spans="13:28" s="19" customFormat="1">
      <c r="M467" s="133"/>
      <c r="N467" s="133"/>
      <c r="O467" s="133"/>
      <c r="P467" s="133"/>
      <c r="AB467" s="84"/>
    </row>
    <row r="468" spans="13:28" s="19" customFormat="1">
      <c r="M468" s="133"/>
      <c r="N468" s="133"/>
      <c r="O468" s="133"/>
      <c r="P468" s="133"/>
      <c r="AB468" s="84"/>
    </row>
    <row r="469" spans="13:28" s="19" customFormat="1">
      <c r="M469" s="133"/>
      <c r="N469" s="133"/>
      <c r="O469" s="133"/>
      <c r="P469" s="133"/>
      <c r="AB469" s="84"/>
    </row>
    <row r="470" spans="13:28" s="19" customFormat="1">
      <c r="M470" s="133"/>
      <c r="N470" s="133"/>
      <c r="O470" s="133"/>
      <c r="P470" s="133"/>
      <c r="AB470" s="84"/>
    </row>
    <row r="471" spans="13:28" s="19" customFormat="1">
      <c r="M471" s="133"/>
      <c r="N471" s="133"/>
      <c r="O471" s="133"/>
      <c r="P471" s="133"/>
      <c r="AB471" s="84"/>
    </row>
    <row r="472" spans="13:28" s="19" customFormat="1">
      <c r="M472" s="133"/>
      <c r="N472" s="133"/>
      <c r="O472" s="133"/>
      <c r="P472" s="133"/>
      <c r="AB472" s="84"/>
    </row>
    <row r="473" spans="13:28" s="19" customFormat="1">
      <c r="M473" s="133"/>
      <c r="N473" s="133"/>
      <c r="O473" s="133"/>
      <c r="P473" s="133"/>
      <c r="AB473" s="84"/>
    </row>
    <row r="474" spans="13:28" s="19" customFormat="1">
      <c r="M474" s="133"/>
      <c r="N474" s="133"/>
      <c r="O474" s="133"/>
      <c r="P474" s="133"/>
      <c r="AB474" s="84"/>
    </row>
    <row r="475" spans="13:28" s="19" customFormat="1">
      <c r="M475" s="133"/>
      <c r="N475" s="133"/>
      <c r="O475" s="133"/>
      <c r="P475" s="133"/>
      <c r="AB475" s="84"/>
    </row>
    <row r="476" spans="13:28" s="19" customFormat="1">
      <c r="M476" s="133"/>
      <c r="N476" s="133"/>
      <c r="O476" s="133"/>
      <c r="P476" s="133"/>
      <c r="AB476" s="84"/>
    </row>
    <row r="477" spans="13:28" s="19" customFormat="1">
      <c r="M477" s="133"/>
      <c r="N477" s="133"/>
      <c r="O477" s="133"/>
      <c r="P477" s="133"/>
      <c r="AB477" s="84"/>
    </row>
    <row r="478" spans="13:28" s="19" customFormat="1">
      <c r="M478" s="133"/>
      <c r="N478" s="133"/>
      <c r="O478" s="133"/>
      <c r="P478" s="133"/>
      <c r="AB478" s="84"/>
    </row>
    <row r="479" spans="13:28" s="19" customFormat="1">
      <c r="M479" s="133"/>
      <c r="N479" s="133"/>
      <c r="O479" s="133"/>
      <c r="P479" s="133"/>
      <c r="AB479" s="84"/>
    </row>
    <row r="480" spans="13:28" s="19" customFormat="1">
      <c r="M480" s="133"/>
      <c r="N480" s="133"/>
      <c r="O480" s="133"/>
      <c r="P480" s="133"/>
      <c r="AB480" s="84"/>
    </row>
    <row r="481" spans="13:28" s="19" customFormat="1">
      <c r="M481" s="133"/>
      <c r="N481" s="133"/>
      <c r="O481" s="133"/>
      <c r="P481" s="133"/>
      <c r="AB481" s="84"/>
    </row>
    <row r="482" spans="13:28" s="19" customFormat="1">
      <c r="M482" s="133"/>
      <c r="N482" s="133"/>
      <c r="O482" s="133"/>
      <c r="P482" s="133"/>
      <c r="AB482" s="84"/>
    </row>
    <row r="483" spans="13:28" s="19" customFormat="1">
      <c r="M483" s="133"/>
      <c r="N483" s="133"/>
      <c r="O483" s="133"/>
      <c r="P483" s="133"/>
      <c r="AB483" s="84"/>
    </row>
    <row r="484" spans="13:28" s="19" customFormat="1">
      <c r="M484" s="133"/>
      <c r="N484" s="133"/>
      <c r="O484" s="133"/>
      <c r="P484" s="133"/>
      <c r="AB484" s="84"/>
    </row>
    <row r="485" spans="13:28" s="19" customFormat="1">
      <c r="M485" s="133"/>
      <c r="N485" s="133"/>
      <c r="O485" s="133"/>
      <c r="P485" s="133"/>
      <c r="AB485" s="84"/>
    </row>
    <row r="486" spans="13:28" s="19" customFormat="1">
      <c r="M486" s="133"/>
      <c r="N486" s="133"/>
      <c r="O486" s="133"/>
      <c r="P486" s="133"/>
      <c r="AB486" s="84"/>
    </row>
    <row r="487" spans="13:28" s="19" customFormat="1">
      <c r="M487" s="133"/>
      <c r="N487" s="133"/>
      <c r="O487" s="133"/>
      <c r="P487" s="133"/>
      <c r="AB487" s="84"/>
    </row>
    <row r="488" spans="13:28" s="19" customFormat="1">
      <c r="M488" s="133"/>
      <c r="N488" s="133"/>
      <c r="O488" s="133"/>
      <c r="P488" s="133"/>
      <c r="AB488" s="84"/>
    </row>
    <row r="489" spans="13:28" s="19" customFormat="1">
      <c r="M489" s="133"/>
      <c r="N489" s="133"/>
      <c r="O489" s="133"/>
      <c r="P489" s="133"/>
      <c r="AB489" s="84"/>
    </row>
    <row r="490" spans="13:28" s="19" customFormat="1">
      <c r="M490" s="133"/>
      <c r="N490" s="133"/>
      <c r="O490" s="133"/>
      <c r="P490" s="133"/>
      <c r="AB490" s="84"/>
    </row>
    <row r="491" spans="13:28" s="19" customFormat="1">
      <c r="M491" s="133"/>
      <c r="N491" s="133"/>
      <c r="O491" s="133"/>
      <c r="P491" s="133"/>
      <c r="AB491" s="84"/>
    </row>
    <row r="492" spans="13:28" s="19" customFormat="1">
      <c r="M492" s="133"/>
      <c r="N492" s="133"/>
      <c r="O492" s="133"/>
      <c r="P492" s="133"/>
      <c r="AB492" s="84"/>
    </row>
    <row r="493" spans="13:28" s="19" customFormat="1">
      <c r="M493" s="133"/>
      <c r="N493" s="133"/>
      <c r="O493" s="133"/>
      <c r="P493" s="133"/>
      <c r="AB493" s="84"/>
    </row>
    <row r="494" spans="13:28" s="19" customFormat="1">
      <c r="M494" s="133"/>
      <c r="N494" s="133"/>
      <c r="O494" s="133"/>
      <c r="P494" s="133"/>
      <c r="AB494" s="84"/>
    </row>
    <row r="495" spans="13:28" s="19" customFormat="1">
      <c r="M495" s="133"/>
      <c r="N495" s="133"/>
      <c r="O495" s="133"/>
      <c r="P495" s="133"/>
      <c r="AB495" s="84"/>
    </row>
    <row r="496" spans="13:28" s="19" customFormat="1">
      <c r="M496" s="133"/>
      <c r="N496" s="133"/>
      <c r="O496" s="133"/>
      <c r="P496" s="133"/>
      <c r="AB496" s="84"/>
    </row>
    <row r="497" spans="13:28" s="19" customFormat="1">
      <c r="M497" s="133"/>
      <c r="N497" s="133"/>
      <c r="O497" s="133"/>
      <c r="P497" s="133"/>
      <c r="AB497" s="84"/>
    </row>
    <row r="498" spans="13:28" s="19" customFormat="1">
      <c r="M498" s="133"/>
      <c r="N498" s="133"/>
      <c r="O498" s="133"/>
      <c r="P498" s="133"/>
      <c r="AB498" s="84"/>
    </row>
    <row r="499" spans="13:28" s="19" customFormat="1">
      <c r="M499" s="133"/>
      <c r="N499" s="133"/>
      <c r="O499" s="133"/>
      <c r="P499" s="133"/>
      <c r="AB499" s="84"/>
    </row>
    <row r="500" spans="13:28" s="19" customFormat="1">
      <c r="M500" s="133"/>
      <c r="N500" s="133"/>
      <c r="O500" s="133"/>
      <c r="P500" s="133"/>
      <c r="AB500" s="84"/>
    </row>
    <row r="501" spans="13:28" s="19" customFormat="1">
      <c r="M501" s="133"/>
      <c r="N501" s="133"/>
      <c r="O501" s="133"/>
      <c r="P501" s="133"/>
      <c r="AB501" s="84"/>
    </row>
    <row r="502" spans="13:28" s="19" customFormat="1">
      <c r="M502" s="133"/>
      <c r="N502" s="133"/>
      <c r="O502" s="133"/>
      <c r="P502" s="133"/>
      <c r="AB502" s="84"/>
    </row>
    <row r="503" spans="13:28" s="19" customFormat="1">
      <c r="M503" s="133"/>
      <c r="N503" s="133"/>
      <c r="O503" s="133"/>
      <c r="P503" s="133"/>
      <c r="AB503" s="84"/>
    </row>
    <row r="504" spans="13:28" s="19" customFormat="1">
      <c r="M504" s="133"/>
      <c r="N504" s="133"/>
      <c r="O504" s="133"/>
      <c r="P504" s="133"/>
      <c r="AB504" s="84"/>
    </row>
    <row r="505" spans="13:28" s="19" customFormat="1">
      <c r="M505" s="133"/>
      <c r="N505" s="133"/>
      <c r="O505" s="133"/>
      <c r="P505" s="133"/>
      <c r="AB505" s="84"/>
    </row>
    <row r="506" spans="13:28" s="19" customFormat="1">
      <c r="M506" s="133"/>
      <c r="N506" s="133"/>
      <c r="O506" s="133"/>
      <c r="P506" s="133"/>
      <c r="AB506" s="84"/>
    </row>
    <row r="507" spans="13:28" s="19" customFormat="1">
      <c r="M507" s="133"/>
      <c r="N507" s="133"/>
      <c r="O507" s="133"/>
      <c r="P507" s="133"/>
      <c r="AB507" s="84"/>
    </row>
    <row r="508" spans="13:28" s="19" customFormat="1">
      <c r="M508" s="133"/>
      <c r="N508" s="133"/>
      <c r="O508" s="133"/>
      <c r="P508" s="133"/>
      <c r="AB508" s="84"/>
    </row>
    <row r="509" spans="13:28" s="19" customFormat="1">
      <c r="M509" s="133"/>
      <c r="N509" s="133"/>
      <c r="O509" s="133"/>
      <c r="P509" s="133"/>
      <c r="AB509" s="84"/>
    </row>
    <row r="510" spans="13:28" s="19" customFormat="1">
      <c r="M510" s="133"/>
      <c r="N510" s="133"/>
      <c r="O510" s="133"/>
      <c r="P510" s="133"/>
      <c r="AB510" s="84"/>
    </row>
    <row r="511" spans="13:28" s="19" customFormat="1">
      <c r="M511" s="133"/>
      <c r="N511" s="133"/>
      <c r="O511" s="133"/>
      <c r="P511" s="133"/>
      <c r="AB511" s="84"/>
    </row>
    <row r="512" spans="13:28" s="19" customFormat="1">
      <c r="M512" s="133"/>
      <c r="N512" s="133"/>
      <c r="O512" s="133"/>
      <c r="P512" s="133"/>
      <c r="AB512" s="84"/>
    </row>
    <row r="513" spans="13:28" s="19" customFormat="1">
      <c r="M513" s="133"/>
      <c r="N513" s="133"/>
      <c r="O513" s="133"/>
      <c r="P513" s="133"/>
      <c r="AB513" s="84"/>
    </row>
    <row r="514" spans="13:28" s="19" customFormat="1">
      <c r="M514" s="133"/>
      <c r="N514" s="133"/>
      <c r="O514" s="133"/>
      <c r="P514" s="133"/>
      <c r="AB514" s="84"/>
    </row>
    <row r="515" spans="13:28" s="19" customFormat="1">
      <c r="M515" s="133"/>
      <c r="N515" s="133"/>
      <c r="O515" s="133"/>
      <c r="P515" s="133"/>
      <c r="AB515" s="84"/>
    </row>
    <row r="516" spans="13:28" s="19" customFormat="1">
      <c r="M516" s="133"/>
      <c r="N516" s="133"/>
      <c r="O516" s="133"/>
      <c r="P516" s="133"/>
      <c r="AB516" s="84"/>
    </row>
    <row r="517" spans="13:28" s="19" customFormat="1">
      <c r="M517" s="133"/>
      <c r="N517" s="133"/>
      <c r="O517" s="133"/>
      <c r="P517" s="133"/>
      <c r="AB517" s="84"/>
    </row>
    <row r="518" spans="13:28" s="19" customFormat="1">
      <c r="M518" s="133"/>
      <c r="N518" s="133"/>
      <c r="O518" s="133"/>
      <c r="P518" s="133"/>
      <c r="AB518" s="84"/>
    </row>
    <row r="519" spans="13:28" s="19" customFormat="1">
      <c r="M519" s="133"/>
      <c r="N519" s="133"/>
      <c r="O519" s="133"/>
      <c r="P519" s="133"/>
      <c r="AB519" s="84"/>
    </row>
    <row r="520" spans="13:28" s="19" customFormat="1">
      <c r="M520" s="133"/>
      <c r="N520" s="133"/>
      <c r="O520" s="133"/>
      <c r="P520" s="133"/>
      <c r="AB520" s="84"/>
    </row>
    <row r="521" spans="13:28" s="19" customFormat="1">
      <c r="M521" s="133"/>
      <c r="N521" s="133"/>
      <c r="O521" s="133"/>
      <c r="P521" s="133"/>
      <c r="AB521" s="84"/>
    </row>
    <row r="522" spans="13:28" s="19" customFormat="1">
      <c r="M522" s="133"/>
      <c r="N522" s="133"/>
      <c r="O522" s="133"/>
      <c r="P522" s="133"/>
      <c r="AB522" s="84"/>
    </row>
    <row r="523" spans="13:28" s="19" customFormat="1">
      <c r="M523" s="133"/>
      <c r="N523" s="133"/>
      <c r="O523" s="133"/>
      <c r="P523" s="133"/>
      <c r="AB523" s="84"/>
    </row>
    <row r="524" spans="13:28" s="19" customFormat="1">
      <c r="M524" s="133"/>
      <c r="N524" s="133"/>
      <c r="O524" s="133"/>
      <c r="P524" s="133"/>
      <c r="AB524" s="84"/>
    </row>
    <row r="525" spans="13:28" s="19" customFormat="1">
      <c r="M525" s="133"/>
      <c r="N525" s="133"/>
      <c r="O525" s="133"/>
      <c r="P525" s="133"/>
      <c r="AB525" s="84"/>
    </row>
    <row r="526" spans="13:28" s="19" customFormat="1">
      <c r="M526" s="133"/>
      <c r="N526" s="133"/>
      <c r="O526" s="133"/>
      <c r="P526" s="133"/>
      <c r="AB526" s="84"/>
    </row>
    <row r="527" spans="13:28" s="19" customFormat="1">
      <c r="M527" s="133"/>
      <c r="N527" s="133"/>
      <c r="O527" s="133"/>
      <c r="P527" s="133"/>
      <c r="AB527" s="84"/>
    </row>
    <row r="528" spans="13:28" s="19" customFormat="1">
      <c r="M528" s="133"/>
      <c r="N528" s="133"/>
      <c r="O528" s="133"/>
      <c r="P528" s="133"/>
      <c r="AB528" s="84"/>
    </row>
    <row r="529" spans="13:28" s="19" customFormat="1">
      <c r="M529" s="133"/>
      <c r="N529" s="133"/>
      <c r="O529" s="133"/>
      <c r="P529" s="133"/>
      <c r="AB529" s="84"/>
    </row>
    <row r="530" spans="13:28" s="19" customFormat="1">
      <c r="M530" s="133"/>
      <c r="N530" s="133"/>
      <c r="O530" s="133"/>
      <c r="P530" s="133"/>
      <c r="AB530" s="84"/>
    </row>
    <row r="531" spans="13:28" s="19" customFormat="1">
      <c r="M531" s="133"/>
      <c r="N531" s="133"/>
      <c r="O531" s="133"/>
      <c r="P531" s="133"/>
      <c r="AB531" s="84"/>
    </row>
    <row r="532" spans="13:28" s="19" customFormat="1">
      <c r="M532" s="133"/>
      <c r="N532" s="133"/>
      <c r="O532" s="133"/>
      <c r="P532" s="133"/>
      <c r="AB532" s="84"/>
    </row>
    <row r="533" spans="13:28" s="19" customFormat="1">
      <c r="M533" s="133"/>
      <c r="N533" s="133"/>
      <c r="O533" s="133"/>
      <c r="P533" s="133"/>
      <c r="AB533" s="84"/>
    </row>
    <row r="534" spans="13:28" s="19" customFormat="1">
      <c r="M534" s="133"/>
      <c r="N534" s="133"/>
      <c r="O534" s="133"/>
      <c r="P534" s="133"/>
      <c r="AB534" s="84"/>
    </row>
    <row r="535" spans="13:28" s="19" customFormat="1">
      <c r="M535" s="133"/>
      <c r="N535" s="133"/>
      <c r="O535" s="133"/>
      <c r="P535" s="133"/>
      <c r="AB535" s="84"/>
    </row>
    <row r="536" spans="13:28" s="19" customFormat="1">
      <c r="M536" s="133"/>
      <c r="N536" s="133"/>
      <c r="O536" s="133"/>
      <c r="P536" s="133"/>
      <c r="AB536" s="84"/>
    </row>
    <row r="537" spans="13:28" s="19" customFormat="1">
      <c r="M537" s="133"/>
      <c r="N537" s="133"/>
      <c r="O537" s="133"/>
      <c r="P537" s="133"/>
      <c r="AB537" s="84"/>
    </row>
    <row r="538" spans="13:28" s="19" customFormat="1">
      <c r="M538" s="133"/>
      <c r="N538" s="133"/>
      <c r="O538" s="133"/>
      <c r="P538" s="133"/>
      <c r="AB538" s="84"/>
    </row>
    <row r="539" spans="13:28" s="19" customFormat="1">
      <c r="M539" s="133"/>
      <c r="N539" s="133"/>
      <c r="O539" s="133"/>
      <c r="P539" s="133"/>
      <c r="AB539" s="84"/>
    </row>
    <row r="540" spans="13:28" s="19" customFormat="1">
      <c r="M540" s="133"/>
      <c r="N540" s="133"/>
      <c r="O540" s="133"/>
      <c r="P540" s="133"/>
      <c r="AB540" s="84"/>
    </row>
    <row r="541" spans="13:28" s="19" customFormat="1">
      <c r="M541" s="133"/>
      <c r="N541" s="133"/>
      <c r="O541" s="133"/>
      <c r="P541" s="133"/>
      <c r="AB541" s="84"/>
    </row>
    <row r="542" spans="13:28" s="19" customFormat="1">
      <c r="M542" s="133"/>
      <c r="N542" s="133"/>
      <c r="O542" s="133"/>
      <c r="P542" s="133"/>
      <c r="AB542" s="84"/>
    </row>
    <row r="543" spans="13:28" s="19" customFormat="1">
      <c r="M543" s="133"/>
      <c r="N543" s="133"/>
      <c r="O543" s="133"/>
      <c r="P543" s="133"/>
      <c r="AB543" s="84"/>
    </row>
    <row r="544" spans="13:28" s="19" customFormat="1">
      <c r="M544" s="133"/>
      <c r="N544" s="133"/>
      <c r="O544" s="133"/>
      <c r="P544" s="133"/>
      <c r="AB544" s="84"/>
    </row>
    <row r="545" spans="13:28" s="19" customFormat="1">
      <c r="M545" s="133"/>
      <c r="N545" s="133"/>
      <c r="O545" s="133"/>
      <c r="P545" s="133"/>
      <c r="AB545" s="84"/>
    </row>
    <row r="546" spans="13:28" s="19" customFormat="1">
      <c r="M546" s="133"/>
      <c r="N546" s="133"/>
      <c r="O546" s="133"/>
      <c r="P546" s="133"/>
      <c r="AB546" s="84"/>
    </row>
    <row r="547" spans="13:28" s="19" customFormat="1">
      <c r="M547" s="133"/>
      <c r="N547" s="133"/>
      <c r="O547" s="133"/>
      <c r="P547" s="133"/>
      <c r="AB547" s="84"/>
    </row>
    <row r="548" spans="13:28" s="19" customFormat="1">
      <c r="M548" s="133"/>
      <c r="N548" s="133"/>
      <c r="O548" s="133"/>
      <c r="P548" s="133"/>
      <c r="AB548" s="84"/>
    </row>
    <row r="549" spans="13:28" s="19" customFormat="1">
      <c r="M549" s="133"/>
      <c r="N549" s="133"/>
      <c r="O549" s="133"/>
      <c r="P549" s="133"/>
      <c r="AB549" s="84"/>
    </row>
    <row r="550" spans="13:28" s="19" customFormat="1">
      <c r="M550" s="133"/>
      <c r="N550" s="133"/>
      <c r="O550" s="133"/>
      <c r="P550" s="133"/>
      <c r="AB550" s="84"/>
    </row>
    <row r="551" spans="13:28" s="19" customFormat="1">
      <c r="M551" s="133"/>
      <c r="N551" s="133"/>
      <c r="O551" s="133"/>
      <c r="P551" s="133"/>
      <c r="AB551" s="84"/>
    </row>
    <row r="552" spans="13:28" s="19" customFormat="1">
      <c r="M552" s="133"/>
      <c r="N552" s="133"/>
      <c r="O552" s="133"/>
      <c r="P552" s="133"/>
      <c r="AB552" s="84"/>
    </row>
    <row r="553" spans="13:28" s="19" customFormat="1">
      <c r="M553" s="133"/>
      <c r="N553" s="133"/>
      <c r="O553" s="133"/>
      <c r="P553" s="133"/>
      <c r="AB553" s="84"/>
    </row>
    <row r="554" spans="13:28" s="19" customFormat="1">
      <c r="M554" s="133"/>
      <c r="N554" s="133"/>
      <c r="O554" s="133"/>
      <c r="P554" s="133"/>
      <c r="AB554" s="84"/>
    </row>
    <row r="555" spans="13:28" s="19" customFormat="1">
      <c r="M555" s="133"/>
      <c r="N555" s="133"/>
      <c r="O555" s="133"/>
      <c r="P555" s="133"/>
      <c r="AB555" s="84"/>
    </row>
    <row r="556" spans="13:28" s="19" customFormat="1">
      <c r="M556" s="133"/>
      <c r="N556" s="133"/>
      <c r="O556" s="133"/>
      <c r="P556" s="133"/>
      <c r="AB556" s="84"/>
    </row>
    <row r="557" spans="13:28" s="19" customFormat="1">
      <c r="M557" s="133"/>
      <c r="N557" s="133"/>
      <c r="O557" s="133"/>
      <c r="P557" s="133"/>
      <c r="AB557" s="84"/>
    </row>
    <row r="558" spans="13:28" s="19" customFormat="1">
      <c r="M558" s="133"/>
      <c r="N558" s="133"/>
      <c r="O558" s="133"/>
      <c r="P558" s="133"/>
      <c r="AB558" s="84"/>
    </row>
    <row r="559" spans="13:28" s="19" customFormat="1">
      <c r="M559" s="133"/>
      <c r="N559" s="133"/>
      <c r="O559" s="133"/>
      <c r="P559" s="133"/>
      <c r="AB559" s="84"/>
    </row>
    <row r="560" spans="13:28" s="19" customFormat="1">
      <c r="M560" s="133"/>
      <c r="N560" s="133"/>
      <c r="O560" s="133"/>
      <c r="P560" s="133"/>
      <c r="AB560" s="84"/>
    </row>
    <row r="561" spans="13:28" s="19" customFormat="1">
      <c r="M561" s="133"/>
      <c r="N561" s="133"/>
      <c r="O561" s="133"/>
      <c r="P561" s="133"/>
      <c r="AB561" s="84"/>
    </row>
    <row r="562" spans="13:28" s="19" customFormat="1">
      <c r="M562" s="133"/>
      <c r="N562" s="133"/>
      <c r="O562" s="133"/>
      <c r="P562" s="133"/>
      <c r="AB562" s="84"/>
    </row>
    <row r="563" spans="13:28" s="19" customFormat="1">
      <c r="M563" s="133"/>
      <c r="N563" s="133"/>
      <c r="O563" s="133"/>
      <c r="P563" s="133"/>
      <c r="AB563" s="84"/>
    </row>
    <row r="564" spans="13:28" s="19" customFormat="1">
      <c r="M564" s="133"/>
      <c r="N564" s="133"/>
      <c r="O564" s="133"/>
      <c r="P564" s="133"/>
      <c r="AB564" s="84"/>
    </row>
    <row r="565" spans="13:28" s="19" customFormat="1">
      <c r="M565" s="133"/>
      <c r="N565" s="133"/>
      <c r="O565" s="133"/>
      <c r="P565" s="133"/>
      <c r="AB565" s="84"/>
    </row>
    <row r="566" spans="13:28" s="19" customFormat="1">
      <c r="M566" s="133"/>
      <c r="N566" s="133"/>
      <c r="O566" s="133"/>
      <c r="P566" s="133"/>
      <c r="AB566" s="84"/>
    </row>
    <row r="567" spans="13:28" s="19" customFormat="1">
      <c r="M567" s="133"/>
      <c r="N567" s="133"/>
      <c r="O567" s="133"/>
      <c r="P567" s="133"/>
      <c r="AB567" s="84"/>
    </row>
    <row r="568" spans="13:28" s="19" customFormat="1">
      <c r="M568" s="133"/>
      <c r="N568" s="133"/>
      <c r="O568" s="133"/>
      <c r="P568" s="133"/>
      <c r="AB568" s="84"/>
    </row>
    <row r="569" spans="13:28" s="19" customFormat="1">
      <c r="M569" s="133"/>
      <c r="N569" s="133"/>
      <c r="O569" s="133"/>
      <c r="P569" s="133"/>
      <c r="AB569" s="84"/>
    </row>
    <row r="570" spans="13:28" s="19" customFormat="1">
      <c r="M570" s="133"/>
      <c r="N570" s="133"/>
      <c r="O570" s="133"/>
      <c r="P570" s="133"/>
      <c r="AB570" s="84"/>
    </row>
    <row r="571" spans="13:28" s="19" customFormat="1">
      <c r="M571" s="133"/>
      <c r="N571" s="133"/>
      <c r="O571" s="133"/>
      <c r="P571" s="133"/>
      <c r="AB571" s="84"/>
    </row>
    <row r="572" spans="13:28" s="19" customFormat="1">
      <c r="M572" s="133"/>
      <c r="N572" s="133"/>
      <c r="O572" s="133"/>
      <c r="P572" s="133"/>
      <c r="AB572" s="84"/>
    </row>
    <row r="573" spans="13:28" s="19" customFormat="1">
      <c r="M573" s="133"/>
      <c r="N573" s="133"/>
      <c r="O573" s="133"/>
      <c r="P573" s="133"/>
      <c r="AB573" s="84"/>
    </row>
    <row r="574" spans="13:28" s="19" customFormat="1">
      <c r="M574" s="133"/>
      <c r="N574" s="133"/>
      <c r="O574" s="133"/>
      <c r="P574" s="133"/>
      <c r="AB574" s="84"/>
    </row>
    <row r="575" spans="13:28" s="19" customFormat="1">
      <c r="M575" s="133"/>
      <c r="N575" s="133"/>
      <c r="O575" s="133"/>
      <c r="P575" s="133"/>
      <c r="AB575" s="84"/>
    </row>
    <row r="576" spans="13:28" s="19" customFormat="1">
      <c r="M576" s="133"/>
      <c r="N576" s="133"/>
      <c r="O576" s="133"/>
      <c r="P576" s="133"/>
      <c r="AB576" s="84"/>
    </row>
    <row r="577" spans="13:28" s="19" customFormat="1">
      <c r="M577" s="133"/>
      <c r="N577" s="133"/>
      <c r="O577" s="133"/>
      <c r="P577" s="133"/>
      <c r="AB577" s="84"/>
    </row>
    <row r="578" spans="13:28" s="19" customFormat="1">
      <c r="M578" s="133"/>
      <c r="N578" s="133"/>
      <c r="O578" s="133"/>
      <c r="P578" s="133"/>
      <c r="AB578" s="84"/>
    </row>
    <row r="579" spans="13:28" s="19" customFormat="1">
      <c r="M579" s="133"/>
      <c r="N579" s="133"/>
      <c r="O579" s="133"/>
      <c r="P579" s="133"/>
      <c r="AB579" s="84"/>
    </row>
    <row r="580" spans="13:28" s="19" customFormat="1">
      <c r="M580" s="133"/>
      <c r="N580" s="133"/>
      <c r="O580" s="133"/>
      <c r="P580" s="133"/>
      <c r="AB580" s="84"/>
    </row>
    <row r="581" spans="13:28" s="19" customFormat="1">
      <c r="M581" s="133"/>
      <c r="N581" s="133"/>
      <c r="O581" s="133"/>
      <c r="P581" s="133"/>
      <c r="AB581" s="84"/>
    </row>
    <row r="582" spans="13:28" s="19" customFormat="1">
      <c r="M582" s="133"/>
      <c r="N582" s="133"/>
      <c r="O582" s="133"/>
      <c r="P582" s="133"/>
      <c r="AB582" s="84"/>
    </row>
    <row r="583" spans="13:28" s="19" customFormat="1">
      <c r="M583" s="133"/>
      <c r="N583" s="133"/>
      <c r="O583" s="133"/>
      <c r="P583" s="133"/>
      <c r="AB583" s="84"/>
    </row>
    <row r="584" spans="13:28" s="19" customFormat="1">
      <c r="M584" s="133"/>
      <c r="N584" s="133"/>
      <c r="O584" s="133"/>
      <c r="P584" s="133"/>
      <c r="AB584" s="84"/>
    </row>
    <row r="585" spans="13:28" s="19" customFormat="1">
      <c r="M585" s="133"/>
      <c r="N585" s="133"/>
      <c r="O585" s="133"/>
      <c r="P585" s="133"/>
      <c r="AB585" s="84"/>
    </row>
    <row r="586" spans="13:28" s="19" customFormat="1">
      <c r="M586" s="133"/>
      <c r="N586" s="133"/>
      <c r="O586" s="133"/>
      <c r="P586" s="133"/>
      <c r="AB586" s="84"/>
    </row>
    <row r="587" spans="13:28" s="19" customFormat="1">
      <c r="M587" s="133"/>
      <c r="N587" s="133"/>
      <c r="O587" s="133"/>
      <c r="P587" s="133"/>
      <c r="AB587" s="84"/>
    </row>
    <row r="588" spans="13:28" s="19" customFormat="1">
      <c r="M588" s="133"/>
      <c r="N588" s="133"/>
      <c r="O588" s="133"/>
      <c r="P588" s="133"/>
      <c r="AB588" s="84"/>
    </row>
    <row r="589" spans="13:28" s="19" customFormat="1">
      <c r="M589" s="133"/>
      <c r="N589" s="133"/>
      <c r="O589" s="133"/>
      <c r="P589" s="133"/>
      <c r="AB589" s="84"/>
    </row>
    <row r="590" spans="13:28" s="19" customFormat="1">
      <c r="M590" s="133"/>
      <c r="N590" s="133"/>
      <c r="O590" s="133"/>
      <c r="P590" s="133"/>
      <c r="AB590" s="84"/>
    </row>
    <row r="591" spans="13:28" s="19" customFormat="1">
      <c r="M591" s="133"/>
      <c r="N591" s="133"/>
      <c r="O591" s="133"/>
      <c r="P591" s="133"/>
      <c r="AB591" s="84"/>
    </row>
    <row r="592" spans="13:28" s="19" customFormat="1">
      <c r="M592" s="133"/>
      <c r="N592" s="133"/>
      <c r="O592" s="133"/>
      <c r="P592" s="133"/>
      <c r="AB592" s="84"/>
    </row>
    <row r="593" spans="13:28" s="19" customFormat="1">
      <c r="M593" s="133"/>
      <c r="N593" s="133"/>
      <c r="O593" s="133"/>
      <c r="P593" s="133"/>
      <c r="AB593" s="84"/>
    </row>
    <row r="594" spans="13:28" s="19" customFormat="1">
      <c r="M594" s="133"/>
      <c r="N594" s="133"/>
      <c r="O594" s="133"/>
      <c r="P594" s="133"/>
      <c r="AB594" s="84"/>
    </row>
    <row r="595" spans="13:28" s="19" customFormat="1">
      <c r="M595" s="133"/>
      <c r="N595" s="133"/>
      <c r="O595" s="133"/>
      <c r="P595" s="133"/>
      <c r="AB595" s="84"/>
    </row>
    <row r="596" spans="13:28" s="19" customFormat="1">
      <c r="M596" s="133"/>
      <c r="N596" s="133"/>
      <c r="O596" s="133"/>
      <c r="P596" s="133"/>
      <c r="AB596" s="84"/>
    </row>
    <row r="597" spans="13:28" s="19" customFormat="1">
      <c r="M597" s="133"/>
      <c r="N597" s="133"/>
      <c r="O597" s="133"/>
      <c r="P597" s="133"/>
      <c r="AB597" s="84"/>
    </row>
    <row r="598" spans="13:28" s="19" customFormat="1">
      <c r="M598" s="133"/>
      <c r="N598" s="133"/>
      <c r="O598" s="133"/>
      <c r="P598" s="133"/>
      <c r="AB598" s="84"/>
    </row>
    <row r="599" spans="13:28" s="19" customFormat="1">
      <c r="M599" s="133"/>
      <c r="N599" s="133"/>
      <c r="O599" s="133"/>
      <c r="P599" s="133"/>
      <c r="AB599" s="84"/>
    </row>
    <row r="600" spans="13:28" s="19" customFormat="1">
      <c r="M600" s="133"/>
      <c r="N600" s="133"/>
      <c r="O600" s="133"/>
      <c r="P600" s="133"/>
      <c r="AB600" s="84"/>
    </row>
    <row r="601" spans="13:28" s="19" customFormat="1">
      <c r="M601" s="133"/>
      <c r="N601" s="133"/>
      <c r="O601" s="133"/>
      <c r="P601" s="133"/>
      <c r="AB601" s="84"/>
    </row>
    <row r="602" spans="13:28" s="19" customFormat="1">
      <c r="M602" s="133"/>
      <c r="N602" s="133"/>
      <c r="O602" s="133"/>
      <c r="P602" s="133"/>
      <c r="AB602" s="84"/>
    </row>
    <row r="603" spans="13:28" s="19" customFormat="1">
      <c r="M603" s="133"/>
      <c r="N603" s="133"/>
      <c r="O603" s="133"/>
      <c r="P603" s="133"/>
      <c r="AB603" s="84"/>
    </row>
    <row r="604" spans="13:28" s="19" customFormat="1">
      <c r="M604" s="133"/>
      <c r="N604" s="133"/>
      <c r="O604" s="133"/>
      <c r="P604" s="133"/>
      <c r="AB604" s="84"/>
    </row>
    <row r="605" spans="13:28" s="19" customFormat="1">
      <c r="M605" s="133"/>
      <c r="N605" s="133"/>
      <c r="O605" s="133"/>
      <c r="P605" s="133"/>
      <c r="AB605" s="84"/>
    </row>
    <row r="606" spans="13:28" s="19" customFormat="1">
      <c r="M606" s="133"/>
      <c r="N606" s="133"/>
      <c r="O606" s="133"/>
      <c r="P606" s="133"/>
      <c r="AB606" s="84"/>
    </row>
    <row r="607" spans="13:28" s="19" customFormat="1">
      <c r="M607" s="133"/>
      <c r="N607" s="133"/>
      <c r="O607" s="133"/>
      <c r="P607" s="133"/>
      <c r="AB607" s="84"/>
    </row>
    <row r="608" spans="13:28" s="19" customFormat="1">
      <c r="M608" s="133"/>
      <c r="N608" s="133"/>
      <c r="O608" s="133"/>
      <c r="P608" s="133"/>
      <c r="AB608" s="84"/>
    </row>
    <row r="609" spans="13:28" s="19" customFormat="1">
      <c r="M609" s="133"/>
      <c r="N609" s="133"/>
      <c r="O609" s="133"/>
      <c r="P609" s="133"/>
      <c r="AB609" s="84"/>
    </row>
    <row r="610" spans="13:28" s="19" customFormat="1">
      <c r="M610" s="133"/>
      <c r="N610" s="133"/>
      <c r="O610" s="133"/>
      <c r="P610" s="133"/>
      <c r="AB610" s="84"/>
    </row>
    <row r="611" spans="13:28" s="19" customFormat="1">
      <c r="M611" s="133"/>
      <c r="N611" s="133"/>
      <c r="O611" s="133"/>
      <c r="P611" s="133"/>
      <c r="AB611" s="84"/>
    </row>
    <row r="612" spans="13:28" s="19" customFormat="1">
      <c r="M612" s="133"/>
      <c r="N612" s="133"/>
      <c r="O612" s="133"/>
      <c r="P612" s="133"/>
      <c r="AB612" s="84"/>
    </row>
    <row r="613" spans="13:28" s="19" customFormat="1">
      <c r="M613" s="133"/>
      <c r="N613" s="133"/>
      <c r="O613" s="133"/>
      <c r="P613" s="133"/>
      <c r="AB613" s="84"/>
    </row>
    <row r="614" spans="13:28" s="19" customFormat="1">
      <c r="M614" s="133"/>
      <c r="N614" s="133"/>
      <c r="O614" s="133"/>
      <c r="P614" s="133"/>
      <c r="AB614" s="84"/>
    </row>
    <row r="615" spans="13:28" s="19" customFormat="1">
      <c r="M615" s="133"/>
      <c r="N615" s="133"/>
      <c r="O615" s="133"/>
      <c r="P615" s="133"/>
      <c r="AB615" s="84"/>
    </row>
    <row r="616" spans="13:28" s="19" customFormat="1">
      <c r="M616" s="133"/>
      <c r="N616" s="133"/>
      <c r="O616" s="133"/>
      <c r="P616" s="133"/>
      <c r="AB616" s="84"/>
    </row>
    <row r="617" spans="13:28" s="19" customFormat="1">
      <c r="M617" s="133"/>
      <c r="N617" s="133"/>
      <c r="O617" s="133"/>
      <c r="P617" s="133"/>
      <c r="AB617" s="84"/>
    </row>
    <row r="618" spans="13:28" s="19" customFormat="1">
      <c r="M618" s="133"/>
      <c r="N618" s="133"/>
      <c r="O618" s="133"/>
      <c r="P618" s="133"/>
      <c r="AB618" s="84"/>
    </row>
    <row r="619" spans="13:28" s="19" customFormat="1">
      <c r="M619" s="133"/>
      <c r="N619" s="133"/>
      <c r="O619" s="133"/>
      <c r="P619" s="133"/>
      <c r="AB619" s="84"/>
    </row>
    <row r="620" spans="13:28" s="19" customFormat="1">
      <c r="M620" s="133"/>
      <c r="N620" s="133"/>
      <c r="O620" s="133"/>
      <c r="P620" s="133"/>
      <c r="AB620" s="84"/>
    </row>
    <row r="621" spans="13:28" s="19" customFormat="1">
      <c r="M621" s="133"/>
      <c r="N621" s="133"/>
      <c r="O621" s="133"/>
      <c r="P621" s="133"/>
      <c r="AB621" s="84"/>
    </row>
    <row r="622" spans="13:28" s="19" customFormat="1">
      <c r="M622" s="133"/>
      <c r="N622" s="133"/>
      <c r="O622" s="133"/>
      <c r="P622" s="133"/>
      <c r="AB622" s="84"/>
    </row>
    <row r="623" spans="13:28" s="19" customFormat="1">
      <c r="M623" s="133"/>
      <c r="N623" s="133"/>
      <c r="O623" s="133"/>
      <c r="P623" s="133"/>
      <c r="AB623" s="84"/>
    </row>
    <row r="624" spans="13:28" s="19" customFormat="1">
      <c r="M624" s="133"/>
      <c r="N624" s="133"/>
      <c r="O624" s="133"/>
      <c r="P624" s="133"/>
      <c r="AB624" s="84"/>
    </row>
    <row r="625" spans="13:28" s="19" customFormat="1">
      <c r="M625" s="133"/>
      <c r="N625" s="133"/>
      <c r="O625" s="133"/>
      <c r="P625" s="133"/>
      <c r="AB625" s="84"/>
    </row>
    <row r="626" spans="13:28" s="19" customFormat="1">
      <c r="M626" s="133"/>
      <c r="N626" s="133"/>
      <c r="O626" s="133"/>
      <c r="P626" s="133"/>
      <c r="AB626" s="84"/>
    </row>
    <row r="627" spans="13:28" s="19" customFormat="1">
      <c r="M627" s="133"/>
      <c r="N627" s="133"/>
      <c r="O627" s="133"/>
      <c r="P627" s="133"/>
      <c r="AB627" s="84"/>
    </row>
    <row r="628" spans="13:28" s="19" customFormat="1">
      <c r="M628" s="133"/>
      <c r="N628" s="133"/>
      <c r="O628" s="133"/>
      <c r="P628" s="133"/>
      <c r="AB628" s="84"/>
    </row>
    <row r="629" spans="13:28" s="19" customFormat="1">
      <c r="M629" s="133"/>
      <c r="N629" s="133"/>
      <c r="O629" s="133"/>
      <c r="P629" s="133"/>
      <c r="AB629" s="84"/>
    </row>
    <row r="630" spans="13:28" s="19" customFormat="1">
      <c r="M630" s="133"/>
      <c r="N630" s="133"/>
      <c r="O630" s="133"/>
      <c r="P630" s="133"/>
      <c r="AB630" s="84"/>
    </row>
    <row r="631" spans="13:28" s="19" customFormat="1">
      <c r="M631" s="133"/>
      <c r="N631" s="133"/>
      <c r="O631" s="133"/>
      <c r="P631" s="133"/>
      <c r="AB631" s="84"/>
    </row>
    <row r="632" spans="13:28" s="19" customFormat="1">
      <c r="M632" s="133"/>
      <c r="N632" s="133"/>
      <c r="O632" s="133"/>
      <c r="P632" s="133"/>
      <c r="AB632" s="84"/>
    </row>
    <row r="633" spans="13:28" s="19" customFormat="1">
      <c r="M633" s="133"/>
      <c r="N633" s="133"/>
      <c r="O633" s="133"/>
      <c r="P633" s="133"/>
      <c r="AB633" s="84"/>
    </row>
    <row r="634" spans="13:28" s="19" customFormat="1">
      <c r="M634" s="133"/>
      <c r="N634" s="133"/>
      <c r="O634" s="133"/>
      <c r="P634" s="133"/>
      <c r="AB634" s="84"/>
    </row>
    <row r="635" spans="13:28" s="19" customFormat="1">
      <c r="M635" s="133"/>
      <c r="N635" s="133"/>
      <c r="O635" s="133"/>
      <c r="P635" s="133"/>
      <c r="AB635" s="84"/>
    </row>
    <row r="636" spans="13:28" s="19" customFormat="1">
      <c r="M636" s="133"/>
      <c r="N636" s="133"/>
      <c r="O636" s="133"/>
      <c r="P636" s="133"/>
      <c r="AB636" s="84"/>
    </row>
    <row r="637" spans="13:28" s="19" customFormat="1">
      <c r="M637" s="133"/>
      <c r="N637" s="133"/>
      <c r="O637" s="133"/>
      <c r="P637" s="133"/>
      <c r="AB637" s="84"/>
    </row>
    <row r="638" spans="13:28" s="19" customFormat="1">
      <c r="M638" s="133"/>
      <c r="N638" s="133"/>
      <c r="O638" s="133"/>
      <c r="P638" s="133"/>
      <c r="AB638" s="84"/>
    </row>
    <row r="639" spans="13:28" s="19" customFormat="1">
      <c r="M639" s="133"/>
      <c r="N639" s="133"/>
      <c r="O639" s="133"/>
      <c r="P639" s="133"/>
      <c r="AB639" s="84"/>
    </row>
    <row r="640" spans="13:28" s="19" customFormat="1">
      <c r="M640" s="133"/>
      <c r="N640" s="133"/>
      <c r="O640" s="133"/>
      <c r="P640" s="133"/>
      <c r="AB640" s="84"/>
    </row>
    <row r="641" spans="13:28" s="19" customFormat="1">
      <c r="M641" s="133"/>
      <c r="N641" s="133"/>
      <c r="O641" s="133"/>
      <c r="P641" s="133"/>
      <c r="AB641" s="84"/>
    </row>
    <row r="642" spans="13:28" s="19" customFormat="1">
      <c r="M642" s="133"/>
      <c r="N642" s="133"/>
      <c r="O642" s="133"/>
      <c r="P642" s="133"/>
      <c r="AB642" s="84"/>
    </row>
    <row r="643" spans="13:28" s="19" customFormat="1">
      <c r="M643" s="133"/>
      <c r="N643" s="133"/>
      <c r="O643" s="133"/>
      <c r="P643" s="133"/>
      <c r="AB643" s="84"/>
    </row>
    <row r="644" spans="13:28" s="19" customFormat="1">
      <c r="M644" s="133"/>
      <c r="N644" s="133"/>
      <c r="O644" s="133"/>
      <c r="P644" s="133"/>
      <c r="AB644" s="84"/>
    </row>
    <row r="645" spans="13:28" s="19" customFormat="1">
      <c r="M645" s="133"/>
      <c r="N645" s="133"/>
      <c r="O645" s="133"/>
      <c r="P645" s="133"/>
      <c r="AB645" s="84"/>
    </row>
    <row r="646" spans="13:28" s="19" customFormat="1">
      <c r="M646" s="133"/>
      <c r="N646" s="133"/>
      <c r="O646" s="133"/>
      <c r="P646" s="133"/>
      <c r="AB646" s="84"/>
    </row>
    <row r="647" spans="13:28" s="19" customFormat="1">
      <c r="M647" s="133"/>
      <c r="N647" s="133"/>
      <c r="O647" s="133"/>
      <c r="P647" s="133"/>
      <c r="AB647" s="84"/>
    </row>
    <row r="648" spans="13:28" s="19" customFormat="1">
      <c r="M648" s="133"/>
      <c r="N648" s="133"/>
      <c r="O648" s="133"/>
      <c r="P648" s="133"/>
      <c r="AB648" s="84"/>
    </row>
    <row r="649" spans="13:28" s="19" customFormat="1">
      <c r="M649" s="133"/>
      <c r="N649" s="133"/>
      <c r="O649" s="133"/>
      <c r="P649" s="133"/>
      <c r="AB649" s="84"/>
    </row>
    <row r="650" spans="13:28" s="19" customFormat="1">
      <c r="M650" s="133"/>
      <c r="N650" s="133"/>
      <c r="O650" s="133"/>
      <c r="P650" s="133"/>
      <c r="AB650" s="84"/>
    </row>
    <row r="651" spans="13:28" s="19" customFormat="1">
      <c r="M651" s="133"/>
      <c r="N651" s="133"/>
      <c r="O651" s="133"/>
      <c r="P651" s="133"/>
      <c r="AB651" s="84"/>
    </row>
    <row r="652" spans="13:28" s="19" customFormat="1">
      <c r="M652" s="133"/>
      <c r="N652" s="133"/>
      <c r="O652" s="133"/>
      <c r="P652" s="133"/>
      <c r="AB652" s="84"/>
    </row>
    <row r="653" spans="13:28" s="19" customFormat="1">
      <c r="M653" s="133"/>
      <c r="N653" s="133"/>
      <c r="O653" s="133"/>
      <c r="P653" s="133"/>
      <c r="AB653" s="84"/>
    </row>
    <row r="654" spans="13:28" s="19" customFormat="1">
      <c r="M654" s="133"/>
      <c r="N654" s="133"/>
      <c r="O654" s="133"/>
      <c r="P654" s="133"/>
      <c r="AB654" s="84"/>
    </row>
    <row r="655" spans="13:28" s="19" customFormat="1">
      <c r="M655" s="133"/>
      <c r="N655" s="133"/>
      <c r="O655" s="133"/>
      <c r="P655" s="133"/>
      <c r="AB655" s="84"/>
    </row>
    <row r="656" spans="13:28" s="19" customFormat="1">
      <c r="M656" s="133"/>
      <c r="N656" s="133"/>
      <c r="O656" s="133"/>
      <c r="P656" s="133"/>
      <c r="AB656" s="84"/>
    </row>
    <row r="657" spans="13:28" s="19" customFormat="1">
      <c r="M657" s="133"/>
      <c r="N657" s="133"/>
      <c r="O657" s="133"/>
      <c r="P657" s="133"/>
      <c r="AB657" s="84"/>
    </row>
    <row r="658" spans="13:28" s="19" customFormat="1">
      <c r="M658" s="133"/>
      <c r="N658" s="133"/>
      <c r="O658" s="133"/>
      <c r="P658" s="133"/>
      <c r="AB658" s="84"/>
    </row>
    <row r="659" spans="13:28" s="19" customFormat="1">
      <c r="M659" s="133"/>
      <c r="N659" s="133"/>
      <c r="O659" s="133"/>
      <c r="P659" s="133"/>
      <c r="AB659" s="84"/>
    </row>
    <row r="660" spans="13:28" s="19" customFormat="1">
      <c r="M660" s="133"/>
      <c r="N660" s="133"/>
      <c r="O660" s="133"/>
      <c r="P660" s="133"/>
      <c r="AB660" s="84"/>
    </row>
    <row r="661" spans="13:28" s="19" customFormat="1">
      <c r="M661" s="133"/>
      <c r="N661" s="133"/>
      <c r="O661" s="133"/>
      <c r="P661" s="133"/>
      <c r="AB661" s="84"/>
    </row>
    <row r="662" spans="13:28" s="19" customFormat="1">
      <c r="M662" s="133"/>
      <c r="N662" s="133"/>
      <c r="O662" s="133"/>
      <c r="P662" s="133"/>
      <c r="AB662" s="84"/>
    </row>
    <row r="663" spans="13:28" s="19" customFormat="1">
      <c r="M663" s="133"/>
      <c r="N663" s="133"/>
      <c r="O663" s="133"/>
      <c r="P663" s="133"/>
      <c r="AB663" s="84"/>
    </row>
    <row r="664" spans="13:28" s="19" customFormat="1">
      <c r="M664" s="133"/>
      <c r="N664" s="133"/>
      <c r="O664" s="133"/>
      <c r="P664" s="133"/>
      <c r="AB664" s="84"/>
    </row>
    <row r="665" spans="13:28" s="19" customFormat="1">
      <c r="M665" s="133"/>
      <c r="N665" s="133"/>
      <c r="O665" s="133"/>
      <c r="P665" s="133"/>
      <c r="AB665" s="84"/>
    </row>
    <row r="666" spans="13:28" s="19" customFormat="1">
      <c r="M666" s="133"/>
      <c r="N666" s="133"/>
      <c r="O666" s="133"/>
      <c r="P666" s="133"/>
      <c r="AB666" s="84"/>
    </row>
    <row r="667" spans="13:28" s="19" customFormat="1">
      <c r="M667" s="133"/>
      <c r="N667" s="133"/>
      <c r="O667" s="133"/>
      <c r="P667" s="133"/>
      <c r="AB667" s="84"/>
    </row>
    <row r="668" spans="13:28" s="19" customFormat="1">
      <c r="M668" s="133"/>
      <c r="N668" s="133"/>
      <c r="O668" s="133"/>
      <c r="P668" s="133"/>
      <c r="AB668" s="84"/>
    </row>
    <row r="669" spans="13:28" s="19" customFormat="1">
      <c r="M669" s="133"/>
      <c r="N669" s="133"/>
      <c r="O669" s="133"/>
      <c r="P669" s="133"/>
      <c r="AB669" s="84"/>
    </row>
    <row r="670" spans="13:28" s="19" customFormat="1">
      <c r="M670" s="133"/>
      <c r="N670" s="133"/>
      <c r="O670" s="133"/>
      <c r="P670" s="133"/>
      <c r="AB670" s="84"/>
    </row>
    <row r="671" spans="13:28" s="19" customFormat="1">
      <c r="M671" s="133"/>
      <c r="N671" s="133"/>
      <c r="O671" s="133"/>
      <c r="P671" s="133"/>
      <c r="AB671" s="84"/>
    </row>
    <row r="672" spans="13:28" s="19" customFormat="1">
      <c r="M672" s="133"/>
      <c r="N672" s="133"/>
      <c r="O672" s="133"/>
      <c r="P672" s="133"/>
      <c r="AB672" s="84"/>
    </row>
    <row r="673" spans="13:28" s="19" customFormat="1">
      <c r="M673" s="133"/>
      <c r="N673" s="133"/>
      <c r="O673" s="133"/>
      <c r="P673" s="133"/>
      <c r="AB673" s="84"/>
    </row>
    <row r="674" spans="13:28" s="19" customFormat="1">
      <c r="M674" s="133"/>
      <c r="N674" s="133"/>
      <c r="O674" s="133"/>
      <c r="P674" s="133"/>
      <c r="AB674" s="84"/>
    </row>
    <row r="675" spans="13:28" s="19" customFormat="1">
      <c r="M675" s="133"/>
      <c r="N675" s="133"/>
      <c r="O675" s="133"/>
      <c r="P675" s="133"/>
      <c r="AB675" s="84"/>
    </row>
    <row r="676" spans="13:28" s="19" customFormat="1">
      <c r="M676" s="133"/>
      <c r="N676" s="133"/>
      <c r="O676" s="133"/>
      <c r="P676" s="133"/>
      <c r="AB676" s="84"/>
    </row>
    <row r="677" spans="13:28" s="19" customFormat="1">
      <c r="M677" s="133"/>
      <c r="N677" s="133"/>
      <c r="O677" s="133"/>
      <c r="P677" s="133"/>
      <c r="AB677" s="84"/>
    </row>
    <row r="678" spans="13:28" s="19" customFormat="1">
      <c r="M678" s="133"/>
      <c r="N678" s="133"/>
      <c r="O678" s="133"/>
      <c r="P678" s="133"/>
      <c r="AB678" s="84"/>
    </row>
    <row r="679" spans="13:28" s="19" customFormat="1">
      <c r="M679" s="133"/>
      <c r="N679" s="133"/>
      <c r="O679" s="133"/>
      <c r="P679" s="133"/>
      <c r="AB679" s="84"/>
    </row>
    <row r="680" spans="13:28" s="19" customFormat="1">
      <c r="M680" s="133"/>
      <c r="N680" s="133"/>
      <c r="O680" s="133"/>
      <c r="P680" s="133"/>
      <c r="AB680" s="84"/>
    </row>
    <row r="681" spans="13:28" s="19" customFormat="1">
      <c r="M681" s="133"/>
      <c r="N681" s="133"/>
      <c r="O681" s="133"/>
      <c r="P681" s="133"/>
      <c r="AB681" s="84"/>
    </row>
    <row r="682" spans="13:28" s="19" customFormat="1">
      <c r="M682" s="133"/>
      <c r="N682" s="133"/>
      <c r="O682" s="133"/>
      <c r="P682" s="133"/>
      <c r="AB682" s="84"/>
    </row>
    <row r="683" spans="13:28" s="19" customFormat="1">
      <c r="M683" s="133"/>
      <c r="N683" s="133"/>
      <c r="O683" s="133"/>
      <c r="P683" s="133"/>
      <c r="AB683" s="84"/>
    </row>
    <row r="684" spans="13:28" s="19" customFormat="1">
      <c r="M684" s="133"/>
      <c r="N684" s="133"/>
      <c r="O684" s="133"/>
      <c r="P684" s="133"/>
      <c r="AB684" s="84"/>
    </row>
    <row r="685" spans="13:28" s="19" customFormat="1">
      <c r="M685" s="133"/>
      <c r="N685" s="133"/>
      <c r="O685" s="133"/>
      <c r="P685" s="133"/>
      <c r="AB685" s="84"/>
    </row>
    <row r="686" spans="13:28" s="19" customFormat="1">
      <c r="M686" s="133"/>
      <c r="N686" s="133"/>
      <c r="O686" s="133"/>
      <c r="P686" s="133"/>
      <c r="AB686" s="84"/>
    </row>
    <row r="687" spans="13:28" s="19" customFormat="1">
      <c r="M687" s="133"/>
      <c r="N687" s="133"/>
      <c r="O687" s="133"/>
      <c r="P687" s="133"/>
      <c r="AB687" s="84"/>
    </row>
    <row r="688" spans="13:28" s="19" customFormat="1">
      <c r="M688" s="133"/>
      <c r="N688" s="133"/>
      <c r="O688" s="133"/>
      <c r="P688" s="133"/>
      <c r="AB688" s="84"/>
    </row>
    <row r="689" spans="13:28" s="19" customFormat="1">
      <c r="M689" s="133"/>
      <c r="N689" s="133"/>
      <c r="O689" s="133"/>
      <c r="P689" s="133"/>
      <c r="AB689" s="84"/>
    </row>
    <row r="690" spans="13:28" s="19" customFormat="1">
      <c r="M690" s="133"/>
      <c r="N690" s="133"/>
      <c r="O690" s="133"/>
      <c r="P690" s="133"/>
      <c r="AB690" s="84"/>
    </row>
    <row r="691" spans="13:28" s="19" customFormat="1">
      <c r="M691" s="133"/>
      <c r="N691" s="133"/>
      <c r="O691" s="133"/>
      <c r="P691" s="133"/>
      <c r="AB691" s="84"/>
    </row>
    <row r="692" spans="13:28" s="19" customFormat="1">
      <c r="M692" s="133"/>
      <c r="N692" s="133"/>
      <c r="O692" s="133"/>
      <c r="P692" s="133"/>
      <c r="AB692" s="84"/>
    </row>
    <row r="693" spans="13:28" s="19" customFormat="1">
      <c r="M693" s="133"/>
      <c r="N693" s="133"/>
      <c r="O693" s="133"/>
      <c r="P693" s="133"/>
      <c r="AB693" s="84"/>
    </row>
    <row r="694" spans="13:28" s="19" customFormat="1">
      <c r="M694" s="133"/>
      <c r="N694" s="133"/>
      <c r="O694" s="133"/>
      <c r="P694" s="133"/>
      <c r="AB694" s="84"/>
    </row>
    <row r="695" spans="13:28" s="19" customFormat="1">
      <c r="M695" s="133"/>
      <c r="N695" s="133"/>
      <c r="O695" s="133"/>
      <c r="P695" s="133"/>
      <c r="AB695" s="84"/>
    </row>
    <row r="696" spans="13:28" s="19" customFormat="1">
      <c r="M696" s="133"/>
      <c r="N696" s="133"/>
      <c r="O696" s="133"/>
      <c r="P696" s="133"/>
      <c r="AB696" s="84"/>
    </row>
    <row r="697" spans="13:28" s="19" customFormat="1">
      <c r="M697" s="133"/>
      <c r="N697" s="133"/>
      <c r="O697" s="133"/>
      <c r="P697" s="133"/>
      <c r="AB697" s="84"/>
    </row>
    <row r="698" spans="13:28" s="19" customFormat="1">
      <c r="M698" s="133"/>
      <c r="N698" s="133"/>
      <c r="O698" s="133"/>
      <c r="P698" s="133"/>
      <c r="AB698" s="84"/>
    </row>
    <row r="699" spans="13:28" s="19" customFormat="1">
      <c r="M699" s="133"/>
      <c r="N699" s="133"/>
      <c r="O699" s="133"/>
      <c r="P699" s="133"/>
      <c r="AB699" s="84"/>
    </row>
    <row r="700" spans="13:28" s="19" customFormat="1">
      <c r="M700" s="133"/>
      <c r="N700" s="133"/>
      <c r="O700" s="133"/>
      <c r="P700" s="133"/>
      <c r="AB700" s="84"/>
    </row>
    <row r="701" spans="13:28" s="19" customFormat="1">
      <c r="M701" s="133"/>
      <c r="N701" s="133"/>
      <c r="O701" s="133"/>
      <c r="P701" s="133"/>
      <c r="AB701" s="84"/>
    </row>
    <row r="702" spans="13:28" s="19" customFormat="1">
      <c r="M702" s="133"/>
      <c r="N702" s="133"/>
      <c r="O702" s="133"/>
      <c r="P702" s="133"/>
      <c r="AB702" s="84"/>
    </row>
    <row r="703" spans="13:28" s="19" customFormat="1">
      <c r="M703" s="133"/>
      <c r="N703" s="133"/>
      <c r="O703" s="133"/>
      <c r="P703" s="133"/>
      <c r="AB703" s="84"/>
    </row>
    <row r="704" spans="13:28" s="19" customFormat="1">
      <c r="M704" s="133"/>
      <c r="N704" s="133"/>
      <c r="O704" s="133"/>
      <c r="P704" s="133"/>
      <c r="AB704" s="84"/>
    </row>
    <row r="705" spans="13:28" s="19" customFormat="1">
      <c r="M705" s="133"/>
      <c r="N705" s="133"/>
      <c r="O705" s="133"/>
      <c r="P705" s="133"/>
      <c r="AB705" s="84"/>
    </row>
    <row r="706" spans="13:28" s="19" customFormat="1">
      <c r="M706" s="133"/>
      <c r="N706" s="133"/>
      <c r="O706" s="133"/>
      <c r="P706" s="133"/>
      <c r="AB706" s="84"/>
    </row>
    <row r="707" spans="13:28" s="19" customFormat="1">
      <c r="M707" s="133"/>
      <c r="N707" s="133"/>
      <c r="O707" s="133"/>
      <c r="P707" s="133"/>
      <c r="AB707" s="84"/>
    </row>
    <row r="708" spans="13:28" s="19" customFormat="1">
      <c r="M708" s="133"/>
      <c r="N708" s="133"/>
      <c r="O708" s="133"/>
      <c r="P708" s="133"/>
      <c r="AB708" s="84"/>
    </row>
    <row r="709" spans="13:28" s="19" customFormat="1">
      <c r="M709" s="133"/>
      <c r="N709" s="133"/>
      <c r="O709" s="133"/>
      <c r="P709" s="133"/>
      <c r="AB709" s="84"/>
    </row>
    <row r="710" spans="13:28" s="19" customFormat="1">
      <c r="M710" s="133"/>
      <c r="N710" s="133"/>
      <c r="O710" s="133"/>
      <c r="P710" s="133"/>
      <c r="AB710" s="84"/>
    </row>
    <row r="711" spans="13:28" s="19" customFormat="1">
      <c r="M711" s="133"/>
      <c r="N711" s="133"/>
      <c r="O711" s="133"/>
      <c r="P711" s="133"/>
      <c r="AB711" s="84"/>
    </row>
    <row r="712" spans="13:28" s="19" customFormat="1">
      <c r="M712" s="133"/>
      <c r="N712" s="133"/>
      <c r="O712" s="133"/>
      <c r="P712" s="133"/>
      <c r="AB712" s="84"/>
    </row>
    <row r="713" spans="13:28" s="19" customFormat="1">
      <c r="M713" s="133"/>
      <c r="N713" s="133"/>
      <c r="O713" s="133"/>
      <c r="P713" s="133"/>
      <c r="AB713" s="84"/>
    </row>
    <row r="714" spans="13:28" s="19" customFormat="1">
      <c r="M714" s="133"/>
      <c r="N714" s="133"/>
      <c r="O714" s="133"/>
      <c r="P714" s="133"/>
      <c r="AB714" s="84"/>
    </row>
    <row r="715" spans="13:28" s="19" customFormat="1">
      <c r="M715" s="133"/>
      <c r="N715" s="133"/>
      <c r="O715" s="133"/>
      <c r="P715" s="133"/>
      <c r="AB715" s="84"/>
    </row>
    <row r="716" spans="13:28" s="19" customFormat="1">
      <c r="M716" s="133"/>
      <c r="N716" s="133"/>
      <c r="O716" s="133"/>
      <c r="P716" s="133"/>
      <c r="AB716" s="84"/>
    </row>
    <row r="717" spans="13:28" s="19" customFormat="1">
      <c r="M717" s="133"/>
      <c r="N717" s="133"/>
      <c r="O717" s="133"/>
      <c r="P717" s="133"/>
      <c r="AB717" s="84"/>
    </row>
    <row r="718" spans="13:28" s="19" customFormat="1">
      <c r="M718" s="133"/>
      <c r="N718" s="133"/>
      <c r="O718" s="133"/>
      <c r="P718" s="133"/>
      <c r="AB718" s="84"/>
    </row>
    <row r="719" spans="13:28" s="19" customFormat="1">
      <c r="M719" s="133"/>
      <c r="N719" s="133"/>
      <c r="O719" s="133"/>
      <c r="P719" s="133"/>
      <c r="AB719" s="84"/>
    </row>
    <row r="720" spans="13:28" s="19" customFormat="1">
      <c r="M720" s="133"/>
      <c r="N720" s="133"/>
      <c r="O720" s="133"/>
      <c r="P720" s="133"/>
      <c r="AB720" s="84"/>
    </row>
    <row r="721" spans="13:28" s="19" customFormat="1">
      <c r="M721" s="133"/>
      <c r="N721" s="133"/>
      <c r="O721" s="133"/>
      <c r="P721" s="133"/>
      <c r="AB721" s="84"/>
    </row>
    <row r="722" spans="13:28" s="19" customFormat="1">
      <c r="M722" s="133"/>
      <c r="N722" s="133"/>
      <c r="O722" s="133"/>
      <c r="P722" s="133"/>
      <c r="AB722" s="84"/>
    </row>
    <row r="723" spans="13:28" s="19" customFormat="1">
      <c r="M723" s="133"/>
      <c r="N723" s="133"/>
      <c r="O723" s="133"/>
      <c r="P723" s="133"/>
      <c r="AB723" s="84"/>
    </row>
    <row r="724" spans="13:28" s="19" customFormat="1">
      <c r="M724" s="133"/>
      <c r="N724" s="133"/>
      <c r="O724" s="133"/>
      <c r="P724" s="133"/>
      <c r="AB724" s="84"/>
    </row>
    <row r="725" spans="13:28" s="19" customFormat="1">
      <c r="M725" s="133"/>
      <c r="N725" s="133"/>
      <c r="O725" s="133"/>
      <c r="P725" s="133"/>
      <c r="AB725" s="84"/>
    </row>
    <row r="726" spans="13:28" s="19" customFormat="1">
      <c r="M726" s="133"/>
      <c r="N726" s="133"/>
      <c r="O726" s="133"/>
      <c r="P726" s="133"/>
      <c r="AB726" s="84"/>
    </row>
    <row r="727" spans="13:28" s="19" customFormat="1">
      <c r="M727" s="133"/>
      <c r="N727" s="133"/>
      <c r="O727" s="133"/>
      <c r="P727" s="133"/>
      <c r="AB727" s="84"/>
    </row>
    <row r="728" spans="13:28" s="19" customFormat="1">
      <c r="M728" s="133"/>
      <c r="N728" s="133"/>
      <c r="O728" s="133"/>
      <c r="P728" s="133"/>
      <c r="AB728" s="84"/>
    </row>
    <row r="729" spans="13:28" s="19" customFormat="1">
      <c r="M729" s="133"/>
      <c r="N729" s="133"/>
      <c r="O729" s="133"/>
      <c r="P729" s="133"/>
      <c r="AB729" s="84"/>
    </row>
    <row r="730" spans="13:28" s="19" customFormat="1">
      <c r="M730" s="133"/>
      <c r="N730" s="133"/>
      <c r="O730" s="133"/>
      <c r="P730" s="133"/>
      <c r="AB730" s="84"/>
    </row>
    <row r="731" spans="13:28" s="19" customFormat="1">
      <c r="M731" s="133"/>
      <c r="N731" s="133"/>
      <c r="O731" s="133"/>
      <c r="P731" s="133"/>
      <c r="AB731" s="84"/>
    </row>
    <row r="732" spans="13:28" s="19" customFormat="1">
      <c r="M732" s="133"/>
      <c r="N732" s="133"/>
      <c r="O732" s="133"/>
      <c r="P732" s="133"/>
      <c r="AB732" s="84"/>
    </row>
    <row r="733" spans="13:28" s="19" customFormat="1">
      <c r="M733" s="133"/>
      <c r="N733" s="133"/>
      <c r="O733" s="133"/>
      <c r="P733" s="133"/>
      <c r="AB733" s="84"/>
    </row>
    <row r="734" spans="13:28" s="19" customFormat="1">
      <c r="M734" s="133"/>
      <c r="N734" s="133"/>
      <c r="O734" s="133"/>
      <c r="P734" s="133"/>
      <c r="AB734" s="84"/>
    </row>
    <row r="735" spans="13:28" s="19" customFormat="1">
      <c r="M735" s="133"/>
      <c r="N735" s="133"/>
      <c r="O735" s="133"/>
      <c r="P735" s="133"/>
      <c r="AB735" s="84"/>
    </row>
    <row r="736" spans="13:28" s="19" customFormat="1">
      <c r="M736" s="133"/>
      <c r="N736" s="133"/>
      <c r="O736" s="133"/>
      <c r="P736" s="133"/>
      <c r="AB736" s="84"/>
    </row>
    <row r="737" spans="13:28" s="19" customFormat="1">
      <c r="M737" s="133"/>
      <c r="N737" s="133"/>
      <c r="O737" s="133"/>
      <c r="P737" s="133"/>
      <c r="AB737" s="84"/>
    </row>
    <row r="738" spans="13:28" s="19" customFormat="1">
      <c r="M738" s="133"/>
      <c r="N738" s="133"/>
      <c r="O738" s="133"/>
      <c r="P738" s="133"/>
      <c r="AB738" s="84"/>
    </row>
    <row r="739" spans="13:28" s="19" customFormat="1">
      <c r="M739" s="133"/>
      <c r="N739" s="133"/>
      <c r="O739" s="133"/>
      <c r="P739" s="133"/>
      <c r="AB739" s="84"/>
    </row>
    <row r="740" spans="13:28" s="19" customFormat="1">
      <c r="M740" s="133"/>
      <c r="N740" s="133"/>
      <c r="O740" s="133"/>
      <c r="P740" s="133"/>
      <c r="AB740" s="84"/>
    </row>
    <row r="741" spans="13:28" s="19" customFormat="1">
      <c r="M741" s="133"/>
      <c r="N741" s="133"/>
      <c r="O741" s="133"/>
      <c r="P741" s="133"/>
      <c r="AB741" s="84"/>
    </row>
    <row r="742" spans="13:28" s="19" customFormat="1">
      <c r="M742" s="133"/>
      <c r="N742" s="133"/>
      <c r="O742" s="133"/>
      <c r="P742" s="133"/>
      <c r="AB742" s="84"/>
    </row>
    <row r="743" spans="13:28" s="19" customFormat="1">
      <c r="M743" s="133"/>
      <c r="N743" s="133"/>
      <c r="O743" s="133"/>
      <c r="P743" s="133"/>
      <c r="AB743" s="84"/>
    </row>
    <row r="744" spans="13:28" s="19" customFormat="1">
      <c r="M744" s="133"/>
      <c r="N744" s="133"/>
      <c r="O744" s="133"/>
      <c r="P744" s="133"/>
      <c r="AB744" s="84"/>
    </row>
    <row r="745" spans="13:28" s="19" customFormat="1">
      <c r="M745" s="133"/>
      <c r="N745" s="133"/>
      <c r="O745" s="133"/>
      <c r="P745" s="133"/>
      <c r="AB745" s="84"/>
    </row>
    <row r="746" spans="13:28" s="19" customFormat="1">
      <c r="M746" s="133"/>
      <c r="N746" s="133"/>
      <c r="O746" s="133"/>
      <c r="P746" s="133"/>
      <c r="AB746" s="84"/>
    </row>
    <row r="747" spans="13:28" s="19" customFormat="1">
      <c r="M747" s="133"/>
      <c r="N747" s="133"/>
      <c r="O747" s="133"/>
      <c r="P747" s="133"/>
      <c r="AB747" s="84"/>
    </row>
    <row r="748" spans="13:28" s="19" customFormat="1">
      <c r="M748" s="133"/>
      <c r="N748" s="133"/>
      <c r="O748" s="133"/>
      <c r="P748" s="133"/>
      <c r="AB748" s="84"/>
    </row>
    <row r="749" spans="13:28" s="19" customFormat="1">
      <c r="M749" s="133"/>
      <c r="N749" s="133"/>
      <c r="O749" s="133"/>
      <c r="P749" s="133"/>
      <c r="AB749" s="84"/>
    </row>
    <row r="750" spans="13:28" s="19" customFormat="1">
      <c r="M750" s="133"/>
      <c r="N750" s="133"/>
      <c r="O750" s="133"/>
      <c r="P750" s="133"/>
      <c r="AB750" s="84"/>
    </row>
    <row r="751" spans="13:28" s="19" customFormat="1">
      <c r="M751" s="133"/>
      <c r="N751" s="133"/>
      <c r="O751" s="133"/>
      <c r="P751" s="133"/>
      <c r="AB751" s="84"/>
    </row>
    <row r="752" spans="13:28" s="19" customFormat="1">
      <c r="M752" s="133"/>
      <c r="N752" s="133"/>
      <c r="O752" s="133"/>
      <c r="P752" s="133"/>
      <c r="AB752" s="84"/>
    </row>
    <row r="753" spans="13:28" s="19" customFormat="1">
      <c r="M753" s="133"/>
      <c r="N753" s="133"/>
      <c r="O753" s="133"/>
      <c r="P753" s="133"/>
      <c r="AB753" s="84"/>
    </row>
    <row r="754" spans="13:28" s="19" customFormat="1">
      <c r="M754" s="133"/>
      <c r="N754" s="133"/>
      <c r="O754" s="133"/>
      <c r="P754" s="133"/>
      <c r="AB754" s="84"/>
    </row>
    <row r="755" spans="13:28" s="19" customFormat="1">
      <c r="M755" s="133"/>
      <c r="N755" s="133"/>
      <c r="O755" s="133"/>
      <c r="P755" s="133"/>
      <c r="AB755" s="84"/>
    </row>
    <row r="756" spans="13:28" s="19" customFormat="1">
      <c r="M756" s="133"/>
      <c r="N756" s="133"/>
      <c r="O756" s="133"/>
      <c r="P756" s="133"/>
      <c r="AB756" s="84"/>
    </row>
    <row r="757" spans="13:28" s="19" customFormat="1">
      <c r="M757" s="133"/>
      <c r="N757" s="133"/>
      <c r="O757" s="133"/>
      <c r="P757" s="133"/>
      <c r="AB757" s="84"/>
    </row>
    <row r="758" spans="13:28" s="19" customFormat="1">
      <c r="M758" s="133"/>
      <c r="N758" s="133"/>
      <c r="O758" s="133"/>
      <c r="P758" s="133"/>
      <c r="AB758" s="84"/>
    </row>
    <row r="759" spans="13:28" s="19" customFormat="1">
      <c r="M759" s="133"/>
      <c r="N759" s="133"/>
      <c r="O759" s="133"/>
      <c r="P759" s="133"/>
      <c r="AB759" s="84"/>
    </row>
    <row r="760" spans="13:28" s="19" customFormat="1">
      <c r="M760" s="133"/>
      <c r="N760" s="133"/>
      <c r="O760" s="133"/>
      <c r="P760" s="133"/>
      <c r="AB760" s="84"/>
    </row>
    <row r="761" spans="13:28" s="19" customFormat="1">
      <c r="M761" s="133"/>
      <c r="N761" s="133"/>
      <c r="O761" s="133"/>
      <c r="P761" s="133"/>
      <c r="AB761" s="84"/>
    </row>
    <row r="762" spans="13:28" s="19" customFormat="1">
      <c r="M762" s="133"/>
      <c r="N762" s="133"/>
      <c r="O762" s="133"/>
      <c r="P762" s="133"/>
      <c r="AB762" s="84"/>
    </row>
    <row r="763" spans="13:28" s="19" customFormat="1">
      <c r="M763" s="133"/>
      <c r="N763" s="133"/>
      <c r="O763" s="133"/>
      <c r="P763" s="133"/>
      <c r="AB763" s="84"/>
    </row>
    <row r="764" spans="13:28" s="19" customFormat="1">
      <c r="M764" s="133"/>
      <c r="N764" s="133"/>
      <c r="O764" s="133"/>
      <c r="P764" s="133"/>
      <c r="AB764" s="84"/>
    </row>
    <row r="765" spans="13:28" s="19" customFormat="1">
      <c r="M765" s="133"/>
      <c r="N765" s="133"/>
      <c r="O765" s="133"/>
      <c r="P765" s="133"/>
      <c r="AB765" s="84"/>
    </row>
    <row r="766" spans="13:28" s="19" customFormat="1">
      <c r="M766" s="133"/>
      <c r="N766" s="133"/>
      <c r="O766" s="133"/>
      <c r="P766" s="133"/>
      <c r="AB766" s="84"/>
    </row>
    <row r="767" spans="13:28" s="19" customFormat="1">
      <c r="M767" s="133"/>
      <c r="N767" s="133"/>
      <c r="O767" s="133"/>
      <c r="P767" s="133"/>
      <c r="AB767" s="84"/>
    </row>
    <row r="768" spans="13:28" s="19" customFormat="1">
      <c r="M768" s="133"/>
      <c r="N768" s="133"/>
      <c r="O768" s="133"/>
      <c r="P768" s="133"/>
      <c r="AB768" s="84"/>
    </row>
    <row r="769" spans="13:28" s="19" customFormat="1">
      <c r="M769" s="133"/>
      <c r="N769" s="133"/>
      <c r="O769" s="133"/>
      <c r="P769" s="133"/>
      <c r="AB769" s="84"/>
    </row>
    <row r="770" spans="13:28" s="19" customFormat="1">
      <c r="M770" s="133"/>
      <c r="N770" s="133"/>
      <c r="O770" s="133"/>
      <c r="P770" s="133"/>
      <c r="AB770" s="84"/>
    </row>
    <row r="771" spans="13:28" s="19" customFormat="1">
      <c r="M771" s="133"/>
      <c r="N771" s="133"/>
      <c r="O771" s="133"/>
      <c r="P771" s="133"/>
      <c r="AB771" s="84"/>
    </row>
    <row r="772" spans="13:28" s="19" customFormat="1">
      <c r="M772" s="133"/>
      <c r="N772" s="133"/>
      <c r="O772" s="133"/>
      <c r="P772" s="133"/>
      <c r="AB772" s="84"/>
    </row>
    <row r="773" spans="13:28" s="19" customFormat="1">
      <c r="M773" s="133"/>
      <c r="N773" s="133"/>
      <c r="O773" s="133"/>
      <c r="P773" s="133"/>
      <c r="AB773" s="84"/>
    </row>
    <row r="774" spans="13:28" s="19" customFormat="1">
      <c r="M774" s="133"/>
      <c r="N774" s="133"/>
      <c r="O774" s="133"/>
      <c r="P774" s="133"/>
      <c r="AB774" s="84"/>
    </row>
    <row r="775" spans="13:28" s="19" customFormat="1">
      <c r="M775" s="133"/>
      <c r="N775" s="133"/>
      <c r="O775" s="133"/>
      <c r="P775" s="133"/>
      <c r="AB775" s="84"/>
    </row>
    <row r="776" spans="13:28" s="19" customFormat="1">
      <c r="M776" s="133"/>
      <c r="N776" s="133"/>
      <c r="O776" s="133"/>
      <c r="P776" s="133"/>
      <c r="AB776" s="84"/>
    </row>
    <row r="777" spans="13:28" s="19" customFormat="1">
      <c r="M777" s="133"/>
      <c r="N777" s="133"/>
      <c r="O777" s="133"/>
      <c r="P777" s="133"/>
      <c r="AB777" s="84"/>
    </row>
    <row r="778" spans="13:28" s="19" customFormat="1">
      <c r="M778" s="133"/>
      <c r="N778" s="133"/>
      <c r="O778" s="133"/>
      <c r="P778" s="133"/>
      <c r="AB778" s="84"/>
    </row>
    <row r="779" spans="13:28" s="19" customFormat="1">
      <c r="M779" s="133"/>
      <c r="N779" s="133"/>
      <c r="O779" s="133"/>
      <c r="P779" s="133"/>
      <c r="AB779" s="84"/>
    </row>
    <row r="780" spans="13:28" s="19" customFormat="1">
      <c r="M780" s="133"/>
      <c r="N780" s="133"/>
      <c r="O780" s="133"/>
      <c r="P780" s="133"/>
      <c r="AB780" s="84"/>
    </row>
    <row r="781" spans="13:28" s="19" customFormat="1">
      <c r="M781" s="133"/>
      <c r="N781" s="133"/>
      <c r="O781" s="133"/>
      <c r="P781" s="133"/>
      <c r="AB781" s="84"/>
    </row>
    <row r="782" spans="13:28" s="19" customFormat="1">
      <c r="M782" s="133"/>
      <c r="N782" s="133"/>
      <c r="O782" s="133"/>
      <c r="P782" s="133"/>
      <c r="AB782" s="84"/>
    </row>
    <row r="783" spans="13:28" s="19" customFormat="1">
      <c r="M783" s="133"/>
      <c r="N783" s="133"/>
      <c r="O783" s="133"/>
      <c r="P783" s="133"/>
      <c r="AB783" s="84"/>
    </row>
    <row r="784" spans="13:28" s="19" customFormat="1">
      <c r="M784" s="133"/>
      <c r="N784" s="133"/>
      <c r="O784" s="133"/>
      <c r="P784" s="133"/>
      <c r="AB784" s="84"/>
    </row>
    <row r="785" spans="13:28" s="19" customFormat="1">
      <c r="M785" s="133"/>
      <c r="N785" s="133"/>
      <c r="O785" s="133"/>
      <c r="P785" s="133"/>
      <c r="AB785" s="84"/>
    </row>
    <row r="786" spans="13:28" s="19" customFormat="1">
      <c r="M786" s="133"/>
      <c r="N786" s="133"/>
      <c r="O786" s="133"/>
      <c r="P786" s="133"/>
      <c r="AB786" s="84"/>
    </row>
    <row r="787" spans="13:28" s="19" customFormat="1">
      <c r="M787" s="133"/>
      <c r="N787" s="133"/>
      <c r="O787" s="133"/>
      <c r="P787" s="133"/>
      <c r="AB787" s="84"/>
    </row>
    <row r="788" spans="13:28" s="19" customFormat="1">
      <c r="M788" s="133"/>
      <c r="N788" s="133"/>
      <c r="O788" s="133"/>
      <c r="P788" s="133"/>
      <c r="AB788" s="84"/>
    </row>
    <row r="789" spans="13:28" s="19" customFormat="1">
      <c r="M789" s="133"/>
      <c r="N789" s="133"/>
      <c r="O789" s="133"/>
      <c r="P789" s="133"/>
      <c r="AB789" s="84"/>
    </row>
    <row r="790" spans="13:28" s="19" customFormat="1">
      <c r="M790" s="133"/>
      <c r="N790" s="133"/>
      <c r="O790" s="133"/>
      <c r="P790" s="133"/>
      <c r="AB790" s="84"/>
    </row>
    <row r="791" spans="13:28" s="19" customFormat="1">
      <c r="M791" s="133"/>
      <c r="N791" s="133"/>
      <c r="O791" s="133"/>
      <c r="P791" s="133"/>
      <c r="AB791" s="84"/>
    </row>
    <row r="792" spans="13:28">
      <c r="N792" s="133"/>
      <c r="O792" s="133"/>
      <c r="P792" s="133"/>
      <c r="AB792" s="84"/>
    </row>
    <row r="793" spans="13:28">
      <c r="AB793" s="84"/>
    </row>
  </sheetData>
  <sheetProtection algorithmName="SHA-512" hashValue="Q252hTg/hFF4K+fz1+HaFuozrXILWXGCJsx0x3z3wzdY+HSf3vmRJ4niPKwOTEqud5lMQrWcRAvBlcmO3sS1rg==" saltValue="pffP8gtZDVwLWffbj0Monw==" spinCount="100000" sheet="1" objects="1" scenarios="1"/>
  <phoneticPr fontId="12" type="noConversion"/>
  <printOptions gridLines="1"/>
  <pageMargins left="0.75" right="0.75" top="1" bottom="0.75" header="0.5" footer="0.5"/>
  <pageSetup paperSize="5" scale="58" fitToHeight="0" orientation="landscape" horizontalDpi="4294967292" verticalDpi="4294967292" r:id="rId1"/>
  <headerFooter>
    <oddHeader>&amp;C&amp;"Calibri,Regular"&amp;20&amp;K000000Fund Cost per Pop_x000D_2008 through 2018</oddHeader>
    <oddFooter>&amp;C&amp;"Calibri,Regular"&amp;K000000&amp;P of &amp;N</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W619"/>
  <sheetViews>
    <sheetView topLeftCell="N1" workbookViewId="0">
      <selection activeCell="W1" sqref="W1"/>
    </sheetView>
  </sheetViews>
  <sheetFormatPr defaultColWidth="11" defaultRowHeight="15.75"/>
  <cols>
    <col min="1" max="1" width="28.625" customWidth="1"/>
    <col min="2" max="10" width="14.5" customWidth="1"/>
    <col min="11" max="12" width="13.875" customWidth="1"/>
    <col min="13" max="13" width="13.875" style="190" customWidth="1"/>
    <col min="23" max="23" width="52.875" customWidth="1"/>
  </cols>
  <sheetData>
    <row r="1" spans="1:14" ht="18.75">
      <c r="A1" s="37" t="s">
        <v>41</v>
      </c>
      <c r="J1" s="494" t="s">
        <v>215</v>
      </c>
      <c r="K1" s="494"/>
      <c r="L1" s="494"/>
    </row>
    <row r="2" spans="1:14">
      <c r="A2" s="2"/>
    </row>
    <row r="3" spans="1:14">
      <c r="A3" s="2"/>
      <c r="B3" s="82" t="s">
        <v>61</v>
      </c>
      <c r="C3" s="82" t="s">
        <v>61</v>
      </c>
      <c r="D3" s="82" t="s">
        <v>61</v>
      </c>
      <c r="E3" s="82" t="s">
        <v>61</v>
      </c>
      <c r="F3" s="82" t="s">
        <v>61</v>
      </c>
      <c r="G3" s="82" t="s">
        <v>61</v>
      </c>
      <c r="H3" s="82" t="s">
        <v>61</v>
      </c>
      <c r="I3" s="82" t="s">
        <v>61</v>
      </c>
      <c r="J3" s="82" t="s">
        <v>61</v>
      </c>
      <c r="K3" s="82" t="s">
        <v>61</v>
      </c>
      <c r="L3" s="82" t="s">
        <v>61</v>
      </c>
    </row>
    <row r="4" spans="1:14">
      <c r="A4" s="2"/>
      <c r="B4" s="30" t="s">
        <v>57</v>
      </c>
      <c r="C4" s="30" t="s">
        <v>57</v>
      </c>
      <c r="D4" s="30" t="s">
        <v>57</v>
      </c>
      <c r="E4" s="30" t="s">
        <v>57</v>
      </c>
      <c r="F4" s="30" t="s">
        <v>57</v>
      </c>
      <c r="G4" s="30" t="s">
        <v>57</v>
      </c>
      <c r="H4" s="30" t="s">
        <v>57</v>
      </c>
      <c r="I4" s="30" t="s">
        <v>57</v>
      </c>
      <c r="J4" s="30" t="s">
        <v>57</v>
      </c>
      <c r="K4" s="30" t="s">
        <v>202</v>
      </c>
      <c r="L4" s="30" t="s">
        <v>58</v>
      </c>
    </row>
    <row r="5" spans="1:14" ht="18.75">
      <c r="A5" s="93" t="s">
        <v>98</v>
      </c>
      <c r="B5" s="254">
        <v>2009</v>
      </c>
      <c r="C5" s="254">
        <v>2010</v>
      </c>
      <c r="D5" s="254">
        <v>2011</v>
      </c>
      <c r="E5" s="254">
        <v>2012</v>
      </c>
      <c r="F5" s="254">
        <v>2013</v>
      </c>
      <c r="G5" s="254">
        <v>2014</v>
      </c>
      <c r="H5" s="254">
        <v>2015</v>
      </c>
      <c r="I5" s="254">
        <v>2016</v>
      </c>
      <c r="J5" s="254">
        <v>2017</v>
      </c>
      <c r="K5" s="254">
        <v>2018</v>
      </c>
      <c r="L5" s="254">
        <v>2019</v>
      </c>
      <c r="M5" s="195"/>
      <c r="N5" s="2"/>
    </row>
    <row r="6" spans="1:14">
      <c r="A6" s="10" t="s">
        <v>100</v>
      </c>
      <c r="B6" s="32">
        <v>1248068</v>
      </c>
      <c r="C6" s="32">
        <v>1133935</v>
      </c>
      <c r="D6" s="32">
        <v>1224116</v>
      </c>
      <c r="E6" s="32">
        <v>1360178</v>
      </c>
      <c r="F6" s="32">
        <v>1719180</v>
      </c>
      <c r="G6" s="32">
        <v>1922206</v>
      </c>
      <c r="H6" s="32">
        <v>1980562</v>
      </c>
      <c r="I6" s="32">
        <v>2104255</v>
      </c>
      <c r="J6" s="32">
        <f>134388+366582</f>
        <v>500970</v>
      </c>
      <c r="K6" s="32">
        <f>100000+406800</f>
        <v>506800</v>
      </c>
      <c r="L6" s="32">
        <f>123000+449169</f>
        <v>572169</v>
      </c>
      <c r="M6" s="174"/>
      <c r="N6" s="3"/>
    </row>
    <row r="7" spans="1:14">
      <c r="A7" s="96" t="s">
        <v>93</v>
      </c>
      <c r="B7" s="32">
        <v>0</v>
      </c>
      <c r="C7" s="32">
        <v>0</v>
      </c>
      <c r="D7" s="32">
        <v>0</v>
      </c>
      <c r="E7" s="32">
        <v>0</v>
      </c>
      <c r="F7" s="32">
        <v>0</v>
      </c>
      <c r="G7" s="32">
        <v>0</v>
      </c>
      <c r="H7" s="32">
        <v>0</v>
      </c>
      <c r="I7" s="32">
        <v>0</v>
      </c>
      <c r="J7" s="32">
        <v>0</v>
      </c>
      <c r="K7" s="32">
        <v>0</v>
      </c>
      <c r="L7" s="32">
        <v>0</v>
      </c>
      <c r="M7" s="174"/>
      <c r="N7" s="3"/>
    </row>
    <row r="8" spans="1:14">
      <c r="A8" s="94" t="s">
        <v>101</v>
      </c>
      <c r="B8" s="32">
        <v>0</v>
      </c>
      <c r="C8" s="32">
        <v>0</v>
      </c>
      <c r="D8" s="32">
        <v>0</v>
      </c>
      <c r="E8" s="32">
        <v>0</v>
      </c>
      <c r="F8" s="32">
        <v>0</v>
      </c>
      <c r="G8" s="32">
        <v>0</v>
      </c>
      <c r="H8" s="32">
        <v>0</v>
      </c>
      <c r="I8" s="32">
        <v>0</v>
      </c>
      <c r="J8" s="32">
        <v>0</v>
      </c>
      <c r="K8" s="32">
        <v>0</v>
      </c>
      <c r="L8" s="32">
        <v>0</v>
      </c>
      <c r="M8" s="174"/>
      <c r="N8" s="3"/>
    </row>
    <row r="9" spans="1:14">
      <c r="A9" s="73" t="s">
        <v>83</v>
      </c>
      <c r="B9" s="32">
        <v>341368</v>
      </c>
      <c r="C9" s="32">
        <v>207463</v>
      </c>
      <c r="D9" s="32">
        <v>214029</v>
      </c>
      <c r="E9" s="32">
        <v>137214</v>
      </c>
      <c r="F9" s="32">
        <v>172830</v>
      </c>
      <c r="G9" s="32">
        <v>488665</v>
      </c>
      <c r="H9" s="32">
        <v>316762</v>
      </c>
      <c r="I9" s="32">
        <v>221631</v>
      </c>
      <c r="J9" s="32">
        <f>273808+230385</f>
        <v>504193</v>
      </c>
      <c r="K9" s="32">
        <f>1123597+381393</f>
        <v>1504990</v>
      </c>
      <c r="L9" s="32">
        <f>466637+330019</f>
        <v>796656</v>
      </c>
      <c r="M9" s="174"/>
      <c r="N9" s="3"/>
    </row>
    <row r="10" spans="1:14" ht="16.5" thickBot="1">
      <c r="A10" s="39"/>
      <c r="B10" s="125">
        <v>0</v>
      </c>
      <c r="C10" s="125">
        <v>0</v>
      </c>
      <c r="D10" s="125">
        <v>0</v>
      </c>
      <c r="E10" s="125">
        <v>0</v>
      </c>
      <c r="F10" s="125">
        <v>0</v>
      </c>
      <c r="G10" s="125">
        <v>0</v>
      </c>
      <c r="H10" s="125">
        <v>0</v>
      </c>
      <c r="I10" s="125">
        <v>0</v>
      </c>
      <c r="J10" s="125">
        <v>0</v>
      </c>
      <c r="K10" s="125">
        <v>0</v>
      </c>
      <c r="L10" s="125">
        <v>0</v>
      </c>
      <c r="M10" s="195"/>
      <c r="N10" s="2"/>
    </row>
    <row r="11" spans="1:14">
      <c r="A11" s="95" t="s">
        <v>108</v>
      </c>
      <c r="B11" s="32">
        <f t="shared" ref="B11:I11" si="0">SUM(B6:B9)</f>
        <v>1589436</v>
      </c>
      <c r="C11" s="32">
        <f t="shared" si="0"/>
        <v>1341398</v>
      </c>
      <c r="D11" s="32">
        <f t="shared" si="0"/>
        <v>1438145</v>
      </c>
      <c r="E11" s="32">
        <f t="shared" si="0"/>
        <v>1497392</v>
      </c>
      <c r="F11" s="32">
        <f t="shared" si="0"/>
        <v>1892010</v>
      </c>
      <c r="G11" s="32">
        <f t="shared" si="0"/>
        <v>2410871</v>
      </c>
      <c r="H11" s="32">
        <f t="shared" si="0"/>
        <v>2297324</v>
      </c>
      <c r="I11" s="32">
        <f t="shared" si="0"/>
        <v>2325886</v>
      </c>
      <c r="J11" s="32">
        <f>SUM(J6:J9)</f>
        <v>1005163</v>
      </c>
      <c r="K11" s="32">
        <f>SUM(K6:K9)</f>
        <v>2011790</v>
      </c>
      <c r="L11" s="32">
        <f>SUM(L6:L9)</f>
        <v>1368825</v>
      </c>
      <c r="M11" s="195"/>
      <c r="N11" s="2"/>
    </row>
    <row r="12" spans="1:14">
      <c r="A12" s="2"/>
      <c r="B12" s="31"/>
      <c r="C12" s="31"/>
      <c r="D12" s="31"/>
      <c r="E12" s="31"/>
      <c r="F12" s="31"/>
      <c r="G12" s="31"/>
      <c r="H12" s="31"/>
      <c r="I12" s="31"/>
      <c r="J12" s="31"/>
      <c r="K12" s="31"/>
      <c r="L12" s="31"/>
      <c r="M12" s="195"/>
      <c r="N12" s="2"/>
    </row>
    <row r="13" spans="1:14">
      <c r="A13" s="88"/>
      <c r="B13" s="32"/>
      <c r="C13" s="32"/>
      <c r="D13" s="32"/>
      <c r="E13" s="32"/>
      <c r="F13" s="32"/>
      <c r="G13" s="32"/>
      <c r="H13" s="32"/>
      <c r="I13" s="32"/>
      <c r="J13" s="32"/>
      <c r="K13" s="32"/>
      <c r="L13" s="32"/>
      <c r="M13" s="195"/>
      <c r="N13" s="2"/>
    </row>
    <row r="14" spans="1:14" ht="18.75">
      <c r="A14" s="93" t="s">
        <v>73</v>
      </c>
      <c r="B14" s="254">
        <v>2009</v>
      </c>
      <c r="C14" s="254">
        <v>2010</v>
      </c>
      <c r="D14" s="254">
        <v>2011</v>
      </c>
      <c r="E14" s="254">
        <v>2012</v>
      </c>
      <c r="F14" s="254">
        <v>2013</v>
      </c>
      <c r="G14" s="254">
        <v>2014</v>
      </c>
      <c r="H14" s="254">
        <v>2015</v>
      </c>
      <c r="I14" s="254">
        <v>2016</v>
      </c>
      <c r="J14" s="254">
        <v>2017</v>
      </c>
      <c r="K14" s="254">
        <v>2018</v>
      </c>
      <c r="L14" s="254">
        <v>2019</v>
      </c>
      <c r="M14" s="195"/>
      <c r="N14" s="2"/>
    </row>
    <row r="15" spans="1:14">
      <c r="A15" s="10" t="s">
        <v>100</v>
      </c>
      <c r="B15" s="32">
        <v>1248068</v>
      </c>
      <c r="C15" s="32">
        <v>1133935</v>
      </c>
      <c r="D15" s="32">
        <v>1224116</v>
      </c>
      <c r="E15" s="32">
        <v>1360178</v>
      </c>
      <c r="F15" s="32">
        <v>1719180</v>
      </c>
      <c r="G15" s="32">
        <v>1922206</v>
      </c>
      <c r="H15" s="32">
        <v>1980562</v>
      </c>
      <c r="I15" s="32">
        <v>2104255</v>
      </c>
      <c r="J15" s="32">
        <v>2333239</v>
      </c>
      <c r="K15" s="32">
        <v>2590726</v>
      </c>
      <c r="L15" s="32">
        <v>2002310</v>
      </c>
      <c r="M15" s="196"/>
      <c r="N15" s="10"/>
    </row>
    <row r="16" spans="1:14">
      <c r="A16" s="96" t="s">
        <v>93</v>
      </c>
      <c r="B16" s="32">
        <v>0</v>
      </c>
      <c r="C16" s="32">
        <v>0</v>
      </c>
      <c r="D16" s="32">
        <v>0</v>
      </c>
      <c r="E16" s="32">
        <v>0</v>
      </c>
      <c r="F16" s="32">
        <v>0</v>
      </c>
      <c r="G16" s="32">
        <v>0</v>
      </c>
      <c r="H16" s="32">
        <v>0</v>
      </c>
      <c r="I16" s="32">
        <v>0</v>
      </c>
      <c r="J16" s="32">
        <v>0</v>
      </c>
      <c r="K16" s="32">
        <v>0</v>
      </c>
      <c r="L16" s="32">
        <v>0</v>
      </c>
    </row>
    <row r="17" spans="1:23">
      <c r="A17" s="94" t="s">
        <v>101</v>
      </c>
      <c r="B17" s="32">
        <v>0</v>
      </c>
      <c r="C17" s="32">
        <v>0</v>
      </c>
      <c r="D17" s="32">
        <v>0</v>
      </c>
      <c r="E17" s="32">
        <v>0</v>
      </c>
      <c r="F17" s="32">
        <v>0</v>
      </c>
      <c r="G17" s="32">
        <v>0</v>
      </c>
      <c r="H17" s="32">
        <v>0</v>
      </c>
      <c r="I17" s="32">
        <v>0</v>
      </c>
      <c r="J17" s="32">
        <v>0</v>
      </c>
      <c r="K17" s="32">
        <v>0</v>
      </c>
      <c r="L17" s="32">
        <v>0</v>
      </c>
    </row>
    <row r="18" spans="1:23">
      <c r="A18" s="73" t="s">
        <v>83</v>
      </c>
      <c r="B18" s="27">
        <v>235494</v>
      </c>
      <c r="C18" s="27">
        <v>283940</v>
      </c>
      <c r="D18" s="27">
        <v>329925</v>
      </c>
      <c r="E18" s="27">
        <v>430949</v>
      </c>
      <c r="F18" s="27">
        <v>273501</v>
      </c>
      <c r="G18" s="27">
        <v>558053</v>
      </c>
      <c r="H18" s="27">
        <v>167400</v>
      </c>
      <c r="I18" s="27">
        <v>218061</v>
      </c>
      <c r="J18" s="27">
        <v>297275</v>
      </c>
      <c r="K18" s="27">
        <v>903064</v>
      </c>
      <c r="L18" s="27">
        <v>377489</v>
      </c>
    </row>
    <row r="19" spans="1:23" ht="16.5" thickBot="1">
      <c r="A19" s="153" t="s">
        <v>157</v>
      </c>
      <c r="B19" s="69"/>
      <c r="C19" s="69"/>
      <c r="D19" s="69"/>
      <c r="E19" s="69"/>
      <c r="F19" s="69"/>
      <c r="G19" s="69"/>
      <c r="H19" s="69"/>
      <c r="I19" s="69"/>
      <c r="J19" s="69"/>
      <c r="K19" s="69"/>
      <c r="L19" s="69"/>
    </row>
    <row r="20" spans="1:23">
      <c r="A20" s="95" t="s">
        <v>119</v>
      </c>
      <c r="B20" s="27">
        <f t="shared" ref="B20:L20" si="1">SUM(B15:B18)</f>
        <v>1483562</v>
      </c>
      <c r="C20" s="27">
        <f t="shared" si="1"/>
        <v>1417875</v>
      </c>
      <c r="D20" s="27">
        <f t="shared" si="1"/>
        <v>1554041</v>
      </c>
      <c r="E20" s="27">
        <f t="shared" si="1"/>
        <v>1791127</v>
      </c>
      <c r="F20" s="27">
        <f t="shared" si="1"/>
        <v>1992681</v>
      </c>
      <c r="G20" s="27">
        <f t="shared" si="1"/>
        <v>2480259</v>
      </c>
      <c r="H20" s="27">
        <f t="shared" si="1"/>
        <v>2147962</v>
      </c>
      <c r="I20" s="27">
        <f t="shared" si="1"/>
        <v>2322316</v>
      </c>
      <c r="J20" s="27">
        <f t="shared" si="1"/>
        <v>2630514</v>
      </c>
      <c r="K20" s="27">
        <f t="shared" si="1"/>
        <v>3493790</v>
      </c>
      <c r="L20" s="27">
        <f t="shared" si="1"/>
        <v>2379799</v>
      </c>
    </row>
    <row r="21" spans="1:23">
      <c r="B21" s="19"/>
      <c r="C21" s="19"/>
      <c r="D21" s="19"/>
      <c r="E21" s="19"/>
      <c r="F21" s="19"/>
      <c r="G21" s="19"/>
      <c r="H21" s="19"/>
      <c r="I21" s="19"/>
      <c r="J21" s="19"/>
      <c r="K21" s="19"/>
      <c r="L21" s="19"/>
    </row>
    <row r="22" spans="1:23">
      <c r="A22" s="190"/>
      <c r="B22" s="190"/>
      <c r="C22" s="190"/>
      <c r="D22" s="190"/>
      <c r="E22" s="190"/>
      <c r="F22" s="190"/>
      <c r="G22" s="190"/>
      <c r="H22" s="190"/>
      <c r="I22" s="190"/>
      <c r="J22" s="190"/>
      <c r="K22" s="190"/>
      <c r="L22" s="190"/>
    </row>
    <row r="25" spans="1:23">
      <c r="B25" s="254">
        <v>2009</v>
      </c>
      <c r="C25" s="254">
        <v>2010</v>
      </c>
      <c r="D25" s="254">
        <v>2011</v>
      </c>
      <c r="E25" s="254">
        <v>2012</v>
      </c>
      <c r="F25" s="254">
        <v>2013</v>
      </c>
      <c r="G25" s="254">
        <v>2014</v>
      </c>
      <c r="H25" s="254">
        <v>2015</v>
      </c>
      <c r="I25" s="254">
        <v>2016</v>
      </c>
      <c r="J25" s="254">
        <v>2017</v>
      </c>
      <c r="K25" s="254">
        <v>2018</v>
      </c>
      <c r="L25" s="254">
        <v>2019</v>
      </c>
    </row>
    <row r="26" spans="1:23">
      <c r="A26" s="2" t="s">
        <v>203</v>
      </c>
      <c r="B26" s="8">
        <f t="shared" ref="B26:L26" si="2">+B15/B27</f>
        <v>19.759792280168455</v>
      </c>
      <c r="C26" s="8">
        <f t="shared" si="2"/>
        <v>16.739024534262349</v>
      </c>
      <c r="D26" s="8">
        <f t="shared" si="2"/>
        <v>17.802475240325183</v>
      </c>
      <c r="E26" s="8">
        <f t="shared" si="2"/>
        <v>19.615782870163397</v>
      </c>
      <c r="F26" s="8">
        <f t="shared" si="2"/>
        <v>24.430581213585334</v>
      </c>
      <c r="G26" s="8">
        <f t="shared" si="2"/>
        <v>27.063032367972742</v>
      </c>
      <c r="H26" s="8">
        <f t="shared" si="2"/>
        <v>26.975783165350041</v>
      </c>
      <c r="I26" s="8">
        <f t="shared" si="2"/>
        <v>28.288700678900316</v>
      </c>
      <c r="J26" s="8">
        <f t="shared" si="2"/>
        <v>30.765282172995782</v>
      </c>
      <c r="K26" s="8">
        <f t="shared" si="2"/>
        <v>33.531697341513294</v>
      </c>
      <c r="L26" s="8">
        <f t="shared" si="2"/>
        <v>25.352114459356798</v>
      </c>
      <c r="M26" s="173"/>
      <c r="N26" s="1"/>
    </row>
    <row r="27" spans="1:23">
      <c r="A27" s="45" t="s">
        <v>21</v>
      </c>
      <c r="B27" s="12">
        <f>Stats!D4</f>
        <v>63162</v>
      </c>
      <c r="C27" s="12">
        <f>Stats!E4</f>
        <v>67742</v>
      </c>
      <c r="D27" s="12">
        <f>Stats!F4</f>
        <v>68761</v>
      </c>
      <c r="E27" s="12">
        <f>Stats!G4</f>
        <v>69341</v>
      </c>
      <c r="F27" s="12">
        <f>Stats!H4</f>
        <v>70370</v>
      </c>
      <c r="G27" s="12">
        <f>Stats!I4</f>
        <v>71027</v>
      </c>
      <c r="H27" s="12">
        <f>Stats!J4</f>
        <v>73420</v>
      </c>
      <c r="I27" s="12">
        <f>Stats!K4</f>
        <v>74385</v>
      </c>
      <c r="J27" s="12">
        <f>Stats!L4</f>
        <v>75840</v>
      </c>
      <c r="K27" s="12">
        <f>Stats!M4</f>
        <v>77262</v>
      </c>
      <c r="L27" s="12">
        <f>Stats!N4</f>
        <v>78980</v>
      </c>
      <c r="M27" s="173"/>
      <c r="N27" s="1"/>
    </row>
    <row r="28" spans="1:23">
      <c r="B28" s="254"/>
      <c r="C28" s="254"/>
      <c r="D28" s="254"/>
      <c r="E28" s="254"/>
      <c r="F28" s="254"/>
      <c r="G28" s="254"/>
      <c r="H28" s="254"/>
      <c r="I28" s="254"/>
      <c r="J28" s="254"/>
      <c r="K28" s="254"/>
      <c r="L28" s="254"/>
      <c r="M28" s="173"/>
      <c r="N28" s="1"/>
      <c r="W28" s="250"/>
    </row>
    <row r="29" spans="1:23">
      <c r="A29" s="253" t="s">
        <v>159</v>
      </c>
      <c r="B29" s="1">
        <f t="shared" ref="B29:L29" si="3">+B15/B30</f>
        <v>99845.440000000002</v>
      </c>
      <c r="C29" s="1">
        <f t="shared" si="3"/>
        <v>92189.837398373973</v>
      </c>
      <c r="D29" s="1">
        <f t="shared" si="3"/>
        <v>99927.836734693876</v>
      </c>
      <c r="E29" s="1">
        <f t="shared" si="3"/>
        <v>109691.77419354839</v>
      </c>
      <c r="F29" s="1">
        <f t="shared" si="3"/>
        <v>132244.61538461538</v>
      </c>
      <c r="G29" s="1">
        <f t="shared" si="3"/>
        <v>147862</v>
      </c>
      <c r="H29" s="1">
        <f t="shared" si="3"/>
        <v>158318.30535571542</v>
      </c>
      <c r="I29" s="1">
        <f t="shared" si="3"/>
        <v>164266.5886026542</v>
      </c>
      <c r="J29" s="1">
        <f t="shared" si="3"/>
        <v>166659.92857142858</v>
      </c>
      <c r="K29" s="1">
        <f t="shared" si="3"/>
        <v>175642.44067796611</v>
      </c>
      <c r="L29" s="1">
        <f t="shared" si="3"/>
        <v>135749.83050847458</v>
      </c>
      <c r="M29" s="173"/>
      <c r="N29" s="1"/>
    </row>
    <row r="30" spans="1:23">
      <c r="A30" s="45" t="s">
        <v>64</v>
      </c>
      <c r="B30" s="34">
        <f>+B40</f>
        <v>12.5</v>
      </c>
      <c r="C30" s="34">
        <f t="shared" ref="C30:L30" si="4">+C40</f>
        <v>12.3</v>
      </c>
      <c r="D30" s="34">
        <f t="shared" si="4"/>
        <v>12.25</v>
      </c>
      <c r="E30" s="34">
        <f t="shared" si="4"/>
        <v>12.399999999999999</v>
      </c>
      <c r="F30" s="34">
        <f t="shared" si="4"/>
        <v>13</v>
      </c>
      <c r="G30" s="34">
        <f t="shared" si="4"/>
        <v>13</v>
      </c>
      <c r="H30" s="34">
        <f t="shared" si="4"/>
        <v>12.51</v>
      </c>
      <c r="I30" s="34">
        <f t="shared" si="4"/>
        <v>12.809999999999999</v>
      </c>
      <c r="J30" s="34">
        <f t="shared" si="4"/>
        <v>14</v>
      </c>
      <c r="K30" s="34">
        <f t="shared" si="4"/>
        <v>14.75</v>
      </c>
      <c r="L30" s="34">
        <f t="shared" si="4"/>
        <v>14.75</v>
      </c>
      <c r="M30" s="173"/>
      <c r="N30" s="1"/>
    </row>
    <row r="31" spans="1:23">
      <c r="A31" s="190"/>
      <c r="B31" s="190"/>
      <c r="C31" s="190"/>
      <c r="D31" s="190"/>
      <c r="E31" s="190"/>
      <c r="F31" s="190"/>
      <c r="G31" s="190"/>
      <c r="H31" s="190"/>
      <c r="I31" s="190"/>
      <c r="J31" s="190"/>
      <c r="K31" s="190"/>
      <c r="L31" s="190"/>
      <c r="M31" s="173"/>
      <c r="N31" s="1"/>
    </row>
    <row r="32" spans="1:23">
      <c r="A32" s="190"/>
      <c r="B32" s="190"/>
      <c r="C32" s="190"/>
      <c r="D32" s="190"/>
      <c r="E32" s="190"/>
      <c r="F32" s="190"/>
      <c r="G32" s="190"/>
      <c r="H32" s="190"/>
      <c r="I32" s="190"/>
      <c r="J32" s="190"/>
      <c r="K32" s="190"/>
      <c r="L32" s="190"/>
      <c r="M32" s="173"/>
      <c r="N32" s="1"/>
    </row>
    <row r="33" spans="1:14" ht="18.75">
      <c r="A33" s="378"/>
      <c r="B33" s="117"/>
      <c r="C33" s="117"/>
      <c r="D33" s="117"/>
      <c r="E33" s="117"/>
      <c r="F33" s="117"/>
      <c r="G33" s="117"/>
      <c r="H33" s="117"/>
      <c r="I33" s="117"/>
      <c r="J33" s="117"/>
      <c r="K33" s="117"/>
      <c r="L33" s="117"/>
      <c r="M33" s="173"/>
      <c r="N33" s="1"/>
    </row>
    <row r="34" spans="1:14">
      <c r="A34" s="366"/>
      <c r="B34" s="117"/>
      <c r="C34" s="117"/>
      <c r="D34" s="117"/>
      <c r="E34" s="117"/>
      <c r="F34" s="117"/>
      <c r="G34" s="117"/>
      <c r="H34" s="117"/>
      <c r="I34" s="117"/>
      <c r="J34" s="117"/>
      <c r="K34" s="117"/>
      <c r="L34" s="117"/>
      <c r="M34" s="173"/>
      <c r="N34" s="1"/>
    </row>
    <row r="35" spans="1:14">
      <c r="A35" s="116" t="s">
        <v>63</v>
      </c>
      <c r="B35" s="452"/>
      <c r="C35" s="452"/>
      <c r="D35" s="452"/>
      <c r="E35" s="452"/>
      <c r="F35" s="452"/>
      <c r="G35" s="452"/>
      <c r="H35" s="452"/>
      <c r="I35" s="452"/>
      <c r="J35" s="452"/>
      <c r="K35" s="452"/>
      <c r="L35" s="452"/>
      <c r="M35" s="173"/>
      <c r="N35" s="1"/>
    </row>
    <row r="36" spans="1:14">
      <c r="A36" s="453" t="s">
        <v>223</v>
      </c>
      <c r="B36" s="454">
        <v>8.25</v>
      </c>
      <c r="C36" s="454">
        <v>7.9</v>
      </c>
      <c r="D36" s="454">
        <v>7.9</v>
      </c>
      <c r="E36" s="454">
        <v>6.64</v>
      </c>
      <c r="F36" s="454">
        <v>6.82</v>
      </c>
      <c r="G36" s="454">
        <v>6.97</v>
      </c>
      <c r="H36" s="454">
        <v>7.13</v>
      </c>
      <c r="I36" s="454">
        <v>7.43</v>
      </c>
      <c r="J36" s="454">
        <v>8.6</v>
      </c>
      <c r="K36" s="454">
        <v>8.85</v>
      </c>
      <c r="L36" s="454">
        <v>8.85</v>
      </c>
      <c r="M36" s="173"/>
      <c r="N36" s="1"/>
    </row>
    <row r="37" spans="1:14">
      <c r="A37" s="453" t="s">
        <v>224</v>
      </c>
      <c r="B37" s="454">
        <v>3.5</v>
      </c>
      <c r="C37" s="454">
        <v>3.5</v>
      </c>
      <c r="D37" s="454">
        <v>3.5</v>
      </c>
      <c r="E37" s="454">
        <v>4.6399999999999997</v>
      </c>
      <c r="F37" s="454">
        <v>5.14</v>
      </c>
      <c r="G37" s="454">
        <v>5.19</v>
      </c>
      <c r="H37" s="454">
        <v>4.54</v>
      </c>
      <c r="I37" s="454">
        <v>4.54</v>
      </c>
      <c r="J37" s="454">
        <v>4.5999999999999996</v>
      </c>
      <c r="K37" s="454">
        <v>4.8499999999999996</v>
      </c>
      <c r="L37" s="454">
        <v>4.8499999999999996</v>
      </c>
      <c r="M37" s="173"/>
      <c r="N37" s="1"/>
    </row>
    <row r="38" spans="1:14">
      <c r="A38" s="453"/>
      <c r="B38" s="454">
        <v>0</v>
      </c>
      <c r="C38" s="454">
        <v>0</v>
      </c>
      <c r="D38" s="454">
        <v>0</v>
      </c>
      <c r="E38" s="454">
        <v>0</v>
      </c>
      <c r="F38" s="454">
        <v>0</v>
      </c>
      <c r="G38" s="454">
        <v>0</v>
      </c>
      <c r="H38" s="454">
        <v>0</v>
      </c>
      <c r="I38" s="454">
        <v>0</v>
      </c>
      <c r="J38" s="454">
        <v>0</v>
      </c>
      <c r="K38" s="454">
        <v>0</v>
      </c>
      <c r="L38" s="454">
        <v>0</v>
      </c>
      <c r="M38" s="173"/>
      <c r="N38" s="1"/>
    </row>
    <row r="39" spans="1:14" ht="16.5" thickBot="1">
      <c r="A39" s="453" t="s">
        <v>225</v>
      </c>
      <c r="B39" s="455">
        <v>0.75</v>
      </c>
      <c r="C39" s="455">
        <v>0.9</v>
      </c>
      <c r="D39" s="455">
        <v>0.85</v>
      </c>
      <c r="E39" s="455">
        <v>1.1200000000000001</v>
      </c>
      <c r="F39" s="455">
        <v>1.04</v>
      </c>
      <c r="G39" s="455">
        <v>0.84</v>
      </c>
      <c r="H39" s="455">
        <v>0.84</v>
      </c>
      <c r="I39" s="455">
        <v>0.84</v>
      </c>
      <c r="J39" s="455">
        <v>0.8</v>
      </c>
      <c r="K39" s="455">
        <v>1.05</v>
      </c>
      <c r="L39" s="455">
        <v>1.05</v>
      </c>
      <c r="M39" s="173"/>
      <c r="N39" s="1"/>
    </row>
    <row r="40" spans="1:14">
      <c r="A40" s="209" t="s">
        <v>64</v>
      </c>
      <c r="B40" s="54">
        <f t="shared" ref="B40:L40" si="5">SUM(B36:B39)</f>
        <v>12.5</v>
      </c>
      <c r="C40" s="54">
        <f t="shared" si="5"/>
        <v>12.3</v>
      </c>
      <c r="D40" s="54">
        <f t="shared" si="5"/>
        <v>12.25</v>
      </c>
      <c r="E40" s="54">
        <f t="shared" si="5"/>
        <v>12.399999999999999</v>
      </c>
      <c r="F40" s="54">
        <f t="shared" si="5"/>
        <v>13</v>
      </c>
      <c r="G40" s="54">
        <f t="shared" si="5"/>
        <v>13</v>
      </c>
      <c r="H40" s="54">
        <f t="shared" si="5"/>
        <v>12.51</v>
      </c>
      <c r="I40" s="54">
        <f t="shared" si="5"/>
        <v>12.809999999999999</v>
      </c>
      <c r="J40" s="54">
        <f t="shared" si="5"/>
        <v>14</v>
      </c>
      <c r="K40" s="54">
        <f t="shared" si="5"/>
        <v>14.75</v>
      </c>
      <c r="L40" s="54">
        <f t="shared" si="5"/>
        <v>14.75</v>
      </c>
      <c r="M40" s="173"/>
      <c r="N40" s="1"/>
    </row>
    <row r="41" spans="1:14">
      <c r="A41" s="77" t="s">
        <v>72</v>
      </c>
      <c r="B41" s="452"/>
      <c r="C41" s="456">
        <f>C40/B40</f>
        <v>0.9840000000000001</v>
      </c>
      <c r="D41" s="456">
        <f t="shared" ref="D41:L41" si="6">D40/C40</f>
        <v>0.99593495934959342</v>
      </c>
      <c r="E41" s="456">
        <f t="shared" si="6"/>
        <v>1.0122448979591836</v>
      </c>
      <c r="F41" s="456">
        <f t="shared" si="6"/>
        <v>1.0483870967741937</v>
      </c>
      <c r="G41" s="456">
        <f t="shared" si="6"/>
        <v>1</v>
      </c>
      <c r="H41" s="456">
        <f t="shared" si="6"/>
        <v>0.96230769230769231</v>
      </c>
      <c r="I41" s="456">
        <f t="shared" si="6"/>
        <v>1.0239808153477217</v>
      </c>
      <c r="J41" s="456">
        <f t="shared" si="6"/>
        <v>1.0928961748633881</v>
      </c>
      <c r="K41" s="456">
        <f t="shared" si="6"/>
        <v>1.0535714285714286</v>
      </c>
      <c r="L41" s="456">
        <f t="shared" si="6"/>
        <v>1</v>
      </c>
      <c r="M41" s="173"/>
      <c r="N41" s="1"/>
    </row>
    <row r="42" spans="1:14">
      <c r="A42" s="163"/>
      <c r="B42" s="117"/>
      <c r="C42" s="117"/>
      <c r="D42" s="117"/>
      <c r="E42" s="117"/>
      <c r="F42" s="117"/>
      <c r="G42" s="117"/>
      <c r="H42" s="117"/>
      <c r="I42" s="117"/>
      <c r="J42" s="117"/>
      <c r="K42" s="117"/>
      <c r="L42" s="117"/>
      <c r="M42" s="173"/>
      <c r="N42" s="1"/>
    </row>
    <row r="43" spans="1:14">
      <c r="A43" s="357"/>
      <c r="B43" s="117"/>
      <c r="C43" s="117"/>
      <c r="D43" s="117"/>
      <c r="E43" s="117"/>
      <c r="F43" s="117"/>
      <c r="G43" s="117"/>
      <c r="H43" s="117"/>
      <c r="I43" s="117"/>
      <c r="J43" s="117"/>
      <c r="K43" s="117"/>
      <c r="L43" s="117"/>
      <c r="M43" s="173"/>
      <c r="N43" s="1"/>
    </row>
    <row r="44" spans="1:14">
      <c r="A44" s="359"/>
      <c r="B44" s="117"/>
      <c r="C44" s="117"/>
      <c r="D44" s="117"/>
      <c r="E44" s="117"/>
      <c r="F44" s="117"/>
      <c r="G44" s="117"/>
      <c r="H44" s="117"/>
      <c r="I44" s="117"/>
      <c r="J44" s="117"/>
      <c r="K44" s="117"/>
      <c r="L44" s="117"/>
      <c r="M44" s="173"/>
      <c r="N44" s="1"/>
    </row>
    <row r="45" spans="1:14">
      <c r="A45" s="359"/>
      <c r="B45" s="117"/>
      <c r="C45" s="117"/>
      <c r="D45" s="117"/>
      <c r="E45" s="117"/>
      <c r="F45" s="117"/>
      <c r="G45" s="117"/>
      <c r="H45" s="117"/>
      <c r="I45" s="117"/>
      <c r="J45" s="117"/>
      <c r="K45" s="117"/>
      <c r="L45" s="117"/>
      <c r="M45" s="173"/>
      <c r="N45" s="1"/>
    </row>
    <row r="46" spans="1:14">
      <c r="A46" s="163"/>
      <c r="B46" s="117"/>
      <c r="C46" s="117"/>
      <c r="D46" s="117"/>
      <c r="E46" s="117"/>
      <c r="F46" s="117"/>
      <c r="G46" s="117"/>
      <c r="H46" s="117"/>
      <c r="I46" s="117"/>
      <c r="J46" s="117"/>
      <c r="K46" s="117"/>
      <c r="L46" s="117"/>
      <c r="M46" s="173"/>
      <c r="N46" s="1"/>
    </row>
    <row r="47" spans="1:14">
      <c r="A47" s="357"/>
      <c r="B47" s="117"/>
      <c r="C47" s="117"/>
      <c r="D47" s="117"/>
      <c r="E47" s="117"/>
      <c r="F47" s="117"/>
      <c r="G47" s="117"/>
      <c r="H47" s="117"/>
      <c r="I47" s="117"/>
      <c r="J47" s="117"/>
      <c r="K47" s="117"/>
      <c r="L47" s="117"/>
      <c r="M47" s="173"/>
      <c r="N47" s="1"/>
    </row>
    <row r="48" spans="1:14">
      <c r="A48" s="363"/>
      <c r="B48" s="117"/>
      <c r="C48" s="339"/>
      <c r="D48" s="339"/>
      <c r="E48" s="339"/>
      <c r="F48" s="339"/>
      <c r="G48" s="339"/>
      <c r="H48" s="339"/>
      <c r="I48" s="339"/>
      <c r="J48" s="339"/>
      <c r="K48" s="339"/>
      <c r="L48" s="339"/>
      <c r="M48" s="173"/>
      <c r="N48" s="1"/>
    </row>
    <row r="49" spans="1:14">
      <c r="A49" s="368"/>
      <c r="B49" s="117"/>
      <c r="C49" s="117"/>
      <c r="D49" s="117"/>
      <c r="E49" s="117"/>
      <c r="F49" s="117"/>
      <c r="G49" s="117"/>
      <c r="H49" s="117"/>
      <c r="I49" s="117"/>
      <c r="J49" s="117"/>
      <c r="K49" s="117"/>
      <c r="L49" s="339"/>
      <c r="M49" s="173"/>
      <c r="N49" s="1"/>
    </row>
    <row r="50" spans="1:14">
      <c r="A50" s="368"/>
      <c r="B50" s="117"/>
      <c r="C50" s="117"/>
      <c r="D50" s="117"/>
      <c r="E50" s="117"/>
      <c r="F50" s="117"/>
      <c r="G50" s="117"/>
      <c r="H50" s="117"/>
      <c r="I50" s="117"/>
      <c r="J50" s="117"/>
      <c r="K50" s="117"/>
      <c r="L50" s="339"/>
      <c r="M50" s="173"/>
      <c r="N50" s="1"/>
    </row>
    <row r="51" spans="1:14">
      <c r="A51" s="371"/>
      <c r="B51" s="144"/>
      <c r="C51" s="144"/>
      <c r="D51" s="144"/>
      <c r="E51" s="144"/>
      <c r="F51" s="144"/>
      <c r="G51" s="144"/>
      <c r="H51" s="144"/>
      <c r="I51" s="144"/>
      <c r="J51" s="144"/>
      <c r="K51" s="144"/>
      <c r="L51" s="144"/>
      <c r="M51" s="173"/>
      <c r="N51" s="1"/>
    </row>
    <row r="52" spans="1:14">
      <c r="A52" s="163"/>
      <c r="B52" s="163"/>
      <c r="C52" s="163"/>
      <c r="D52" s="163"/>
      <c r="E52" s="163"/>
      <c r="F52" s="163"/>
      <c r="G52" s="163"/>
      <c r="H52" s="163"/>
      <c r="I52" s="163"/>
      <c r="J52" s="163"/>
      <c r="K52" s="163"/>
      <c r="L52" s="163"/>
      <c r="M52" s="173"/>
      <c r="N52" s="1"/>
    </row>
    <row r="53" spans="1:14">
      <c r="A53" s="356"/>
      <c r="B53" s="145"/>
      <c r="C53" s="145"/>
      <c r="D53" s="145"/>
      <c r="E53" s="145"/>
      <c r="F53" s="145"/>
      <c r="G53" s="145"/>
      <c r="H53" s="145"/>
      <c r="I53" s="145"/>
      <c r="J53" s="145"/>
      <c r="K53" s="145"/>
      <c r="L53" s="145"/>
    </row>
    <row r="54" spans="1:14">
      <c r="A54" s="356"/>
      <c r="B54" s="373"/>
      <c r="C54" s="373"/>
      <c r="D54" s="373"/>
      <c r="E54" s="373"/>
      <c r="F54" s="373"/>
      <c r="G54" s="373"/>
      <c r="H54" s="373"/>
      <c r="I54" s="373"/>
      <c r="J54" s="373"/>
      <c r="K54" s="373"/>
      <c r="L54" s="373"/>
      <c r="M54" s="173"/>
      <c r="N54" s="1"/>
    </row>
    <row r="55" spans="1:14">
      <c r="A55" s="356"/>
      <c r="B55" s="145"/>
      <c r="C55" s="145"/>
      <c r="D55" s="145"/>
      <c r="E55" s="145"/>
      <c r="F55" s="145"/>
      <c r="G55" s="145"/>
      <c r="H55" s="145"/>
      <c r="I55" s="145"/>
      <c r="J55" s="145"/>
      <c r="K55" s="145"/>
      <c r="L55" s="145"/>
      <c r="M55" s="173"/>
      <c r="N55" s="1"/>
    </row>
    <row r="56" spans="1:14">
      <c r="A56" s="356"/>
      <c r="B56" s="117"/>
      <c r="C56" s="117"/>
      <c r="D56" s="117"/>
      <c r="E56" s="117"/>
      <c r="F56" s="117"/>
      <c r="G56" s="117"/>
      <c r="H56" s="117"/>
      <c r="I56" s="117"/>
      <c r="J56" s="117"/>
      <c r="K56" s="117"/>
      <c r="L56" s="117"/>
      <c r="M56" s="173"/>
      <c r="N56" s="1"/>
    </row>
    <row r="57" spans="1:14">
      <c r="A57" s="368"/>
      <c r="B57" s="117"/>
      <c r="C57" s="117"/>
      <c r="D57" s="117"/>
      <c r="E57" s="117"/>
      <c r="F57" s="117"/>
      <c r="G57" s="117"/>
      <c r="H57" s="117"/>
      <c r="I57" s="117"/>
      <c r="J57" s="117"/>
      <c r="K57" s="117"/>
      <c r="L57" s="339"/>
      <c r="M57" s="173"/>
      <c r="N57" s="1"/>
    </row>
    <row r="58" spans="1:14">
      <c r="A58" s="163"/>
      <c r="B58" s="163"/>
      <c r="C58" s="163"/>
      <c r="D58" s="163"/>
      <c r="E58" s="163"/>
      <c r="F58" s="163"/>
      <c r="G58" s="163"/>
      <c r="H58" s="163"/>
      <c r="I58" s="163"/>
      <c r="J58" s="163"/>
      <c r="K58" s="163"/>
      <c r="L58" s="163"/>
      <c r="M58" s="173"/>
      <c r="N58" s="1"/>
    </row>
    <row r="59" spans="1:14">
      <c r="A59" s="357"/>
      <c r="B59" s="163"/>
      <c r="C59" s="163"/>
      <c r="D59" s="163"/>
      <c r="E59" s="163"/>
      <c r="F59" s="163"/>
      <c r="G59" s="163"/>
      <c r="H59" s="163"/>
      <c r="I59" s="163"/>
      <c r="J59" s="163"/>
      <c r="K59" s="163"/>
      <c r="L59" s="163"/>
      <c r="M59" s="173"/>
      <c r="N59" s="1"/>
    </row>
    <row r="60" spans="1:14">
      <c r="A60" s="357"/>
      <c r="B60" s="117"/>
      <c r="C60" s="117"/>
      <c r="D60" s="117"/>
      <c r="E60" s="117"/>
      <c r="F60" s="117"/>
      <c r="G60" s="117"/>
      <c r="H60" s="117"/>
      <c r="I60" s="117"/>
      <c r="J60" s="117"/>
      <c r="K60" s="117"/>
      <c r="L60" s="117"/>
    </row>
    <row r="61" spans="1:14">
      <c r="A61" s="357"/>
      <c r="B61" s="358"/>
      <c r="C61" s="358"/>
      <c r="D61" s="358"/>
      <c r="E61" s="358"/>
      <c r="F61" s="358"/>
      <c r="G61" s="358"/>
      <c r="H61" s="358"/>
      <c r="I61" s="358"/>
      <c r="J61" s="358"/>
      <c r="K61" s="358"/>
      <c r="L61" s="358"/>
      <c r="M61" s="173"/>
      <c r="N61" s="1"/>
    </row>
    <row r="62" spans="1:14">
      <c r="A62" s="359"/>
      <c r="B62" s="360"/>
      <c r="C62" s="360"/>
      <c r="D62" s="360"/>
      <c r="E62" s="360"/>
      <c r="F62" s="360"/>
      <c r="G62" s="360"/>
      <c r="H62" s="360"/>
      <c r="I62" s="360"/>
      <c r="J62" s="360"/>
      <c r="K62" s="360"/>
      <c r="L62" s="360"/>
      <c r="M62" s="173"/>
      <c r="N62" s="1"/>
    </row>
    <row r="63" spans="1:14">
      <c r="A63" s="359"/>
      <c r="B63" s="360"/>
      <c r="C63" s="360"/>
      <c r="D63" s="360"/>
      <c r="E63" s="360"/>
      <c r="F63" s="360"/>
      <c r="G63" s="360"/>
      <c r="H63" s="360"/>
      <c r="I63" s="360"/>
      <c r="J63" s="360"/>
      <c r="K63" s="360"/>
      <c r="L63" s="360"/>
      <c r="M63" s="173"/>
      <c r="N63" s="1"/>
    </row>
    <row r="64" spans="1:14">
      <c r="A64" s="359"/>
      <c r="B64" s="360"/>
      <c r="C64" s="360"/>
      <c r="D64" s="360"/>
      <c r="E64" s="360"/>
      <c r="F64" s="360"/>
      <c r="G64" s="360"/>
      <c r="H64" s="360"/>
      <c r="I64" s="360"/>
      <c r="J64" s="360"/>
      <c r="K64" s="360"/>
      <c r="L64" s="360"/>
      <c r="M64" s="173"/>
      <c r="N64" s="1"/>
    </row>
    <row r="65" spans="1:14">
      <c r="A65" s="359"/>
      <c r="B65" s="360"/>
      <c r="C65" s="360"/>
      <c r="D65" s="360"/>
      <c r="E65" s="360"/>
      <c r="F65" s="360"/>
      <c r="G65" s="360"/>
      <c r="H65" s="360"/>
      <c r="I65" s="360"/>
      <c r="J65" s="360"/>
      <c r="K65" s="360"/>
      <c r="L65" s="360"/>
      <c r="M65" s="173"/>
      <c r="N65" s="1"/>
    </row>
    <row r="66" spans="1:14">
      <c r="A66" s="163"/>
      <c r="B66" s="163"/>
      <c r="C66" s="163"/>
      <c r="D66" s="163"/>
      <c r="E66" s="163"/>
      <c r="F66" s="163"/>
      <c r="G66" s="163"/>
      <c r="H66" s="163"/>
      <c r="I66" s="163"/>
      <c r="J66" s="163"/>
      <c r="K66" s="163"/>
      <c r="L66" s="163"/>
      <c r="M66" s="173"/>
      <c r="N66" s="1"/>
    </row>
    <row r="67" spans="1:14" s="17" customFormat="1">
      <c r="A67" s="363"/>
      <c r="B67" s="358"/>
      <c r="C67" s="237"/>
      <c r="D67" s="237"/>
      <c r="E67" s="237"/>
      <c r="F67" s="237"/>
      <c r="G67" s="237"/>
      <c r="H67" s="237"/>
      <c r="I67" s="237"/>
      <c r="J67" s="237"/>
      <c r="K67" s="237"/>
      <c r="L67" s="237"/>
      <c r="M67" s="197"/>
      <c r="N67" s="33"/>
    </row>
    <row r="68" spans="1:14">
      <c r="A68" s="242"/>
      <c r="B68" s="358"/>
      <c r="C68" s="237"/>
      <c r="D68" s="237"/>
      <c r="E68" s="237"/>
      <c r="F68" s="237"/>
      <c r="G68" s="237"/>
      <c r="H68" s="237"/>
      <c r="I68" s="237"/>
      <c r="J68" s="237"/>
      <c r="K68" s="237"/>
      <c r="L68" s="237"/>
      <c r="M68" s="27"/>
      <c r="N68" s="1"/>
    </row>
    <row r="69" spans="1:14">
      <c r="A69" s="163"/>
      <c r="B69" s="117"/>
      <c r="C69" s="117"/>
      <c r="D69" s="117"/>
      <c r="E69" s="117"/>
      <c r="F69" s="117"/>
      <c r="G69" s="117"/>
      <c r="H69" s="117"/>
      <c r="I69" s="117"/>
      <c r="J69" s="117"/>
      <c r="K69" s="117"/>
      <c r="L69" s="117"/>
      <c r="M69" s="27"/>
      <c r="N69" s="1"/>
    </row>
    <row r="70" spans="1:14" ht="18.75">
      <c r="A70" s="364"/>
      <c r="B70" s="117"/>
      <c r="C70" s="117"/>
      <c r="D70" s="117"/>
      <c r="E70" s="117"/>
      <c r="F70" s="117"/>
      <c r="G70" s="117"/>
      <c r="H70" s="117"/>
      <c r="I70" s="117"/>
      <c r="J70" s="117"/>
      <c r="K70" s="117"/>
      <c r="L70" s="117"/>
      <c r="M70" s="27"/>
      <c r="N70" s="1"/>
    </row>
    <row r="71" spans="1:14">
      <c r="A71" s="165"/>
      <c r="B71" s="365"/>
      <c r="C71" s="365"/>
      <c r="D71" s="365"/>
      <c r="E71" s="365"/>
      <c r="F71" s="365"/>
      <c r="G71" s="365"/>
      <c r="H71" s="365"/>
      <c r="I71" s="365"/>
      <c r="J71" s="365"/>
      <c r="K71" s="365"/>
      <c r="L71" s="365"/>
      <c r="M71" s="27"/>
      <c r="N71" s="1"/>
    </row>
    <row r="72" spans="1:14">
      <c r="A72" s="163"/>
      <c r="B72" s="117"/>
      <c r="C72" s="117"/>
      <c r="D72" s="117"/>
      <c r="E72" s="117"/>
      <c r="F72" s="117"/>
      <c r="G72" s="117"/>
      <c r="H72" s="117"/>
      <c r="I72" s="117"/>
      <c r="J72" s="117"/>
      <c r="K72" s="117"/>
      <c r="L72" s="117"/>
      <c r="M72" s="27"/>
      <c r="N72" s="1"/>
    </row>
    <row r="73" spans="1:14">
      <c r="A73" s="163"/>
      <c r="B73" s="117"/>
      <c r="C73" s="117"/>
      <c r="D73" s="117"/>
      <c r="E73" s="117"/>
      <c r="F73" s="117"/>
      <c r="G73" s="117"/>
      <c r="H73" s="117"/>
      <c r="I73" s="117"/>
      <c r="J73" s="117"/>
      <c r="K73" s="117"/>
      <c r="L73" s="117"/>
      <c r="M73" s="27"/>
      <c r="N73" s="1"/>
    </row>
    <row r="74" spans="1:14">
      <c r="A74" s="359"/>
      <c r="B74" s="117"/>
      <c r="C74" s="117"/>
      <c r="D74" s="117"/>
      <c r="E74" s="117"/>
      <c r="F74" s="117"/>
      <c r="G74" s="117"/>
      <c r="H74" s="117"/>
      <c r="I74" s="117"/>
      <c r="J74" s="117"/>
      <c r="K74" s="117"/>
      <c r="L74" s="117"/>
      <c r="M74" s="27"/>
      <c r="N74" s="1"/>
    </row>
    <row r="75" spans="1:14">
      <c r="A75" s="359"/>
      <c r="B75" s="117"/>
      <c r="C75" s="117"/>
      <c r="D75" s="117"/>
      <c r="E75" s="117"/>
      <c r="F75" s="117"/>
      <c r="G75" s="117"/>
      <c r="H75" s="117"/>
      <c r="I75" s="117"/>
      <c r="J75" s="117"/>
      <c r="K75" s="117"/>
      <c r="L75" s="117"/>
      <c r="M75" s="27"/>
      <c r="N75" s="1"/>
    </row>
    <row r="76" spans="1:14">
      <c r="A76" s="359"/>
      <c r="B76" s="117"/>
      <c r="C76" s="117"/>
      <c r="D76" s="117"/>
      <c r="E76" s="117"/>
      <c r="F76" s="117"/>
      <c r="G76" s="117"/>
      <c r="H76" s="117"/>
      <c r="I76" s="117"/>
      <c r="J76" s="117"/>
      <c r="K76" s="117"/>
      <c r="L76" s="117"/>
      <c r="M76" s="27"/>
      <c r="N76" s="1"/>
    </row>
    <row r="77" spans="1:14">
      <c r="A77" s="359"/>
      <c r="B77" s="117"/>
      <c r="C77" s="117"/>
      <c r="D77" s="117"/>
      <c r="E77" s="117"/>
      <c r="F77" s="117"/>
      <c r="G77" s="117"/>
      <c r="H77" s="117"/>
      <c r="I77" s="117"/>
      <c r="J77" s="117"/>
      <c r="K77" s="117"/>
      <c r="L77" s="117"/>
      <c r="M77" s="27"/>
      <c r="N77" s="1"/>
    </row>
    <row r="78" spans="1:14">
      <c r="A78" s="357"/>
      <c r="B78" s="117"/>
      <c r="C78" s="117"/>
      <c r="D78" s="117"/>
      <c r="E78" s="117"/>
      <c r="F78" s="117"/>
      <c r="G78" s="117"/>
      <c r="H78" s="117"/>
      <c r="I78" s="117"/>
      <c r="J78" s="117"/>
      <c r="K78" s="117"/>
      <c r="L78" s="117"/>
      <c r="M78" s="27"/>
      <c r="N78" s="1"/>
    </row>
    <row r="79" spans="1:14">
      <c r="A79" s="163"/>
      <c r="B79" s="117"/>
      <c r="C79" s="117"/>
      <c r="D79" s="117"/>
      <c r="E79" s="117"/>
      <c r="F79" s="117"/>
      <c r="G79" s="117"/>
      <c r="H79" s="117"/>
      <c r="I79" s="117"/>
      <c r="J79" s="117"/>
      <c r="K79" s="117"/>
      <c r="L79" s="117"/>
      <c r="M79" s="27"/>
      <c r="N79" s="1"/>
    </row>
    <row r="80" spans="1:14">
      <c r="A80" s="163"/>
      <c r="B80" s="117"/>
      <c r="C80" s="117"/>
      <c r="D80" s="117"/>
      <c r="E80" s="117"/>
      <c r="F80" s="117"/>
      <c r="G80" s="117"/>
      <c r="H80" s="117"/>
      <c r="I80" s="117"/>
      <c r="J80" s="117"/>
      <c r="K80" s="117"/>
      <c r="L80" s="117"/>
      <c r="M80" s="27"/>
      <c r="N80" s="1"/>
    </row>
    <row r="81" spans="1:14">
      <c r="A81" s="163"/>
      <c r="B81" s="159"/>
      <c r="C81" s="159"/>
      <c r="D81" s="159"/>
      <c r="E81" s="159"/>
      <c r="F81" s="159"/>
      <c r="G81" s="159"/>
      <c r="H81" s="159"/>
      <c r="I81" s="159"/>
      <c r="J81" s="159"/>
      <c r="K81" s="159"/>
      <c r="L81" s="159"/>
      <c r="M81" s="27"/>
      <c r="N81" s="1"/>
    </row>
    <row r="82" spans="1:14">
      <c r="A82" s="163"/>
      <c r="B82" s="159"/>
      <c r="C82" s="159"/>
      <c r="D82" s="159"/>
      <c r="E82" s="159"/>
      <c r="F82" s="159"/>
      <c r="G82" s="159"/>
      <c r="H82" s="159"/>
      <c r="I82" s="159"/>
      <c r="J82" s="159"/>
      <c r="K82" s="159"/>
      <c r="L82" s="159"/>
      <c r="M82" s="27"/>
      <c r="N82" s="1"/>
    </row>
    <row r="83" spans="1:14">
      <c r="A83" s="163"/>
      <c r="B83" s="163"/>
      <c r="C83" s="163"/>
      <c r="D83" s="163"/>
      <c r="E83" s="163"/>
      <c r="F83" s="163"/>
      <c r="G83" s="163"/>
      <c r="H83" s="163"/>
      <c r="I83" s="163"/>
      <c r="J83" s="163"/>
      <c r="K83" s="163"/>
      <c r="L83" s="163"/>
      <c r="M83" s="27"/>
      <c r="N83" s="1"/>
    </row>
    <row r="84" spans="1:14">
      <c r="A84" s="163"/>
      <c r="B84" s="163"/>
      <c r="C84" s="163"/>
      <c r="D84" s="163"/>
      <c r="E84" s="163"/>
      <c r="F84" s="163"/>
      <c r="G84" s="163"/>
      <c r="H84" s="163"/>
      <c r="I84" s="163"/>
      <c r="J84" s="163"/>
      <c r="K84" s="163"/>
      <c r="L84" s="163"/>
      <c r="M84" s="19"/>
    </row>
    <row r="85" spans="1:14">
      <c r="A85" s="163"/>
      <c r="B85" s="163"/>
      <c r="C85" s="163"/>
      <c r="D85" s="163"/>
      <c r="E85" s="163"/>
      <c r="F85" s="163"/>
      <c r="G85" s="163"/>
      <c r="H85" s="163"/>
      <c r="I85" s="163"/>
      <c r="J85" s="163"/>
      <c r="K85" s="163"/>
      <c r="L85" s="163"/>
      <c r="M85" s="19"/>
    </row>
    <row r="86" spans="1:14">
      <c r="A86" s="163"/>
      <c r="B86" s="163"/>
      <c r="C86" s="163"/>
      <c r="D86" s="163"/>
      <c r="E86" s="163"/>
      <c r="F86" s="163"/>
      <c r="G86" s="163"/>
      <c r="H86" s="163"/>
      <c r="I86" s="163"/>
      <c r="J86" s="163"/>
      <c r="K86" s="163"/>
      <c r="L86" s="163"/>
      <c r="M86" s="19"/>
    </row>
    <row r="87" spans="1:14">
      <c r="A87" s="163"/>
      <c r="B87" s="163"/>
      <c r="C87" s="163"/>
      <c r="D87" s="163"/>
      <c r="E87" s="163"/>
      <c r="F87" s="163"/>
      <c r="G87" s="163"/>
      <c r="H87" s="163"/>
      <c r="I87" s="163"/>
      <c r="J87" s="163"/>
      <c r="K87" s="163"/>
      <c r="L87" s="163"/>
      <c r="M87" s="19"/>
    </row>
    <row r="88" spans="1:14">
      <c r="A88" s="165"/>
      <c r="B88" s="373"/>
      <c r="C88" s="373"/>
      <c r="D88" s="373"/>
      <c r="E88" s="373"/>
      <c r="F88" s="373"/>
      <c r="G88" s="373"/>
      <c r="H88" s="373"/>
      <c r="I88" s="373"/>
      <c r="J88" s="373"/>
      <c r="K88" s="373"/>
      <c r="L88" s="373"/>
      <c r="M88" s="19"/>
    </row>
    <row r="89" spans="1:14">
      <c r="A89" s="163"/>
      <c r="B89" s="163"/>
      <c r="C89" s="163"/>
      <c r="D89" s="163"/>
      <c r="E89" s="163"/>
      <c r="F89" s="163"/>
      <c r="G89" s="163"/>
      <c r="H89" s="163"/>
      <c r="I89" s="163"/>
      <c r="J89" s="379"/>
      <c r="K89" s="379"/>
      <c r="L89" s="379"/>
      <c r="M89" s="19"/>
    </row>
    <row r="90" spans="1:14">
      <c r="A90" s="165"/>
      <c r="B90" s="165"/>
      <c r="C90" s="165"/>
      <c r="D90" s="165"/>
      <c r="E90" s="165"/>
      <c r="F90" s="165"/>
      <c r="G90" s="165"/>
      <c r="H90" s="165"/>
      <c r="I90" s="165"/>
      <c r="J90" s="163"/>
      <c r="K90" s="163"/>
      <c r="L90" s="163"/>
      <c r="M90" s="19"/>
    </row>
    <row r="91" spans="1:14">
      <c r="A91" s="165"/>
      <c r="B91" s="117"/>
      <c r="C91" s="117"/>
      <c r="D91" s="117"/>
      <c r="E91" s="117"/>
      <c r="F91" s="117"/>
      <c r="G91" s="117"/>
      <c r="H91" s="117"/>
      <c r="I91" s="117"/>
      <c r="J91" s="117"/>
      <c r="K91" s="117"/>
      <c r="L91" s="117"/>
      <c r="M91" s="19"/>
    </row>
    <row r="92" spans="1:14">
      <c r="A92" s="163"/>
      <c r="B92" s="339"/>
      <c r="C92" s="339"/>
      <c r="D92" s="339"/>
      <c r="E92" s="339"/>
      <c r="F92" s="339"/>
      <c r="G92" s="339"/>
      <c r="H92" s="339"/>
      <c r="I92" s="339"/>
      <c r="J92" s="339"/>
      <c r="K92" s="339"/>
      <c r="L92" s="339"/>
      <c r="M92" s="19"/>
    </row>
    <row r="93" spans="1:14">
      <c r="A93" s="163"/>
      <c r="B93" s="163"/>
      <c r="C93" s="163"/>
      <c r="D93" s="163"/>
      <c r="E93" s="163"/>
      <c r="F93" s="163"/>
      <c r="G93" s="163"/>
      <c r="H93" s="163"/>
      <c r="I93" s="163"/>
      <c r="J93" s="163"/>
      <c r="K93" s="163"/>
      <c r="L93" s="163"/>
      <c r="M93" s="19"/>
    </row>
    <row r="94" spans="1:14">
      <c r="A94" s="163"/>
      <c r="B94" s="163"/>
      <c r="C94" s="163"/>
      <c r="D94" s="163"/>
      <c r="E94" s="163"/>
      <c r="F94" s="163"/>
      <c r="G94" s="163"/>
      <c r="H94" s="163"/>
      <c r="I94" s="163"/>
      <c r="J94" s="163"/>
      <c r="K94" s="163"/>
      <c r="L94" s="163"/>
      <c r="M94" s="19"/>
    </row>
    <row r="95" spans="1:14">
      <c r="A95" s="163"/>
      <c r="B95" s="163"/>
      <c r="C95" s="163"/>
      <c r="D95" s="163"/>
      <c r="E95" s="163"/>
      <c r="F95" s="163"/>
      <c r="G95" s="163"/>
      <c r="H95" s="163"/>
      <c r="I95" s="163"/>
      <c r="J95" s="163"/>
      <c r="K95" s="163"/>
      <c r="L95" s="163"/>
      <c r="M95" s="19"/>
    </row>
    <row r="96" spans="1:14">
      <c r="A96" s="163"/>
      <c r="B96" s="380"/>
      <c r="C96" s="380"/>
      <c r="D96" s="380"/>
      <c r="E96" s="380"/>
      <c r="F96" s="380"/>
      <c r="G96" s="380"/>
      <c r="H96" s="380"/>
      <c r="I96" s="380"/>
      <c r="J96" s="380"/>
      <c r="K96" s="380"/>
      <c r="L96" s="380"/>
      <c r="M96" s="19"/>
    </row>
    <row r="97" spans="1:13">
      <c r="A97" s="163"/>
      <c r="B97" s="373"/>
      <c r="C97" s="373"/>
      <c r="D97" s="373"/>
      <c r="E97" s="373"/>
      <c r="F97" s="373"/>
      <c r="G97" s="373"/>
      <c r="H97" s="373"/>
      <c r="I97" s="373"/>
      <c r="J97" s="373"/>
      <c r="K97" s="373"/>
      <c r="L97" s="373"/>
      <c r="M97" s="19"/>
    </row>
    <row r="98" spans="1:13">
      <c r="A98" s="163"/>
      <c r="B98" s="163"/>
      <c r="C98" s="163"/>
      <c r="D98" s="163"/>
      <c r="E98" s="163"/>
      <c r="F98" s="163"/>
      <c r="G98" s="163"/>
      <c r="H98" s="163"/>
      <c r="I98" s="163"/>
      <c r="J98" s="163"/>
      <c r="K98" s="163"/>
      <c r="L98" s="163"/>
      <c r="M98" s="19"/>
    </row>
    <row r="99" spans="1:13">
      <c r="A99" s="163"/>
      <c r="B99" s="163"/>
      <c r="C99" s="163"/>
      <c r="D99" s="163"/>
      <c r="E99" s="163"/>
      <c r="F99" s="163"/>
      <c r="G99" s="163"/>
      <c r="H99" s="163"/>
      <c r="I99" s="163"/>
      <c r="J99" s="163"/>
      <c r="K99" s="163"/>
      <c r="L99" s="163"/>
      <c r="M99" s="19"/>
    </row>
    <row r="100" spans="1:13">
      <c r="A100" s="163"/>
      <c r="B100" s="163"/>
      <c r="C100" s="163"/>
      <c r="D100" s="163"/>
      <c r="E100" s="163"/>
      <c r="F100" s="163"/>
      <c r="G100" s="163"/>
      <c r="H100" s="163"/>
      <c r="I100" s="163"/>
      <c r="J100" s="163"/>
      <c r="K100" s="163"/>
      <c r="L100" s="163"/>
      <c r="M100" s="19"/>
    </row>
    <row r="101" spans="1:13">
      <c r="A101" s="163"/>
      <c r="B101" s="163"/>
      <c r="C101" s="163"/>
      <c r="D101" s="163"/>
      <c r="E101" s="163"/>
      <c r="F101" s="163"/>
      <c r="G101" s="163"/>
      <c r="H101" s="163"/>
      <c r="I101" s="163"/>
      <c r="J101" s="163"/>
      <c r="K101" s="163"/>
      <c r="L101" s="163"/>
      <c r="M101" s="19"/>
    </row>
    <row r="102" spans="1:13">
      <c r="A102" s="163"/>
      <c r="B102" s="163"/>
      <c r="C102" s="163"/>
      <c r="D102" s="163"/>
      <c r="E102" s="163"/>
      <c r="F102" s="163"/>
      <c r="G102" s="163"/>
      <c r="H102" s="163"/>
      <c r="I102" s="163"/>
      <c r="J102" s="163"/>
      <c r="K102" s="163"/>
      <c r="L102" s="163"/>
      <c r="M102" s="19"/>
    </row>
    <row r="103" spans="1:13">
      <c r="A103" s="163"/>
      <c r="B103" s="163"/>
      <c r="C103" s="163"/>
      <c r="D103" s="163"/>
      <c r="E103" s="163"/>
      <c r="F103" s="163"/>
      <c r="G103" s="163"/>
      <c r="H103" s="163"/>
      <c r="I103" s="163"/>
      <c r="J103" s="163"/>
      <c r="K103" s="163"/>
      <c r="L103" s="163"/>
      <c r="M103" s="19"/>
    </row>
    <row r="104" spans="1:13">
      <c r="A104" s="163"/>
      <c r="B104" s="373"/>
      <c r="C104" s="373"/>
      <c r="D104" s="373"/>
      <c r="E104" s="373"/>
      <c r="F104" s="373"/>
      <c r="G104" s="373"/>
      <c r="H104" s="373"/>
      <c r="I104" s="373"/>
      <c r="J104" s="373"/>
      <c r="K104" s="373"/>
      <c r="L104" s="373"/>
      <c r="M104" s="19"/>
    </row>
    <row r="105" spans="1:13">
      <c r="A105" s="163"/>
      <c r="B105" s="365"/>
      <c r="C105" s="365"/>
      <c r="D105" s="365"/>
      <c r="E105" s="365"/>
      <c r="F105" s="365"/>
      <c r="G105" s="365"/>
      <c r="H105" s="365"/>
      <c r="I105" s="365"/>
      <c r="J105" s="365"/>
      <c r="K105" s="365"/>
      <c r="L105" s="365"/>
      <c r="M105" s="19"/>
    </row>
    <row r="106" spans="1:13">
      <c r="A106" s="163"/>
      <c r="B106" s="163"/>
      <c r="C106" s="163"/>
      <c r="D106" s="163"/>
      <c r="E106" s="163"/>
      <c r="F106" s="163"/>
      <c r="G106" s="163"/>
      <c r="H106" s="163"/>
      <c r="I106" s="163"/>
      <c r="J106" s="163"/>
      <c r="K106" s="163"/>
      <c r="L106" s="163"/>
      <c r="M106" s="74"/>
    </row>
    <row r="107" spans="1:13">
      <c r="A107" s="163"/>
      <c r="B107" s="163"/>
      <c r="C107" s="163"/>
      <c r="D107" s="163"/>
      <c r="E107" s="163"/>
      <c r="F107" s="163"/>
      <c r="G107" s="163"/>
      <c r="H107" s="163"/>
      <c r="I107" s="163"/>
      <c r="J107" s="163"/>
      <c r="K107" s="163"/>
      <c r="L107" s="163"/>
      <c r="M107" s="19"/>
    </row>
    <row r="108" spans="1:13">
      <c r="A108" s="163"/>
      <c r="B108" s="163"/>
      <c r="C108" s="163"/>
      <c r="D108" s="163"/>
      <c r="E108" s="163"/>
      <c r="F108" s="163"/>
      <c r="G108" s="163"/>
      <c r="H108" s="163"/>
      <c r="I108" s="163"/>
      <c r="J108" s="163"/>
      <c r="K108" s="163"/>
      <c r="L108" s="163"/>
      <c r="M108" s="19"/>
    </row>
    <row r="109" spans="1:13">
      <c r="A109" s="163"/>
      <c r="B109" s="163"/>
      <c r="C109" s="163"/>
      <c r="D109" s="163"/>
      <c r="E109" s="163"/>
      <c r="F109" s="163"/>
      <c r="G109" s="163"/>
      <c r="H109" s="163"/>
      <c r="I109" s="163"/>
      <c r="J109" s="163"/>
      <c r="K109" s="163"/>
      <c r="L109" s="163"/>
      <c r="M109" s="19"/>
    </row>
    <row r="110" spans="1:13">
      <c r="A110" s="163"/>
      <c r="B110" s="163"/>
      <c r="C110" s="163"/>
      <c r="D110" s="163"/>
      <c r="E110" s="163"/>
      <c r="F110" s="163"/>
      <c r="G110" s="163"/>
      <c r="H110" s="163"/>
      <c r="I110" s="163"/>
      <c r="J110" s="163"/>
      <c r="K110" s="163"/>
      <c r="L110" s="163"/>
      <c r="M110" s="19"/>
    </row>
    <row r="111" spans="1:13">
      <c r="A111" s="163"/>
      <c r="B111" s="163"/>
      <c r="C111" s="163"/>
      <c r="D111" s="163"/>
      <c r="E111" s="163"/>
      <c r="F111" s="163"/>
      <c r="G111" s="163"/>
      <c r="H111" s="163"/>
      <c r="I111" s="163"/>
      <c r="J111" s="163"/>
      <c r="K111" s="163"/>
      <c r="L111" s="163"/>
      <c r="M111" s="19"/>
    </row>
    <row r="112" spans="1:13">
      <c r="A112" s="163"/>
      <c r="B112" s="163"/>
      <c r="C112" s="163"/>
      <c r="D112" s="163"/>
      <c r="E112" s="163"/>
      <c r="F112" s="163"/>
      <c r="G112" s="163"/>
      <c r="H112" s="163"/>
      <c r="I112" s="163"/>
      <c r="J112" s="163"/>
      <c r="K112" s="163"/>
      <c r="L112" s="163"/>
      <c r="M112" s="19"/>
    </row>
    <row r="113" spans="1:13">
      <c r="A113" s="163"/>
      <c r="B113" s="163"/>
      <c r="C113" s="163"/>
      <c r="D113" s="163"/>
      <c r="E113" s="163"/>
      <c r="F113" s="163"/>
      <c r="G113" s="163"/>
      <c r="H113" s="163"/>
      <c r="I113" s="163"/>
      <c r="J113" s="163"/>
      <c r="K113" s="163"/>
      <c r="L113" s="163"/>
      <c r="M113" s="19"/>
    </row>
    <row r="114" spans="1:13">
      <c r="A114" s="163"/>
      <c r="B114" s="163"/>
      <c r="C114" s="163"/>
      <c r="D114" s="163"/>
      <c r="E114" s="163"/>
      <c r="F114" s="163"/>
      <c r="G114" s="163"/>
      <c r="H114" s="163"/>
      <c r="I114" s="163"/>
      <c r="J114" s="163"/>
      <c r="K114" s="163"/>
      <c r="L114" s="163"/>
      <c r="M114" s="19"/>
    </row>
    <row r="115" spans="1:13">
      <c r="A115" s="163"/>
      <c r="B115" s="163"/>
      <c r="C115" s="163"/>
      <c r="D115" s="163"/>
      <c r="E115" s="163"/>
      <c r="F115" s="163"/>
      <c r="G115" s="163"/>
      <c r="H115" s="163"/>
      <c r="I115" s="163"/>
      <c r="J115" s="163"/>
      <c r="K115" s="163"/>
      <c r="L115" s="163"/>
      <c r="M115" s="19"/>
    </row>
    <row r="116" spans="1:13">
      <c r="A116" s="163"/>
      <c r="B116" s="163"/>
      <c r="C116" s="163"/>
      <c r="D116" s="163"/>
      <c r="E116" s="163"/>
      <c r="F116" s="163"/>
      <c r="G116" s="163"/>
      <c r="H116" s="163"/>
      <c r="I116" s="163"/>
      <c r="J116" s="163"/>
      <c r="K116" s="163"/>
      <c r="L116" s="163"/>
      <c r="M116" s="19"/>
    </row>
    <row r="117" spans="1:13">
      <c r="A117" s="163"/>
      <c r="B117" s="163"/>
      <c r="C117" s="163"/>
      <c r="D117" s="163"/>
      <c r="E117" s="163"/>
      <c r="F117" s="163"/>
      <c r="G117" s="163"/>
      <c r="H117" s="163"/>
      <c r="I117" s="163"/>
      <c r="J117" s="163"/>
      <c r="K117" s="163"/>
      <c r="L117" s="163"/>
      <c r="M117" s="19"/>
    </row>
    <row r="118" spans="1:13">
      <c r="A118" s="163"/>
      <c r="B118" s="163"/>
      <c r="C118" s="163"/>
      <c r="D118" s="163"/>
      <c r="E118" s="163"/>
      <c r="F118" s="163"/>
      <c r="G118" s="163"/>
      <c r="H118" s="163"/>
      <c r="I118" s="163"/>
      <c r="J118" s="163"/>
      <c r="K118" s="163"/>
      <c r="L118" s="163"/>
      <c r="M118" s="19"/>
    </row>
    <row r="119" spans="1:13">
      <c r="A119" s="163"/>
      <c r="B119" s="163"/>
      <c r="C119" s="163"/>
      <c r="D119" s="163"/>
      <c r="E119" s="163"/>
      <c r="F119" s="163"/>
      <c r="G119" s="163"/>
      <c r="H119" s="163"/>
      <c r="I119" s="163"/>
      <c r="J119" s="163"/>
      <c r="K119" s="163"/>
      <c r="L119" s="163"/>
      <c r="M119" s="19"/>
    </row>
    <row r="120" spans="1:13">
      <c r="A120" s="163"/>
      <c r="B120" s="163"/>
      <c r="C120" s="163"/>
      <c r="D120" s="163"/>
      <c r="E120" s="163"/>
      <c r="F120" s="163"/>
      <c r="G120" s="163"/>
      <c r="H120" s="163"/>
      <c r="I120" s="163"/>
      <c r="J120" s="163"/>
      <c r="K120" s="163"/>
      <c r="L120" s="163"/>
      <c r="M120" s="19"/>
    </row>
    <row r="121" spans="1:13">
      <c r="A121" s="163"/>
      <c r="B121" s="163"/>
      <c r="C121" s="163"/>
      <c r="D121" s="163"/>
      <c r="E121" s="163"/>
      <c r="F121" s="163"/>
      <c r="G121" s="163"/>
      <c r="H121" s="163"/>
      <c r="I121" s="163"/>
      <c r="J121" s="163"/>
      <c r="K121" s="163"/>
      <c r="L121" s="163"/>
      <c r="M121" s="19"/>
    </row>
    <row r="122" spans="1:13">
      <c r="A122" s="163"/>
      <c r="B122" s="163"/>
      <c r="C122" s="163"/>
      <c r="D122" s="163"/>
      <c r="E122" s="163"/>
      <c r="F122" s="163"/>
      <c r="G122" s="163"/>
      <c r="H122" s="163"/>
      <c r="I122" s="163"/>
      <c r="J122" s="163"/>
      <c r="K122" s="163"/>
      <c r="L122" s="163"/>
      <c r="M122" s="19"/>
    </row>
    <row r="123" spans="1:13">
      <c r="A123" s="163"/>
      <c r="B123" s="163"/>
      <c r="C123" s="163"/>
      <c r="D123" s="163"/>
      <c r="E123" s="163"/>
      <c r="F123" s="163"/>
      <c r="G123" s="163"/>
      <c r="H123" s="163"/>
      <c r="I123" s="163"/>
      <c r="J123" s="163"/>
      <c r="K123" s="163"/>
      <c r="L123" s="163"/>
      <c r="M123" s="19"/>
    </row>
    <row r="124" spans="1:13">
      <c r="A124" s="163"/>
      <c r="B124" s="163"/>
      <c r="C124" s="163"/>
      <c r="D124" s="163"/>
      <c r="E124" s="163"/>
      <c r="F124" s="163"/>
      <c r="G124" s="163"/>
      <c r="H124" s="163"/>
      <c r="I124" s="163"/>
      <c r="J124" s="163"/>
      <c r="K124" s="163"/>
      <c r="L124" s="163"/>
      <c r="M124" s="19"/>
    </row>
    <row r="125" spans="1:13">
      <c r="A125" s="163"/>
      <c r="B125" s="163"/>
      <c r="C125" s="163"/>
      <c r="D125" s="163"/>
      <c r="E125" s="163"/>
      <c r="F125" s="163"/>
      <c r="G125" s="163"/>
      <c r="H125" s="163"/>
      <c r="I125" s="163"/>
      <c r="J125" s="163"/>
      <c r="K125" s="163"/>
      <c r="L125" s="163"/>
      <c r="M125" s="19"/>
    </row>
    <row r="126" spans="1:13">
      <c r="A126" s="163"/>
      <c r="B126" s="163"/>
      <c r="C126" s="163"/>
      <c r="D126" s="163"/>
      <c r="E126" s="163"/>
      <c r="F126" s="163"/>
      <c r="G126" s="163"/>
      <c r="H126" s="163"/>
      <c r="I126" s="163"/>
      <c r="J126" s="163"/>
      <c r="K126" s="163"/>
      <c r="L126" s="163"/>
      <c r="M126" s="19"/>
    </row>
    <row r="127" spans="1:13">
      <c r="A127" s="163"/>
      <c r="B127" s="163"/>
      <c r="C127" s="163"/>
      <c r="D127" s="163"/>
      <c r="E127" s="163"/>
      <c r="F127" s="163"/>
      <c r="G127" s="163"/>
      <c r="H127" s="163"/>
      <c r="I127" s="163"/>
      <c r="J127" s="163"/>
      <c r="K127" s="163"/>
      <c r="L127" s="163"/>
      <c r="M127" s="19"/>
    </row>
    <row r="128" spans="1:13">
      <c r="A128" s="163"/>
      <c r="B128" s="163"/>
      <c r="C128" s="163"/>
      <c r="D128" s="163"/>
      <c r="E128" s="163"/>
      <c r="F128" s="163"/>
      <c r="G128" s="163"/>
      <c r="H128" s="163"/>
      <c r="I128" s="163"/>
      <c r="J128" s="163"/>
      <c r="K128" s="163"/>
      <c r="L128" s="163"/>
      <c r="M128" s="19"/>
    </row>
    <row r="129" spans="1:13">
      <c r="A129" s="163"/>
      <c r="B129" s="163"/>
      <c r="C129" s="163"/>
      <c r="D129" s="163"/>
      <c r="E129" s="163"/>
      <c r="F129" s="163"/>
      <c r="G129" s="163"/>
      <c r="H129" s="163"/>
      <c r="I129" s="163"/>
      <c r="J129" s="163"/>
      <c r="K129" s="163"/>
      <c r="L129" s="163"/>
      <c r="M129" s="19"/>
    </row>
    <row r="130" spans="1:13">
      <c r="A130" s="163"/>
      <c r="B130" s="163"/>
      <c r="C130" s="163"/>
      <c r="D130" s="163"/>
      <c r="E130" s="163"/>
      <c r="F130" s="163"/>
      <c r="G130" s="163"/>
      <c r="H130" s="163"/>
      <c r="I130" s="163"/>
      <c r="J130" s="163"/>
      <c r="K130" s="163"/>
      <c r="L130" s="163"/>
      <c r="M130" s="19"/>
    </row>
    <row r="131" spans="1:13">
      <c r="A131" s="163"/>
      <c r="B131" s="163"/>
      <c r="C131" s="163"/>
      <c r="D131" s="163"/>
      <c r="E131" s="163"/>
      <c r="F131" s="163"/>
      <c r="G131" s="163"/>
      <c r="H131" s="163"/>
      <c r="I131" s="163"/>
      <c r="J131" s="163"/>
      <c r="K131" s="163"/>
      <c r="L131" s="163"/>
      <c r="M131" s="19"/>
    </row>
    <row r="132" spans="1:13">
      <c r="A132" s="163"/>
      <c r="B132" s="163"/>
      <c r="C132" s="163"/>
      <c r="D132" s="163"/>
      <c r="E132" s="163"/>
      <c r="F132" s="163"/>
      <c r="G132" s="163"/>
      <c r="H132" s="163"/>
      <c r="I132" s="163"/>
      <c r="J132" s="163"/>
      <c r="K132" s="163"/>
      <c r="L132" s="163"/>
      <c r="M132" s="19"/>
    </row>
    <row r="133" spans="1:13">
      <c r="A133" s="163"/>
      <c r="B133" s="163"/>
      <c r="C133" s="163"/>
      <c r="D133" s="163"/>
      <c r="E133" s="163"/>
      <c r="F133" s="163"/>
      <c r="G133" s="163"/>
      <c r="H133" s="163"/>
      <c r="I133" s="163"/>
      <c r="J133" s="163"/>
      <c r="K133" s="163"/>
      <c r="L133" s="163"/>
      <c r="M133" s="19"/>
    </row>
    <row r="134" spans="1:13">
      <c r="A134" s="163"/>
      <c r="B134" s="163"/>
      <c r="C134" s="163"/>
      <c r="D134" s="163"/>
      <c r="E134" s="163"/>
      <c r="F134" s="163"/>
      <c r="G134" s="163"/>
      <c r="H134" s="163"/>
      <c r="I134" s="163"/>
      <c r="J134" s="163"/>
      <c r="K134" s="163"/>
      <c r="L134" s="163"/>
      <c r="M134" s="19"/>
    </row>
    <row r="135" spans="1:13">
      <c r="A135" s="163"/>
      <c r="B135" s="163"/>
      <c r="C135" s="163"/>
      <c r="D135" s="163"/>
      <c r="E135" s="163"/>
      <c r="F135" s="163"/>
      <c r="G135" s="163"/>
      <c r="H135" s="163"/>
      <c r="I135" s="163"/>
      <c r="J135" s="163"/>
      <c r="K135" s="163"/>
      <c r="L135" s="163"/>
      <c r="M135" s="19"/>
    </row>
    <row r="136" spans="1:13">
      <c r="A136" s="163"/>
      <c r="B136" s="163"/>
      <c r="C136" s="163"/>
      <c r="D136" s="163"/>
      <c r="E136" s="163"/>
      <c r="F136" s="163"/>
      <c r="G136" s="163"/>
      <c r="H136" s="163"/>
      <c r="I136" s="163"/>
      <c r="J136" s="163"/>
      <c r="K136" s="163"/>
      <c r="L136" s="163"/>
      <c r="M136" s="19"/>
    </row>
    <row r="137" spans="1:13">
      <c r="A137" s="163"/>
      <c r="B137" s="163"/>
      <c r="C137" s="163"/>
      <c r="D137" s="163"/>
      <c r="E137" s="163"/>
      <c r="F137" s="163"/>
      <c r="G137" s="163"/>
      <c r="H137" s="163"/>
      <c r="I137" s="163"/>
      <c r="J137" s="163"/>
      <c r="K137" s="163"/>
      <c r="L137" s="163"/>
      <c r="M137" s="19"/>
    </row>
    <row r="138" spans="1:13">
      <c r="A138" s="163"/>
      <c r="B138" s="163"/>
      <c r="C138" s="163"/>
      <c r="D138" s="163"/>
      <c r="E138" s="163"/>
      <c r="F138" s="163"/>
      <c r="G138" s="163"/>
      <c r="H138" s="163"/>
      <c r="I138" s="163"/>
      <c r="J138" s="163"/>
      <c r="K138" s="163"/>
      <c r="L138" s="163"/>
      <c r="M138" s="19"/>
    </row>
    <row r="139" spans="1:13">
      <c r="A139" s="163"/>
      <c r="B139" s="163"/>
      <c r="C139" s="163"/>
      <c r="D139" s="163"/>
      <c r="E139" s="163"/>
      <c r="F139" s="163"/>
      <c r="G139" s="163"/>
      <c r="H139" s="163"/>
      <c r="I139" s="163"/>
      <c r="J139" s="163"/>
      <c r="K139" s="163"/>
      <c r="L139" s="163"/>
      <c r="M139" s="19"/>
    </row>
    <row r="140" spans="1:13">
      <c r="A140" s="163"/>
      <c r="B140" s="163"/>
      <c r="C140" s="163"/>
      <c r="D140" s="163"/>
      <c r="E140" s="163"/>
      <c r="F140" s="163"/>
      <c r="G140" s="163"/>
      <c r="H140" s="163"/>
      <c r="I140" s="163"/>
      <c r="J140" s="163"/>
      <c r="K140" s="163"/>
      <c r="L140" s="163"/>
      <c r="M140" s="19"/>
    </row>
    <row r="141" spans="1:13">
      <c r="A141" s="163"/>
      <c r="B141" s="163"/>
      <c r="C141" s="163"/>
      <c r="D141" s="163"/>
      <c r="E141" s="163"/>
      <c r="F141" s="163"/>
      <c r="G141" s="163"/>
      <c r="H141" s="163"/>
      <c r="I141" s="163"/>
      <c r="J141" s="163"/>
      <c r="K141" s="163"/>
      <c r="L141" s="163"/>
      <c r="M141" s="19"/>
    </row>
    <row r="142" spans="1:13">
      <c r="A142" s="163"/>
      <c r="B142" s="163"/>
      <c r="C142" s="163"/>
      <c r="D142" s="163"/>
      <c r="E142" s="163"/>
      <c r="F142" s="163"/>
      <c r="G142" s="163"/>
      <c r="H142" s="163"/>
      <c r="I142" s="163"/>
      <c r="J142" s="163"/>
      <c r="K142" s="163"/>
      <c r="L142" s="163"/>
      <c r="M142" s="19"/>
    </row>
    <row r="143" spans="1:13">
      <c r="A143" s="163"/>
      <c r="B143" s="163"/>
      <c r="C143" s="163"/>
      <c r="D143" s="163"/>
      <c r="E143" s="163"/>
      <c r="F143" s="163"/>
      <c r="G143" s="163"/>
      <c r="H143" s="163"/>
      <c r="I143" s="163"/>
      <c r="J143" s="163"/>
      <c r="K143" s="163"/>
      <c r="L143" s="163"/>
      <c r="M143" s="19"/>
    </row>
    <row r="144" spans="1:13">
      <c r="A144" s="163"/>
      <c r="B144" s="163"/>
      <c r="C144" s="163"/>
      <c r="D144" s="163"/>
      <c r="E144" s="163"/>
      <c r="F144" s="163"/>
      <c r="G144" s="163"/>
      <c r="H144" s="163"/>
      <c r="I144" s="163"/>
      <c r="J144" s="163"/>
      <c r="K144" s="163"/>
      <c r="L144" s="163"/>
      <c r="M144" s="19"/>
    </row>
    <row r="145" spans="1:13">
      <c r="A145" s="163"/>
      <c r="B145" s="163"/>
      <c r="C145" s="163"/>
      <c r="D145" s="163"/>
      <c r="E145" s="163"/>
      <c r="F145" s="163"/>
      <c r="G145" s="163"/>
      <c r="H145" s="163"/>
      <c r="I145" s="163"/>
      <c r="J145" s="163"/>
      <c r="K145" s="163"/>
      <c r="L145" s="163"/>
      <c r="M145" s="19"/>
    </row>
    <row r="146" spans="1:13">
      <c r="A146" s="163"/>
      <c r="B146" s="163"/>
      <c r="C146" s="163"/>
      <c r="D146" s="163"/>
      <c r="E146" s="163"/>
      <c r="F146" s="163"/>
      <c r="G146" s="163"/>
      <c r="H146" s="163"/>
      <c r="I146" s="163"/>
      <c r="J146" s="163"/>
      <c r="K146" s="163"/>
      <c r="L146" s="163"/>
      <c r="M146" s="19"/>
    </row>
    <row r="147" spans="1:13">
      <c r="A147" s="163"/>
      <c r="B147" s="163"/>
      <c r="C147" s="163"/>
      <c r="D147" s="163"/>
      <c r="E147" s="163"/>
      <c r="F147" s="163"/>
      <c r="G147" s="163"/>
      <c r="H147" s="163"/>
      <c r="I147" s="163"/>
      <c r="J147" s="163"/>
      <c r="K147" s="163"/>
      <c r="L147" s="163"/>
      <c r="M147" s="19"/>
    </row>
    <row r="148" spans="1:13">
      <c r="A148" s="163"/>
      <c r="B148" s="163"/>
      <c r="C148" s="163"/>
      <c r="D148" s="163"/>
      <c r="E148" s="163"/>
      <c r="F148" s="163"/>
      <c r="G148" s="163"/>
      <c r="H148" s="163"/>
      <c r="I148" s="163"/>
      <c r="J148" s="163"/>
      <c r="K148" s="163"/>
      <c r="L148" s="163"/>
      <c r="M148" s="19"/>
    </row>
    <row r="149" spans="1:13">
      <c r="A149" s="163"/>
      <c r="B149" s="163"/>
      <c r="C149" s="163"/>
      <c r="D149" s="163"/>
      <c r="E149" s="163"/>
      <c r="F149" s="163"/>
      <c r="G149" s="163"/>
      <c r="H149" s="163"/>
      <c r="I149" s="163"/>
      <c r="J149" s="163"/>
      <c r="K149" s="163"/>
      <c r="L149" s="163"/>
      <c r="M149" s="19"/>
    </row>
    <row r="150" spans="1:13">
      <c r="A150" s="163"/>
      <c r="B150" s="163"/>
      <c r="C150" s="163"/>
      <c r="D150" s="163"/>
      <c r="E150" s="163"/>
      <c r="F150" s="163"/>
      <c r="G150" s="163"/>
      <c r="H150" s="163"/>
      <c r="I150" s="163"/>
      <c r="J150" s="163"/>
      <c r="K150" s="163"/>
      <c r="L150" s="163"/>
      <c r="M150" s="19"/>
    </row>
    <row r="151" spans="1:13">
      <c r="A151" s="163"/>
      <c r="B151" s="163"/>
      <c r="C151" s="163"/>
      <c r="D151" s="163"/>
      <c r="E151" s="163"/>
      <c r="F151" s="163"/>
      <c r="G151" s="163"/>
      <c r="H151" s="163"/>
      <c r="I151" s="163"/>
      <c r="J151" s="163"/>
      <c r="K151" s="163"/>
      <c r="L151" s="163"/>
      <c r="M151" s="19"/>
    </row>
    <row r="152" spans="1:13">
      <c r="A152" s="163"/>
      <c r="B152" s="163"/>
      <c r="C152" s="163"/>
      <c r="D152" s="163"/>
      <c r="E152" s="163"/>
      <c r="F152" s="163"/>
      <c r="G152" s="163"/>
      <c r="H152" s="163"/>
      <c r="I152" s="163"/>
      <c r="J152" s="163"/>
      <c r="K152" s="163"/>
      <c r="L152" s="163"/>
      <c r="M152" s="19"/>
    </row>
    <row r="153" spans="1:13">
      <c r="A153" s="163"/>
      <c r="B153" s="163"/>
      <c r="C153" s="163"/>
      <c r="D153" s="163"/>
      <c r="E153" s="163"/>
      <c r="F153" s="163"/>
      <c r="G153" s="163"/>
      <c r="H153" s="163"/>
      <c r="I153" s="163"/>
      <c r="J153" s="163"/>
      <c r="K153" s="163"/>
      <c r="L153" s="163"/>
      <c r="M153" s="19"/>
    </row>
    <row r="154" spans="1:13">
      <c r="A154" s="163"/>
      <c r="B154" s="163"/>
      <c r="C154" s="163"/>
      <c r="D154" s="163"/>
      <c r="E154" s="163"/>
      <c r="F154" s="163"/>
      <c r="G154" s="163"/>
      <c r="H154" s="163"/>
      <c r="I154" s="163"/>
      <c r="J154" s="163"/>
      <c r="K154" s="163"/>
      <c r="L154" s="163"/>
      <c r="M154" s="19"/>
    </row>
    <row r="155" spans="1:13">
      <c r="A155" s="163"/>
      <c r="B155" s="163"/>
      <c r="C155" s="163"/>
      <c r="D155" s="163"/>
      <c r="E155" s="163"/>
      <c r="F155" s="163"/>
      <c r="G155" s="163"/>
      <c r="H155" s="163"/>
      <c r="I155" s="163"/>
      <c r="J155" s="163"/>
      <c r="K155" s="163"/>
      <c r="L155" s="163"/>
      <c r="M155" s="19"/>
    </row>
    <row r="156" spans="1:13">
      <c r="A156" s="163"/>
      <c r="B156" s="163"/>
      <c r="C156" s="163"/>
      <c r="D156" s="163"/>
      <c r="E156" s="163"/>
      <c r="F156" s="163"/>
      <c r="G156" s="163"/>
      <c r="H156" s="163"/>
      <c r="I156" s="163"/>
      <c r="J156" s="163"/>
      <c r="K156" s="163"/>
      <c r="L156" s="163"/>
      <c r="M156" s="19"/>
    </row>
    <row r="157" spans="1:13">
      <c r="A157" s="163"/>
      <c r="B157" s="163"/>
      <c r="C157" s="163"/>
      <c r="D157" s="163"/>
      <c r="E157" s="163"/>
      <c r="F157" s="163"/>
      <c r="G157" s="163"/>
      <c r="H157" s="163"/>
      <c r="I157" s="163"/>
      <c r="J157" s="163"/>
      <c r="K157" s="163"/>
      <c r="L157" s="163"/>
      <c r="M157" s="19"/>
    </row>
    <row r="158" spans="1:13">
      <c r="A158" s="163"/>
      <c r="B158" s="163"/>
      <c r="C158" s="163"/>
      <c r="D158" s="163"/>
      <c r="E158" s="163"/>
      <c r="F158" s="163"/>
      <c r="G158" s="163"/>
      <c r="H158" s="163"/>
      <c r="I158" s="163"/>
      <c r="J158" s="163"/>
      <c r="K158" s="163"/>
      <c r="L158" s="163"/>
      <c r="M158" s="19"/>
    </row>
    <row r="159" spans="1:13">
      <c r="A159" s="163"/>
      <c r="B159" s="163"/>
      <c r="C159" s="163"/>
      <c r="D159" s="163"/>
      <c r="E159" s="163"/>
      <c r="F159" s="163"/>
      <c r="G159" s="163"/>
      <c r="H159" s="163"/>
      <c r="I159" s="163"/>
      <c r="J159" s="163"/>
      <c r="K159" s="163"/>
      <c r="L159" s="163"/>
      <c r="M159" s="19"/>
    </row>
    <row r="160" spans="1:13">
      <c r="A160" s="163"/>
      <c r="B160" s="163"/>
      <c r="C160" s="163"/>
      <c r="D160" s="163"/>
      <c r="E160" s="163"/>
      <c r="F160" s="163"/>
      <c r="G160" s="163"/>
      <c r="H160" s="163"/>
      <c r="I160" s="163"/>
      <c r="J160" s="163"/>
      <c r="K160" s="163"/>
      <c r="L160" s="163"/>
      <c r="M160" s="19"/>
    </row>
    <row r="161" spans="1:13">
      <c r="A161" s="163"/>
      <c r="B161" s="163"/>
      <c r="C161" s="163"/>
      <c r="D161" s="163"/>
      <c r="E161" s="163"/>
      <c r="F161" s="163"/>
      <c r="G161" s="163"/>
      <c r="H161" s="163"/>
      <c r="I161" s="163"/>
      <c r="J161" s="163"/>
      <c r="K161" s="163"/>
      <c r="L161" s="163"/>
      <c r="M161" s="19"/>
    </row>
    <row r="162" spans="1:13">
      <c r="A162" s="163"/>
      <c r="B162" s="163"/>
      <c r="C162" s="163"/>
      <c r="D162" s="163"/>
      <c r="E162" s="163"/>
      <c r="F162" s="163"/>
      <c r="G162" s="163"/>
      <c r="H162" s="163"/>
      <c r="I162" s="163"/>
      <c r="J162" s="163"/>
      <c r="K162" s="163"/>
      <c r="L162" s="163"/>
      <c r="M162" s="19"/>
    </row>
    <row r="163" spans="1:13">
      <c r="A163" s="163"/>
      <c r="B163" s="163"/>
      <c r="C163" s="163"/>
      <c r="D163" s="163"/>
      <c r="E163" s="163"/>
      <c r="F163" s="163"/>
      <c r="G163" s="163"/>
      <c r="H163" s="163"/>
      <c r="I163" s="163"/>
      <c r="J163" s="163"/>
      <c r="K163" s="163"/>
      <c r="L163" s="163"/>
      <c r="M163" s="19"/>
    </row>
    <row r="164" spans="1:13">
      <c r="A164" s="163"/>
      <c r="B164" s="163"/>
      <c r="C164" s="163"/>
      <c r="D164" s="163"/>
      <c r="E164" s="163"/>
      <c r="F164" s="163"/>
      <c r="G164" s="163"/>
      <c r="H164" s="163"/>
      <c r="I164" s="163"/>
      <c r="J164" s="163"/>
      <c r="K164" s="163"/>
      <c r="L164" s="163"/>
      <c r="M164" s="19"/>
    </row>
    <row r="165" spans="1:13">
      <c r="A165" s="163"/>
      <c r="B165" s="163"/>
      <c r="C165" s="163"/>
      <c r="D165" s="163"/>
      <c r="E165" s="163"/>
      <c r="F165" s="163"/>
      <c r="G165" s="163"/>
      <c r="H165" s="163"/>
      <c r="I165" s="163"/>
      <c r="J165" s="163"/>
      <c r="K165" s="163"/>
      <c r="L165" s="163"/>
      <c r="M165" s="19"/>
    </row>
    <row r="166" spans="1:13">
      <c r="A166" s="163"/>
      <c r="B166" s="163"/>
      <c r="C166" s="163"/>
      <c r="D166" s="163"/>
      <c r="E166" s="163"/>
      <c r="F166" s="163"/>
      <c r="G166" s="163"/>
      <c r="H166" s="163"/>
      <c r="I166" s="163"/>
      <c r="J166" s="163"/>
      <c r="K166" s="163"/>
      <c r="L166" s="163"/>
      <c r="M166" s="19"/>
    </row>
    <row r="167" spans="1:13">
      <c r="A167" s="163"/>
      <c r="B167" s="163"/>
      <c r="C167" s="163"/>
      <c r="D167" s="163"/>
      <c r="E167" s="163"/>
      <c r="F167" s="163"/>
      <c r="G167" s="163"/>
      <c r="H167" s="163"/>
      <c r="I167" s="163"/>
      <c r="J167" s="163"/>
      <c r="K167" s="163"/>
      <c r="L167" s="163"/>
      <c r="M167" s="19"/>
    </row>
    <row r="168" spans="1:13">
      <c r="A168" s="163"/>
      <c r="B168" s="163"/>
      <c r="C168" s="163"/>
      <c r="D168" s="163"/>
      <c r="E168" s="163"/>
      <c r="F168" s="163"/>
      <c r="G168" s="163"/>
      <c r="H168" s="163"/>
      <c r="I168" s="163"/>
      <c r="J168" s="163"/>
      <c r="K168" s="163"/>
      <c r="L168" s="163"/>
      <c r="M168" s="19"/>
    </row>
    <row r="169" spans="1:13">
      <c r="A169" s="163"/>
      <c r="B169" s="163"/>
      <c r="C169" s="163"/>
      <c r="D169" s="163"/>
      <c r="E169" s="163"/>
      <c r="F169" s="163"/>
      <c r="G169" s="163"/>
      <c r="H169" s="163"/>
      <c r="I169" s="163"/>
      <c r="J169" s="163"/>
      <c r="K169" s="163"/>
      <c r="L169" s="163"/>
      <c r="M169" s="19"/>
    </row>
    <row r="170" spans="1:13">
      <c r="A170" s="163"/>
      <c r="B170" s="163"/>
      <c r="C170" s="163"/>
      <c r="D170" s="163"/>
      <c r="E170" s="163"/>
      <c r="F170" s="163"/>
      <c r="G170" s="163"/>
      <c r="H170" s="163"/>
      <c r="I170" s="163"/>
      <c r="J170" s="163"/>
      <c r="K170" s="163"/>
      <c r="L170" s="163"/>
      <c r="M170" s="19"/>
    </row>
    <row r="171" spans="1:13">
      <c r="A171" s="163"/>
      <c r="B171" s="163"/>
      <c r="C171" s="163"/>
      <c r="D171" s="163"/>
      <c r="E171" s="163"/>
      <c r="F171" s="163"/>
      <c r="G171" s="163"/>
      <c r="H171" s="163"/>
      <c r="I171" s="163"/>
      <c r="J171" s="163"/>
      <c r="K171" s="163"/>
      <c r="L171" s="163"/>
      <c r="M171" s="19"/>
    </row>
    <row r="172" spans="1:13">
      <c r="A172" s="163"/>
      <c r="B172" s="163"/>
      <c r="C172" s="163"/>
      <c r="D172" s="163"/>
      <c r="E172" s="163"/>
      <c r="F172" s="163"/>
      <c r="G172" s="163"/>
      <c r="H172" s="163"/>
      <c r="I172" s="163"/>
      <c r="J172" s="163"/>
      <c r="K172" s="163"/>
      <c r="L172" s="163"/>
      <c r="M172" s="19"/>
    </row>
    <row r="173" spans="1:13">
      <c r="A173" s="163"/>
      <c r="B173" s="163"/>
      <c r="C173" s="163"/>
      <c r="D173" s="163"/>
      <c r="E173" s="163"/>
      <c r="F173" s="163"/>
      <c r="G173" s="163"/>
      <c r="H173" s="163"/>
      <c r="I173" s="163"/>
      <c r="J173" s="163"/>
      <c r="K173" s="163"/>
      <c r="L173" s="163"/>
      <c r="M173" s="19"/>
    </row>
    <row r="174" spans="1:13">
      <c r="A174" s="163"/>
      <c r="B174" s="163"/>
      <c r="C174" s="163"/>
      <c r="D174" s="163"/>
      <c r="E174" s="163"/>
      <c r="F174" s="163"/>
      <c r="G174" s="163"/>
      <c r="H174" s="163"/>
      <c r="I174" s="163"/>
      <c r="J174" s="163"/>
      <c r="K174" s="163"/>
      <c r="L174" s="163"/>
      <c r="M174" s="19"/>
    </row>
    <row r="175" spans="1:13">
      <c r="A175" s="163"/>
      <c r="B175" s="163"/>
      <c r="C175" s="163"/>
      <c r="D175" s="163"/>
      <c r="E175" s="163"/>
      <c r="F175" s="163"/>
      <c r="G175" s="163"/>
      <c r="H175" s="163"/>
      <c r="I175" s="163"/>
      <c r="J175" s="163"/>
      <c r="K175" s="163"/>
      <c r="L175" s="163"/>
      <c r="M175" s="19"/>
    </row>
    <row r="176" spans="1:13">
      <c r="A176" s="163"/>
      <c r="B176" s="163"/>
      <c r="C176" s="163"/>
      <c r="D176" s="163"/>
      <c r="E176" s="163"/>
      <c r="F176" s="163"/>
      <c r="G176" s="163"/>
      <c r="H176" s="163"/>
      <c r="I176" s="163"/>
      <c r="J176" s="163"/>
      <c r="K176" s="163"/>
      <c r="L176" s="163"/>
      <c r="M176" s="19"/>
    </row>
    <row r="177" spans="1:13">
      <c r="A177" s="163"/>
      <c r="B177" s="163"/>
      <c r="C177" s="163"/>
      <c r="D177" s="163"/>
      <c r="E177" s="163"/>
      <c r="F177" s="163"/>
      <c r="G177" s="163"/>
      <c r="H177" s="163"/>
      <c r="I177" s="163"/>
      <c r="J177" s="163"/>
      <c r="K177" s="163"/>
      <c r="L177" s="163"/>
      <c r="M177" s="19"/>
    </row>
    <row r="178" spans="1:13">
      <c r="A178" s="163"/>
      <c r="B178" s="163"/>
      <c r="C178" s="163"/>
      <c r="D178" s="163"/>
      <c r="E178" s="163"/>
      <c r="F178" s="163"/>
      <c r="G178" s="163"/>
      <c r="H178" s="163"/>
      <c r="I178" s="163"/>
      <c r="J178" s="163"/>
      <c r="K178" s="163"/>
      <c r="L178" s="163"/>
      <c r="M178" s="19"/>
    </row>
    <row r="179" spans="1:13">
      <c r="A179" s="163"/>
      <c r="B179" s="163"/>
      <c r="C179" s="163"/>
      <c r="D179" s="163"/>
      <c r="E179" s="163"/>
      <c r="F179" s="163"/>
      <c r="G179" s="163"/>
      <c r="H179" s="163"/>
      <c r="I179" s="163"/>
      <c r="J179" s="163"/>
      <c r="K179" s="163"/>
      <c r="L179" s="163"/>
      <c r="M179" s="19"/>
    </row>
    <row r="180" spans="1:13">
      <c r="A180" s="163"/>
      <c r="B180" s="163"/>
      <c r="C180" s="163"/>
      <c r="D180" s="163"/>
      <c r="E180" s="163"/>
      <c r="F180" s="163"/>
      <c r="G180" s="163"/>
      <c r="H180" s="163"/>
      <c r="I180" s="163"/>
      <c r="J180" s="163"/>
      <c r="K180" s="163"/>
      <c r="L180" s="163"/>
      <c r="M180" s="19"/>
    </row>
    <row r="181" spans="1:13">
      <c r="A181" s="163"/>
      <c r="B181" s="163"/>
      <c r="C181" s="163"/>
      <c r="D181" s="163"/>
      <c r="E181" s="163"/>
      <c r="F181" s="163"/>
      <c r="G181" s="163"/>
      <c r="H181" s="163"/>
      <c r="I181" s="163"/>
      <c r="J181" s="163"/>
      <c r="K181" s="163"/>
      <c r="L181" s="163"/>
      <c r="M181" s="19"/>
    </row>
    <row r="182" spans="1:13">
      <c r="A182" s="163"/>
      <c r="B182" s="163"/>
      <c r="C182" s="163"/>
      <c r="D182" s="163"/>
      <c r="E182" s="163"/>
      <c r="F182" s="163"/>
      <c r="G182" s="163"/>
      <c r="H182" s="163"/>
      <c r="I182" s="163"/>
      <c r="J182" s="163"/>
      <c r="K182" s="163"/>
      <c r="L182" s="163"/>
      <c r="M182" s="19"/>
    </row>
    <row r="183" spans="1:13">
      <c r="A183" s="163"/>
      <c r="B183" s="163"/>
      <c r="C183" s="163"/>
      <c r="D183" s="163"/>
      <c r="E183" s="163"/>
      <c r="F183" s="163"/>
      <c r="G183" s="163"/>
      <c r="H183" s="163"/>
      <c r="I183" s="163"/>
      <c r="J183" s="163"/>
      <c r="K183" s="163"/>
      <c r="L183" s="163"/>
      <c r="M183" s="19"/>
    </row>
    <row r="184" spans="1:13">
      <c r="A184" s="163"/>
      <c r="B184" s="163"/>
      <c r="C184" s="163"/>
      <c r="D184" s="163"/>
      <c r="E184" s="163"/>
      <c r="F184" s="163"/>
      <c r="G184" s="163"/>
      <c r="H184" s="163"/>
      <c r="I184" s="163"/>
      <c r="J184" s="163"/>
      <c r="K184" s="163"/>
      <c r="L184" s="163"/>
      <c r="M184" s="19"/>
    </row>
    <row r="185" spans="1:13">
      <c r="A185" s="163"/>
      <c r="B185" s="163"/>
      <c r="C185" s="163"/>
      <c r="D185" s="163"/>
      <c r="E185" s="163"/>
      <c r="F185" s="163"/>
      <c r="G185" s="163"/>
      <c r="H185" s="163"/>
      <c r="I185" s="163"/>
      <c r="J185" s="163"/>
      <c r="K185" s="163"/>
      <c r="L185" s="163"/>
      <c r="M185" s="19"/>
    </row>
    <row r="186" spans="1:13">
      <c r="A186" s="163"/>
      <c r="B186" s="163"/>
      <c r="C186" s="163"/>
      <c r="D186" s="163"/>
      <c r="E186" s="163"/>
      <c r="F186" s="163"/>
      <c r="G186" s="163"/>
      <c r="H186" s="163"/>
      <c r="I186" s="163"/>
      <c r="J186" s="163"/>
      <c r="K186" s="163"/>
      <c r="L186" s="163"/>
      <c r="M186" s="19"/>
    </row>
    <row r="187" spans="1:13">
      <c r="A187" s="163"/>
      <c r="B187" s="163"/>
      <c r="C187" s="163"/>
      <c r="D187" s="163"/>
      <c r="E187" s="163"/>
      <c r="F187" s="163"/>
      <c r="G187" s="163"/>
      <c r="H187" s="163"/>
      <c r="I187" s="163"/>
      <c r="J187" s="163"/>
      <c r="K187" s="163"/>
      <c r="L187" s="163"/>
      <c r="M187" s="19"/>
    </row>
    <row r="188" spans="1:13">
      <c r="A188" s="163"/>
      <c r="B188" s="163"/>
      <c r="C188" s="163"/>
      <c r="D188" s="163"/>
      <c r="E188" s="163"/>
      <c r="F188" s="163"/>
      <c r="G188" s="163"/>
      <c r="H188" s="163"/>
      <c r="I188" s="163"/>
      <c r="J188" s="163"/>
      <c r="K188" s="163"/>
      <c r="L188" s="163"/>
      <c r="M188" s="19"/>
    </row>
    <row r="189" spans="1:13">
      <c r="A189" s="163"/>
      <c r="B189" s="163"/>
      <c r="C189" s="163"/>
      <c r="D189" s="163"/>
      <c r="E189" s="163"/>
      <c r="F189" s="163"/>
      <c r="G189" s="163"/>
      <c r="H189" s="163"/>
      <c r="I189" s="163"/>
      <c r="J189" s="163"/>
      <c r="K189" s="163"/>
      <c r="L189" s="163"/>
      <c r="M189" s="19"/>
    </row>
    <row r="190" spans="1:13">
      <c r="A190" s="163"/>
      <c r="B190" s="163"/>
      <c r="C190" s="163"/>
      <c r="D190" s="163"/>
      <c r="E190" s="163"/>
      <c r="F190" s="163"/>
      <c r="G190" s="163"/>
      <c r="H190" s="163"/>
      <c r="I190" s="163"/>
      <c r="J190" s="163"/>
      <c r="K190" s="163"/>
      <c r="L190" s="163"/>
      <c r="M190" s="19"/>
    </row>
    <row r="191" spans="1:13">
      <c r="A191" s="163"/>
      <c r="B191" s="163"/>
      <c r="C191" s="163"/>
      <c r="D191" s="163"/>
      <c r="E191" s="163"/>
      <c r="F191" s="163"/>
      <c r="G191" s="163"/>
      <c r="H191" s="163"/>
      <c r="I191" s="163"/>
      <c r="J191" s="163"/>
      <c r="K191" s="163"/>
      <c r="L191" s="163"/>
      <c r="M191" s="19"/>
    </row>
    <row r="192" spans="1:13">
      <c r="A192" s="163"/>
      <c r="B192" s="163"/>
      <c r="C192" s="163"/>
      <c r="D192" s="163"/>
      <c r="E192" s="163"/>
      <c r="F192" s="163"/>
      <c r="G192" s="163"/>
      <c r="H192" s="163"/>
      <c r="I192" s="163"/>
      <c r="J192" s="163"/>
      <c r="K192" s="163"/>
      <c r="L192" s="163"/>
      <c r="M192" s="19"/>
    </row>
    <row r="193" spans="1:13">
      <c r="A193" s="163"/>
      <c r="B193" s="163"/>
      <c r="C193" s="163"/>
      <c r="D193" s="163"/>
      <c r="E193" s="163"/>
      <c r="F193" s="163"/>
      <c r="G193" s="163"/>
      <c r="H193" s="163"/>
      <c r="I193" s="163"/>
      <c r="J193" s="163"/>
      <c r="K193" s="163"/>
      <c r="L193" s="163"/>
      <c r="M193" s="19"/>
    </row>
    <row r="194" spans="1:13">
      <c r="A194" s="163"/>
      <c r="B194" s="163"/>
      <c r="C194" s="163"/>
      <c r="D194" s="163"/>
      <c r="E194" s="163"/>
      <c r="F194" s="163"/>
      <c r="G194" s="163"/>
      <c r="H194" s="163"/>
      <c r="I194" s="163"/>
      <c r="J194" s="163"/>
      <c r="K194" s="163"/>
      <c r="L194" s="163"/>
      <c r="M194" s="19"/>
    </row>
    <row r="195" spans="1:13">
      <c r="A195" s="163"/>
      <c r="B195" s="163"/>
      <c r="C195" s="163"/>
      <c r="D195" s="163"/>
      <c r="E195" s="163"/>
      <c r="F195" s="163"/>
      <c r="G195" s="163"/>
      <c r="H195" s="163"/>
      <c r="I195" s="163"/>
      <c r="J195" s="163"/>
      <c r="K195" s="163"/>
      <c r="L195" s="163"/>
      <c r="M195" s="19"/>
    </row>
    <row r="196" spans="1:13">
      <c r="A196" s="163"/>
      <c r="B196" s="163"/>
      <c r="C196" s="163"/>
      <c r="D196" s="163"/>
      <c r="E196" s="163"/>
      <c r="F196" s="163"/>
      <c r="G196" s="163"/>
      <c r="H196" s="163"/>
      <c r="I196" s="163"/>
      <c r="J196" s="163"/>
      <c r="K196" s="163"/>
      <c r="L196" s="163"/>
      <c r="M196" s="19"/>
    </row>
    <row r="197" spans="1:13">
      <c r="A197" s="163"/>
      <c r="B197" s="163"/>
      <c r="C197" s="163"/>
      <c r="D197" s="163"/>
      <c r="E197" s="163"/>
      <c r="F197" s="163"/>
      <c r="G197" s="163"/>
      <c r="H197" s="163"/>
      <c r="I197" s="163"/>
      <c r="J197" s="163"/>
      <c r="K197" s="163"/>
      <c r="L197" s="163"/>
      <c r="M197" s="19"/>
    </row>
    <row r="198" spans="1:13">
      <c r="A198" s="163"/>
      <c r="B198" s="163"/>
      <c r="C198" s="163"/>
      <c r="D198" s="163"/>
      <c r="E198" s="163"/>
      <c r="F198" s="163"/>
      <c r="G198" s="163"/>
      <c r="H198" s="163"/>
      <c r="I198" s="163"/>
      <c r="J198" s="163"/>
      <c r="K198" s="163"/>
      <c r="L198" s="163"/>
      <c r="M198" s="19"/>
    </row>
    <row r="199" spans="1:13">
      <c r="A199" s="163"/>
      <c r="B199" s="163"/>
      <c r="C199" s="163"/>
      <c r="D199" s="163"/>
      <c r="E199" s="163"/>
      <c r="F199" s="163"/>
      <c r="G199" s="163"/>
      <c r="H199" s="163"/>
      <c r="I199" s="163"/>
      <c r="J199" s="163"/>
      <c r="K199" s="163"/>
      <c r="L199" s="163"/>
      <c r="M199" s="19"/>
    </row>
    <row r="200" spans="1:13">
      <c r="A200" s="163"/>
      <c r="B200" s="163"/>
      <c r="C200" s="163"/>
      <c r="D200" s="163"/>
      <c r="E200" s="163"/>
      <c r="F200" s="163"/>
      <c r="G200" s="163"/>
      <c r="H200" s="163"/>
      <c r="I200" s="163"/>
      <c r="J200" s="163"/>
      <c r="K200" s="163"/>
      <c r="L200" s="163"/>
      <c r="M200" s="19"/>
    </row>
    <row r="201" spans="1:13">
      <c r="A201" s="163"/>
      <c r="B201" s="163"/>
      <c r="C201" s="163"/>
      <c r="D201" s="163"/>
      <c r="E201" s="163"/>
      <c r="F201" s="163"/>
      <c r="G201" s="163"/>
      <c r="H201" s="163"/>
      <c r="I201" s="163"/>
      <c r="J201" s="163"/>
      <c r="K201" s="163"/>
      <c r="L201" s="163"/>
      <c r="M201" s="19"/>
    </row>
    <row r="202" spans="1:13">
      <c r="A202" s="163"/>
      <c r="B202" s="163"/>
      <c r="C202" s="163"/>
      <c r="D202" s="163"/>
      <c r="E202" s="163"/>
      <c r="F202" s="163"/>
      <c r="G202" s="163"/>
      <c r="H202" s="163"/>
      <c r="I202" s="163"/>
      <c r="J202" s="163"/>
      <c r="K202" s="163"/>
      <c r="L202" s="163"/>
      <c r="M202" s="19"/>
    </row>
    <row r="203" spans="1:13">
      <c r="A203" s="163"/>
      <c r="B203" s="163"/>
      <c r="C203" s="163"/>
      <c r="D203" s="163"/>
      <c r="E203" s="163"/>
      <c r="F203" s="163"/>
      <c r="G203" s="163"/>
      <c r="H203" s="163"/>
      <c r="I203" s="163"/>
      <c r="J203" s="163"/>
      <c r="K203" s="163"/>
      <c r="L203" s="163"/>
      <c r="M203" s="19"/>
    </row>
    <row r="204" spans="1:13">
      <c r="A204" s="163"/>
      <c r="B204" s="163"/>
      <c r="C204" s="163"/>
      <c r="D204" s="163"/>
      <c r="E204" s="163"/>
      <c r="F204" s="163"/>
      <c r="G204" s="163"/>
      <c r="H204" s="163"/>
      <c r="I204" s="163"/>
      <c r="J204" s="163"/>
      <c r="K204" s="163"/>
      <c r="L204" s="163"/>
      <c r="M204" s="19"/>
    </row>
    <row r="205" spans="1:13">
      <c r="A205" s="163"/>
      <c r="B205" s="163"/>
      <c r="C205" s="163"/>
      <c r="D205" s="163"/>
      <c r="E205" s="163"/>
      <c r="F205" s="163"/>
      <c r="G205" s="163"/>
      <c r="H205" s="163"/>
      <c r="I205" s="163"/>
      <c r="J205" s="163"/>
      <c r="K205" s="163"/>
      <c r="L205" s="163"/>
      <c r="M205" s="19"/>
    </row>
    <row r="206" spans="1:13">
      <c r="A206" s="163"/>
      <c r="B206" s="163"/>
      <c r="C206" s="163"/>
      <c r="D206" s="163"/>
      <c r="E206" s="163"/>
      <c r="F206" s="163"/>
      <c r="G206" s="163"/>
      <c r="H206" s="163"/>
      <c r="I206" s="163"/>
      <c r="J206" s="163"/>
      <c r="K206" s="163"/>
      <c r="L206" s="163"/>
      <c r="M206" s="19"/>
    </row>
    <row r="207" spans="1:13">
      <c r="A207" s="163"/>
      <c r="B207" s="163"/>
      <c r="C207" s="163"/>
      <c r="D207" s="163"/>
      <c r="E207" s="163"/>
      <c r="F207" s="163"/>
      <c r="G207" s="163"/>
      <c r="H207" s="163"/>
      <c r="I207" s="163"/>
      <c r="J207" s="163"/>
      <c r="K207" s="163"/>
      <c r="L207" s="163"/>
      <c r="M207" s="19"/>
    </row>
    <row r="208" spans="1:13">
      <c r="A208" s="163"/>
      <c r="B208" s="163"/>
      <c r="C208" s="163"/>
      <c r="D208" s="163"/>
      <c r="E208" s="163"/>
      <c r="F208" s="163"/>
      <c r="G208" s="163"/>
      <c r="H208" s="163"/>
      <c r="I208" s="163"/>
      <c r="J208" s="163"/>
      <c r="K208" s="163"/>
      <c r="L208" s="163"/>
      <c r="M208" s="19"/>
    </row>
    <row r="209" spans="1:13">
      <c r="A209" s="163"/>
      <c r="B209" s="163"/>
      <c r="C209" s="163"/>
      <c r="D209" s="163"/>
      <c r="E209" s="163"/>
      <c r="F209" s="163"/>
      <c r="G209" s="163"/>
      <c r="H209" s="163"/>
      <c r="I209" s="163"/>
      <c r="J209" s="163"/>
      <c r="K209" s="163"/>
      <c r="L209" s="163"/>
      <c r="M209" s="19"/>
    </row>
    <row r="210" spans="1:13">
      <c r="A210" s="163"/>
      <c r="B210" s="163"/>
      <c r="C210" s="163"/>
      <c r="D210" s="163"/>
      <c r="E210" s="163"/>
      <c r="F210" s="163"/>
      <c r="G210" s="163"/>
      <c r="H210" s="163"/>
      <c r="I210" s="163"/>
      <c r="J210" s="163"/>
      <c r="K210" s="163"/>
      <c r="L210" s="163"/>
      <c r="M210" s="19"/>
    </row>
    <row r="211" spans="1:13">
      <c r="A211" s="163"/>
      <c r="B211" s="163"/>
      <c r="C211" s="163"/>
      <c r="D211" s="163"/>
      <c r="E211" s="163"/>
      <c r="F211" s="163"/>
      <c r="G211" s="163"/>
      <c r="H211" s="163"/>
      <c r="I211" s="163"/>
      <c r="J211" s="163"/>
      <c r="K211" s="163"/>
      <c r="L211" s="163"/>
      <c r="M211" s="19"/>
    </row>
    <row r="212" spans="1:13">
      <c r="A212" s="163"/>
      <c r="B212" s="163"/>
      <c r="C212" s="163"/>
      <c r="D212" s="163"/>
      <c r="E212" s="163"/>
      <c r="F212" s="163"/>
      <c r="G212" s="163"/>
      <c r="H212" s="163"/>
      <c r="I212" s="163"/>
      <c r="J212" s="163"/>
      <c r="K212" s="163"/>
      <c r="L212" s="163"/>
      <c r="M212" s="19"/>
    </row>
    <row r="213" spans="1:13">
      <c r="A213" s="163"/>
      <c r="B213" s="163"/>
      <c r="C213" s="163"/>
      <c r="D213" s="163"/>
      <c r="E213" s="163"/>
      <c r="F213" s="163"/>
      <c r="G213" s="163"/>
      <c r="H213" s="163"/>
      <c r="I213" s="163"/>
      <c r="J213" s="163"/>
      <c r="K213" s="163"/>
      <c r="L213" s="163"/>
      <c r="M213" s="19"/>
    </row>
    <row r="214" spans="1:13">
      <c r="A214" s="163"/>
      <c r="B214" s="163"/>
      <c r="C214" s="163"/>
      <c r="D214" s="163"/>
      <c r="E214" s="163"/>
      <c r="F214" s="163"/>
      <c r="G214" s="163"/>
      <c r="H214" s="163"/>
      <c r="I214" s="163"/>
      <c r="J214" s="163"/>
      <c r="K214" s="163"/>
      <c r="L214" s="163"/>
      <c r="M214" s="19"/>
    </row>
    <row r="215" spans="1:13">
      <c r="A215" s="163"/>
      <c r="B215" s="163"/>
      <c r="C215" s="163"/>
      <c r="D215" s="163"/>
      <c r="E215" s="163"/>
      <c r="F215" s="163"/>
      <c r="G215" s="163"/>
      <c r="H215" s="163"/>
      <c r="I215" s="163"/>
      <c r="J215" s="163"/>
      <c r="K215" s="163"/>
      <c r="L215" s="163"/>
      <c r="M215" s="19"/>
    </row>
    <row r="216" spans="1:13">
      <c r="A216" s="163"/>
      <c r="B216" s="163"/>
      <c r="C216" s="163"/>
      <c r="D216" s="163"/>
      <c r="E216" s="163"/>
      <c r="F216" s="163"/>
      <c r="G216" s="163"/>
      <c r="H216" s="163"/>
      <c r="I216" s="163"/>
      <c r="J216" s="163"/>
      <c r="K216" s="163"/>
      <c r="L216" s="163"/>
      <c r="M216" s="19"/>
    </row>
    <row r="217" spans="1:13">
      <c r="A217" s="163"/>
      <c r="B217" s="163"/>
      <c r="C217" s="163"/>
      <c r="D217" s="163"/>
      <c r="E217" s="163"/>
      <c r="F217" s="163"/>
      <c r="G217" s="163"/>
      <c r="H217" s="163"/>
      <c r="I217" s="163"/>
      <c r="J217" s="163"/>
      <c r="K217" s="163"/>
      <c r="L217" s="163"/>
      <c r="M217" s="19"/>
    </row>
    <row r="218" spans="1:13">
      <c r="A218" s="163"/>
      <c r="B218" s="163"/>
      <c r="C218" s="163"/>
      <c r="D218" s="163"/>
      <c r="E218" s="163"/>
      <c r="F218" s="163"/>
      <c r="G218" s="163"/>
      <c r="H218" s="163"/>
      <c r="I218" s="163"/>
      <c r="J218" s="163"/>
      <c r="K218" s="163"/>
      <c r="L218" s="163"/>
      <c r="M218" s="19"/>
    </row>
    <row r="219" spans="1:13">
      <c r="A219" s="163"/>
      <c r="B219" s="163"/>
      <c r="C219" s="163"/>
      <c r="D219" s="163"/>
      <c r="E219" s="163"/>
      <c r="F219" s="163"/>
      <c r="G219" s="163"/>
      <c r="H219" s="163"/>
      <c r="I219" s="163"/>
      <c r="J219" s="163"/>
      <c r="K219" s="163"/>
      <c r="L219" s="163"/>
      <c r="M219" s="19"/>
    </row>
    <row r="220" spans="1:13">
      <c r="A220" s="163"/>
      <c r="B220" s="163"/>
      <c r="C220" s="163"/>
      <c r="D220" s="163"/>
      <c r="E220" s="163"/>
      <c r="F220" s="163"/>
      <c r="G220" s="163"/>
      <c r="H220" s="163"/>
      <c r="I220" s="163"/>
      <c r="J220" s="163"/>
      <c r="K220" s="163"/>
      <c r="L220" s="163"/>
      <c r="M220" s="19"/>
    </row>
    <row r="221" spans="1:13">
      <c r="A221" s="163"/>
      <c r="B221" s="163"/>
      <c r="C221" s="163"/>
      <c r="D221" s="163"/>
      <c r="E221" s="163"/>
      <c r="F221" s="163"/>
      <c r="G221" s="163"/>
      <c r="H221" s="163"/>
      <c r="I221" s="163"/>
      <c r="J221" s="163"/>
      <c r="K221" s="163"/>
      <c r="L221" s="163"/>
      <c r="M221" s="19"/>
    </row>
    <row r="222" spans="1:13">
      <c r="A222" s="163"/>
      <c r="B222" s="163"/>
      <c r="C222" s="163"/>
      <c r="D222" s="163"/>
      <c r="E222" s="163"/>
      <c r="F222" s="163"/>
      <c r="G222" s="163"/>
      <c r="H222" s="163"/>
      <c r="I222" s="163"/>
      <c r="J222" s="163"/>
      <c r="K222" s="163"/>
      <c r="L222" s="163"/>
      <c r="M222" s="19"/>
    </row>
    <row r="223" spans="1:13">
      <c r="A223" s="163"/>
      <c r="B223" s="163"/>
      <c r="C223" s="163"/>
      <c r="D223" s="163"/>
      <c r="E223" s="163"/>
      <c r="F223" s="163"/>
      <c r="G223" s="163"/>
      <c r="H223" s="163"/>
      <c r="I223" s="163"/>
      <c r="J223" s="163"/>
      <c r="K223" s="163"/>
      <c r="L223" s="163"/>
      <c r="M223" s="19"/>
    </row>
    <row r="224" spans="1:13">
      <c r="A224" s="163"/>
      <c r="B224" s="163"/>
      <c r="C224" s="163"/>
      <c r="D224" s="163"/>
      <c r="E224" s="163"/>
      <c r="F224" s="163"/>
      <c r="G224" s="163"/>
      <c r="H224" s="163"/>
      <c r="I224" s="163"/>
      <c r="J224" s="163"/>
      <c r="K224" s="163"/>
      <c r="L224" s="163"/>
      <c r="M224" s="19"/>
    </row>
    <row r="225" spans="1:13">
      <c r="A225" s="163"/>
      <c r="B225" s="163"/>
      <c r="C225" s="163"/>
      <c r="D225" s="163"/>
      <c r="E225" s="163"/>
      <c r="F225" s="163"/>
      <c r="G225" s="163"/>
      <c r="H225" s="163"/>
      <c r="I225" s="163"/>
      <c r="J225" s="163"/>
      <c r="K225" s="163"/>
      <c r="L225" s="163"/>
      <c r="M225" s="19"/>
    </row>
    <row r="226" spans="1:13">
      <c r="A226" s="163"/>
      <c r="B226" s="163"/>
      <c r="C226" s="163"/>
      <c r="D226" s="163"/>
      <c r="E226" s="163"/>
      <c r="F226" s="163"/>
      <c r="G226" s="163"/>
      <c r="H226" s="163"/>
      <c r="I226" s="163"/>
      <c r="J226" s="163"/>
      <c r="K226" s="163"/>
      <c r="L226" s="163"/>
      <c r="M226" s="19"/>
    </row>
    <row r="227" spans="1:13">
      <c r="A227" s="163"/>
      <c r="B227" s="163"/>
      <c r="C227" s="163"/>
      <c r="D227" s="163"/>
      <c r="E227" s="163"/>
      <c r="F227" s="163"/>
      <c r="G227" s="163"/>
      <c r="H227" s="163"/>
      <c r="I227" s="163"/>
      <c r="J227" s="163"/>
      <c r="K227" s="163"/>
      <c r="L227" s="163"/>
      <c r="M227" s="19"/>
    </row>
    <row r="228" spans="1:13">
      <c r="A228" s="163"/>
      <c r="B228" s="163"/>
      <c r="C228" s="163"/>
      <c r="D228" s="163"/>
      <c r="E228" s="163"/>
      <c r="F228" s="163"/>
      <c r="G228" s="163"/>
      <c r="H228" s="163"/>
      <c r="I228" s="163"/>
      <c r="J228" s="163"/>
      <c r="K228" s="163"/>
      <c r="L228" s="163"/>
      <c r="M228" s="19"/>
    </row>
    <row r="229" spans="1:13">
      <c r="A229" s="163"/>
      <c r="B229" s="163"/>
      <c r="C229" s="163"/>
      <c r="D229" s="163"/>
      <c r="E229" s="163"/>
      <c r="F229" s="163"/>
      <c r="G229" s="163"/>
      <c r="H229" s="163"/>
      <c r="I229" s="163"/>
      <c r="J229" s="163"/>
      <c r="K229" s="163"/>
      <c r="L229" s="163"/>
      <c r="M229" s="19"/>
    </row>
    <row r="230" spans="1:13">
      <c r="A230" s="163"/>
      <c r="B230" s="163"/>
      <c r="C230" s="163"/>
      <c r="D230" s="163"/>
      <c r="E230" s="163"/>
      <c r="F230" s="163"/>
      <c r="G230" s="163"/>
      <c r="H230" s="163"/>
      <c r="I230" s="163"/>
      <c r="J230" s="163"/>
      <c r="K230" s="163"/>
      <c r="L230" s="163"/>
      <c r="M230" s="19"/>
    </row>
    <row r="231" spans="1:13">
      <c r="A231" s="163"/>
      <c r="B231" s="163"/>
      <c r="C231" s="163"/>
      <c r="D231" s="163"/>
      <c r="E231" s="163"/>
      <c r="F231" s="163"/>
      <c r="G231" s="163"/>
      <c r="H231" s="163"/>
      <c r="I231" s="163"/>
      <c r="J231" s="163"/>
      <c r="K231" s="163"/>
      <c r="L231" s="163"/>
      <c r="M231" s="19"/>
    </row>
    <row r="232" spans="1:13">
      <c r="A232" s="163"/>
      <c r="B232" s="163"/>
      <c r="C232" s="163"/>
      <c r="D232" s="163"/>
      <c r="E232" s="163"/>
      <c r="F232" s="163"/>
      <c r="G232" s="163"/>
      <c r="H232" s="163"/>
      <c r="I232" s="163"/>
      <c r="J232" s="163"/>
      <c r="K232" s="163"/>
      <c r="L232" s="163"/>
      <c r="M232" s="19"/>
    </row>
    <row r="233" spans="1:13">
      <c r="A233" s="163"/>
      <c r="B233" s="163"/>
      <c r="C233" s="163"/>
      <c r="D233" s="163"/>
      <c r="E233" s="163"/>
      <c r="F233" s="163"/>
      <c r="G233" s="163"/>
      <c r="H233" s="163"/>
      <c r="I233" s="163"/>
      <c r="J233" s="163"/>
      <c r="K233" s="163"/>
      <c r="L233" s="163"/>
      <c r="M233" s="19"/>
    </row>
    <row r="234" spans="1:13">
      <c r="A234" s="163"/>
      <c r="B234" s="163"/>
      <c r="C234" s="163"/>
      <c r="D234" s="163"/>
      <c r="E234" s="163"/>
      <c r="F234" s="163"/>
      <c r="G234" s="163"/>
      <c r="H234" s="163"/>
      <c r="I234" s="163"/>
      <c r="J234" s="163"/>
      <c r="K234" s="163"/>
      <c r="L234" s="163"/>
      <c r="M234" s="19"/>
    </row>
    <row r="235" spans="1:13">
      <c r="A235" s="163"/>
      <c r="B235" s="163"/>
      <c r="C235" s="163"/>
      <c r="D235" s="163"/>
      <c r="E235" s="163"/>
      <c r="F235" s="163"/>
      <c r="G235" s="163"/>
      <c r="H235" s="163"/>
      <c r="I235" s="163"/>
      <c r="J235" s="163"/>
      <c r="K235" s="163"/>
      <c r="L235" s="163"/>
      <c r="M235" s="19"/>
    </row>
    <row r="236" spans="1:13">
      <c r="A236" s="163"/>
      <c r="B236" s="163"/>
      <c r="C236" s="163"/>
      <c r="D236" s="163"/>
      <c r="E236" s="163"/>
      <c r="F236" s="163"/>
      <c r="G236" s="163"/>
      <c r="H236" s="163"/>
      <c r="I236" s="163"/>
      <c r="J236" s="163"/>
      <c r="K236" s="163"/>
      <c r="L236" s="163"/>
      <c r="M236" s="19"/>
    </row>
    <row r="237" spans="1:13">
      <c r="A237" s="163"/>
      <c r="B237" s="163"/>
      <c r="C237" s="163"/>
      <c r="D237" s="163"/>
      <c r="E237" s="163"/>
      <c r="F237" s="163"/>
      <c r="G237" s="163"/>
      <c r="H237" s="163"/>
      <c r="I237" s="163"/>
      <c r="J237" s="163"/>
      <c r="K237" s="163"/>
      <c r="L237" s="163"/>
      <c r="M237" s="19"/>
    </row>
    <row r="238" spans="1:13">
      <c r="A238" s="163"/>
      <c r="B238" s="163"/>
      <c r="C238" s="163"/>
      <c r="D238" s="163"/>
      <c r="E238" s="163"/>
      <c r="F238" s="163"/>
      <c r="G238" s="163"/>
      <c r="H238" s="163"/>
      <c r="I238" s="163"/>
      <c r="J238" s="163"/>
      <c r="K238" s="163"/>
      <c r="L238" s="163"/>
      <c r="M238" s="19"/>
    </row>
    <row r="239" spans="1:13">
      <c r="A239" s="163"/>
      <c r="B239" s="163"/>
      <c r="C239" s="163"/>
      <c r="D239" s="163"/>
      <c r="E239" s="163"/>
      <c r="F239" s="163"/>
      <c r="G239" s="163"/>
      <c r="H239" s="163"/>
      <c r="I239" s="163"/>
      <c r="J239" s="163"/>
      <c r="K239" s="163"/>
      <c r="L239" s="163"/>
      <c r="M239" s="19"/>
    </row>
    <row r="240" spans="1:13">
      <c r="A240" s="163"/>
      <c r="B240" s="163"/>
      <c r="C240" s="163"/>
      <c r="D240" s="163"/>
      <c r="E240" s="163"/>
      <c r="F240" s="163"/>
      <c r="G240" s="163"/>
      <c r="H240" s="163"/>
      <c r="I240" s="163"/>
      <c r="J240" s="163"/>
      <c r="K240" s="163"/>
      <c r="L240" s="163"/>
      <c r="M240" s="19"/>
    </row>
    <row r="241" spans="1:13">
      <c r="A241" s="163"/>
      <c r="B241" s="163"/>
      <c r="C241" s="163"/>
      <c r="D241" s="163"/>
      <c r="E241" s="163"/>
      <c r="F241" s="163"/>
      <c r="G241" s="163"/>
      <c r="H241" s="163"/>
      <c r="I241" s="163"/>
      <c r="J241" s="163"/>
      <c r="K241" s="163"/>
      <c r="L241" s="163"/>
      <c r="M241" s="19"/>
    </row>
    <row r="242" spans="1:13">
      <c r="A242" s="163"/>
      <c r="B242" s="163"/>
      <c r="C242" s="163"/>
      <c r="D242" s="163"/>
      <c r="E242" s="163"/>
      <c r="F242" s="163"/>
      <c r="G242" s="163"/>
      <c r="H242" s="163"/>
      <c r="I242" s="163"/>
      <c r="J242" s="163"/>
      <c r="K242" s="163"/>
      <c r="L242" s="163"/>
      <c r="M242" s="19"/>
    </row>
    <row r="243" spans="1:13">
      <c r="A243" s="163"/>
      <c r="B243" s="163"/>
      <c r="C243" s="163"/>
      <c r="D243" s="163"/>
      <c r="E243" s="163"/>
      <c r="F243" s="163"/>
      <c r="G243" s="163"/>
      <c r="H243" s="163"/>
      <c r="I243" s="163"/>
      <c r="J243" s="163"/>
      <c r="K243" s="163"/>
      <c r="L243" s="163"/>
      <c r="M243" s="19"/>
    </row>
    <row r="244" spans="1:13">
      <c r="A244" s="163"/>
      <c r="B244" s="163"/>
      <c r="C244" s="163"/>
      <c r="D244" s="163"/>
      <c r="E244" s="163"/>
      <c r="F244" s="163"/>
      <c r="G244" s="163"/>
      <c r="H244" s="163"/>
      <c r="I244" s="163"/>
      <c r="J244" s="163"/>
      <c r="K244" s="163"/>
      <c r="L244" s="163"/>
      <c r="M244" s="19"/>
    </row>
    <row r="245" spans="1:13">
      <c r="A245" s="163"/>
      <c r="B245" s="163"/>
      <c r="C245" s="163"/>
      <c r="D245" s="163"/>
      <c r="E245" s="163"/>
      <c r="F245" s="163"/>
      <c r="G245" s="163"/>
      <c r="H245" s="163"/>
      <c r="I245" s="163"/>
      <c r="J245" s="163"/>
      <c r="K245" s="163"/>
      <c r="L245" s="163"/>
      <c r="M245" s="19"/>
    </row>
    <row r="246" spans="1:13">
      <c r="A246" s="163"/>
      <c r="B246" s="163"/>
      <c r="C246" s="163"/>
      <c r="D246" s="163"/>
      <c r="E246" s="163"/>
      <c r="F246" s="163"/>
      <c r="G246" s="163"/>
      <c r="H246" s="163"/>
      <c r="I246" s="163"/>
      <c r="J246" s="163"/>
      <c r="K246" s="163"/>
      <c r="L246" s="163"/>
      <c r="M246" s="19"/>
    </row>
    <row r="247" spans="1:13">
      <c r="A247" s="163"/>
      <c r="B247" s="163"/>
      <c r="C247" s="163"/>
      <c r="D247" s="163"/>
      <c r="E247" s="163"/>
      <c r="F247" s="163"/>
      <c r="G247" s="163"/>
      <c r="H247" s="163"/>
      <c r="I247" s="163"/>
      <c r="J247" s="163"/>
      <c r="K247" s="163"/>
      <c r="L247" s="163"/>
      <c r="M247" s="19"/>
    </row>
    <row r="248" spans="1:13">
      <c r="A248" s="163"/>
      <c r="B248" s="163"/>
      <c r="C248" s="163"/>
      <c r="D248" s="163"/>
      <c r="E248" s="163"/>
      <c r="F248" s="163"/>
      <c r="G248" s="163"/>
      <c r="H248" s="163"/>
      <c r="I248" s="163"/>
      <c r="J248" s="163"/>
      <c r="K248" s="163"/>
      <c r="L248" s="163"/>
      <c r="M248" s="19"/>
    </row>
    <row r="249" spans="1:13">
      <c r="A249" s="163"/>
      <c r="B249" s="163"/>
      <c r="C249" s="163"/>
      <c r="D249" s="163"/>
      <c r="E249" s="163"/>
      <c r="F249" s="163"/>
      <c r="G249" s="163"/>
      <c r="H249" s="163"/>
      <c r="I249" s="163"/>
      <c r="J249" s="163"/>
      <c r="K249" s="163"/>
      <c r="L249" s="163"/>
      <c r="M249" s="19"/>
    </row>
    <row r="250" spans="1:13">
      <c r="A250" s="163"/>
      <c r="B250" s="163"/>
      <c r="C250" s="163"/>
      <c r="D250" s="163"/>
      <c r="E250" s="163"/>
      <c r="F250" s="163"/>
      <c r="G250" s="163"/>
      <c r="H250" s="163"/>
      <c r="I250" s="163"/>
      <c r="J250" s="163"/>
      <c r="K250" s="163"/>
      <c r="L250" s="163"/>
      <c r="M250" s="19"/>
    </row>
    <row r="251" spans="1:13">
      <c r="A251" s="163"/>
      <c r="B251" s="163"/>
      <c r="C251" s="163"/>
      <c r="D251" s="163"/>
      <c r="E251" s="163"/>
      <c r="F251" s="163"/>
      <c r="G251" s="163"/>
      <c r="H251" s="163"/>
      <c r="I251" s="163"/>
      <c r="J251" s="163"/>
      <c r="K251" s="163"/>
      <c r="L251" s="163"/>
      <c r="M251" s="19"/>
    </row>
    <row r="252" spans="1:13">
      <c r="A252" s="163"/>
      <c r="B252" s="163"/>
      <c r="C252" s="163"/>
      <c r="D252" s="163"/>
      <c r="E252" s="163"/>
      <c r="F252" s="163"/>
      <c r="G252" s="163"/>
      <c r="H252" s="163"/>
      <c r="I252" s="163"/>
      <c r="J252" s="163"/>
      <c r="K252" s="163"/>
      <c r="L252" s="163"/>
      <c r="M252" s="19"/>
    </row>
    <row r="253" spans="1:13">
      <c r="A253" s="163"/>
      <c r="B253" s="163"/>
      <c r="C253" s="163"/>
      <c r="D253" s="163"/>
      <c r="E253" s="163"/>
      <c r="F253" s="163"/>
      <c r="G253" s="163"/>
      <c r="H253" s="163"/>
      <c r="I253" s="163"/>
      <c r="J253" s="163"/>
      <c r="K253" s="163"/>
      <c r="L253" s="163"/>
      <c r="M253" s="19"/>
    </row>
    <row r="254" spans="1:13">
      <c r="A254" s="163"/>
      <c r="B254" s="163"/>
      <c r="C254" s="163"/>
      <c r="D254" s="163"/>
      <c r="E254" s="163"/>
      <c r="F254" s="163"/>
      <c r="G254" s="163"/>
      <c r="H254" s="163"/>
      <c r="I254" s="163"/>
      <c r="J254" s="163"/>
      <c r="K254" s="163"/>
      <c r="L254" s="163"/>
      <c r="M254" s="19"/>
    </row>
    <row r="255" spans="1:13">
      <c r="A255" s="163"/>
      <c r="B255" s="163"/>
      <c r="C255" s="163"/>
      <c r="D255" s="163"/>
      <c r="E255" s="163"/>
      <c r="F255" s="163"/>
      <c r="G255" s="163"/>
      <c r="H255" s="163"/>
      <c r="I255" s="163"/>
      <c r="J255" s="163"/>
      <c r="K255" s="163"/>
      <c r="L255" s="163"/>
      <c r="M255" s="19"/>
    </row>
    <row r="256" spans="1:13">
      <c r="A256" s="163"/>
      <c r="B256" s="163"/>
      <c r="C256" s="163"/>
      <c r="D256" s="163"/>
      <c r="E256" s="163"/>
      <c r="F256" s="163"/>
      <c r="G256" s="163"/>
      <c r="H256" s="163"/>
      <c r="I256" s="163"/>
      <c r="J256" s="163"/>
      <c r="K256" s="163"/>
      <c r="L256" s="163"/>
      <c r="M256" s="19"/>
    </row>
    <row r="257" spans="1:13">
      <c r="A257" s="163"/>
      <c r="B257" s="163"/>
      <c r="C257" s="163"/>
      <c r="D257" s="163"/>
      <c r="E257" s="163"/>
      <c r="F257" s="163"/>
      <c r="G257" s="163"/>
      <c r="H257" s="163"/>
      <c r="I257" s="163"/>
      <c r="J257" s="163"/>
      <c r="K257" s="163"/>
      <c r="L257" s="163"/>
      <c r="M257" s="19"/>
    </row>
    <row r="258" spans="1:13">
      <c r="A258" s="163"/>
      <c r="B258" s="163"/>
      <c r="C258" s="163"/>
      <c r="D258" s="163"/>
      <c r="E258" s="163"/>
      <c r="F258" s="163"/>
      <c r="G258" s="163"/>
      <c r="H258" s="163"/>
      <c r="I258" s="163"/>
      <c r="J258" s="163"/>
      <c r="K258" s="163"/>
      <c r="L258" s="163"/>
      <c r="M258" s="19"/>
    </row>
    <row r="259" spans="1:13">
      <c r="A259" s="163"/>
      <c r="B259" s="163"/>
      <c r="C259" s="163"/>
      <c r="D259" s="163"/>
      <c r="E259" s="163"/>
      <c r="F259" s="163"/>
      <c r="G259" s="163"/>
      <c r="H259" s="163"/>
      <c r="I259" s="163"/>
      <c r="J259" s="163"/>
      <c r="K259" s="163"/>
      <c r="L259" s="163"/>
      <c r="M259" s="19"/>
    </row>
    <row r="260" spans="1:13">
      <c r="A260" s="163"/>
      <c r="B260" s="163"/>
      <c r="C260" s="163"/>
      <c r="D260" s="163"/>
      <c r="E260" s="163"/>
      <c r="F260" s="163"/>
      <c r="G260" s="163"/>
      <c r="H260" s="163"/>
      <c r="I260" s="163"/>
      <c r="J260" s="163"/>
      <c r="K260" s="163"/>
      <c r="L260" s="163"/>
      <c r="M260" s="19"/>
    </row>
    <row r="261" spans="1:13">
      <c r="A261" s="163"/>
      <c r="B261" s="163"/>
      <c r="C261" s="163"/>
      <c r="D261" s="163"/>
      <c r="E261" s="163"/>
      <c r="F261" s="163"/>
      <c r="G261" s="163"/>
      <c r="H261" s="163"/>
      <c r="I261" s="163"/>
      <c r="J261" s="163"/>
      <c r="K261" s="163"/>
      <c r="L261" s="163"/>
      <c r="M261" s="19"/>
    </row>
    <row r="262" spans="1:13">
      <c r="A262" s="163"/>
      <c r="B262" s="163"/>
      <c r="C262" s="163"/>
      <c r="D262" s="163"/>
      <c r="E262" s="163"/>
      <c r="F262" s="163"/>
      <c r="G262" s="163"/>
      <c r="H262" s="163"/>
      <c r="I262" s="163"/>
      <c r="J262" s="163"/>
      <c r="K262" s="163"/>
      <c r="L262" s="163"/>
      <c r="M262" s="19"/>
    </row>
    <row r="263" spans="1:13">
      <c r="A263" s="163"/>
      <c r="B263" s="163"/>
      <c r="C263" s="163"/>
      <c r="D263" s="163"/>
      <c r="E263" s="163"/>
      <c r="F263" s="163"/>
      <c r="G263" s="163"/>
      <c r="H263" s="163"/>
      <c r="I263" s="163"/>
      <c r="J263" s="163"/>
      <c r="K263" s="163"/>
      <c r="L263" s="163"/>
      <c r="M263" s="19"/>
    </row>
    <row r="264" spans="1:13">
      <c r="A264" s="163"/>
      <c r="B264" s="163"/>
      <c r="C264" s="163"/>
      <c r="D264" s="163"/>
      <c r="E264" s="163"/>
      <c r="F264" s="163"/>
      <c r="G264" s="163"/>
      <c r="H264" s="163"/>
      <c r="I264" s="163"/>
      <c r="J264" s="163"/>
      <c r="K264" s="163"/>
      <c r="L264" s="163"/>
      <c r="M264" s="19"/>
    </row>
    <row r="265" spans="1:13">
      <c r="A265" s="163"/>
      <c r="B265" s="163"/>
      <c r="C265" s="163"/>
      <c r="D265" s="163"/>
      <c r="E265" s="163"/>
      <c r="F265" s="163"/>
      <c r="G265" s="163"/>
      <c r="H265" s="163"/>
      <c r="I265" s="163"/>
      <c r="J265" s="163"/>
      <c r="K265" s="163"/>
      <c r="L265" s="163"/>
      <c r="M265" s="19"/>
    </row>
    <row r="266" spans="1:13">
      <c r="A266" s="163"/>
      <c r="B266" s="163"/>
      <c r="C266" s="163"/>
      <c r="D266" s="163"/>
      <c r="E266" s="163"/>
      <c r="F266" s="163"/>
      <c r="G266" s="163"/>
      <c r="H266" s="163"/>
      <c r="I266" s="163"/>
      <c r="J266" s="163"/>
      <c r="K266" s="163"/>
      <c r="L266" s="163"/>
      <c r="M266" s="19"/>
    </row>
    <row r="267" spans="1:13">
      <c r="A267" s="163"/>
      <c r="B267" s="163"/>
      <c r="C267" s="163"/>
      <c r="D267" s="163"/>
      <c r="E267" s="163"/>
      <c r="F267" s="163"/>
      <c r="G267" s="163"/>
      <c r="H267" s="163"/>
      <c r="I267" s="163"/>
      <c r="J267" s="163"/>
      <c r="K267" s="163"/>
      <c r="L267" s="163"/>
      <c r="M267" s="19"/>
    </row>
    <row r="268" spans="1:13">
      <c r="A268" s="163"/>
      <c r="B268" s="163"/>
      <c r="C268" s="163"/>
      <c r="D268" s="163"/>
      <c r="E268" s="163"/>
      <c r="F268" s="163"/>
      <c r="G268" s="163"/>
      <c r="H268" s="163"/>
      <c r="I268" s="163"/>
      <c r="J268" s="163"/>
      <c r="K268" s="163"/>
      <c r="L268" s="163"/>
      <c r="M268" s="19"/>
    </row>
    <row r="269" spans="1:13">
      <c r="A269" s="163"/>
      <c r="B269" s="163"/>
      <c r="C269" s="163"/>
      <c r="D269" s="163"/>
      <c r="E269" s="163"/>
      <c r="F269" s="163"/>
      <c r="G269" s="163"/>
      <c r="H269" s="163"/>
      <c r="I269" s="163"/>
      <c r="J269" s="163"/>
      <c r="K269" s="163"/>
      <c r="L269" s="163"/>
      <c r="M269" s="19"/>
    </row>
    <row r="270" spans="1:13">
      <c r="A270" s="163"/>
      <c r="B270" s="163"/>
      <c r="C270" s="163"/>
      <c r="D270" s="163"/>
      <c r="E270" s="163"/>
      <c r="F270" s="163"/>
      <c r="G270" s="163"/>
      <c r="H270" s="163"/>
      <c r="I270" s="163"/>
      <c r="J270" s="163"/>
      <c r="K270" s="163"/>
      <c r="L270" s="163"/>
      <c r="M270" s="19"/>
    </row>
    <row r="271" spans="1:13">
      <c r="A271" s="163"/>
      <c r="B271" s="163"/>
      <c r="C271" s="163"/>
      <c r="D271" s="163"/>
      <c r="E271" s="163"/>
      <c r="F271" s="163"/>
      <c r="G271" s="163"/>
      <c r="H271" s="163"/>
      <c r="I271" s="163"/>
      <c r="J271" s="163"/>
      <c r="K271" s="163"/>
      <c r="L271" s="163"/>
      <c r="M271" s="19"/>
    </row>
    <row r="272" spans="1:13">
      <c r="A272" s="163"/>
      <c r="B272" s="163"/>
      <c r="C272" s="163"/>
      <c r="D272" s="163"/>
      <c r="E272" s="163"/>
      <c r="F272" s="163"/>
      <c r="G272" s="163"/>
      <c r="H272" s="163"/>
      <c r="I272" s="163"/>
      <c r="J272" s="163"/>
      <c r="K272" s="163"/>
      <c r="L272" s="163"/>
      <c r="M272" s="19"/>
    </row>
    <row r="273" spans="1:13">
      <c r="A273" s="163"/>
      <c r="B273" s="163"/>
      <c r="C273" s="163"/>
      <c r="D273" s="163"/>
      <c r="E273" s="163"/>
      <c r="F273" s="163"/>
      <c r="G273" s="163"/>
      <c r="H273" s="163"/>
      <c r="I273" s="163"/>
      <c r="J273" s="163"/>
      <c r="K273" s="163"/>
      <c r="L273" s="163"/>
      <c r="M273" s="19"/>
    </row>
    <row r="274" spans="1:13">
      <c r="A274" s="163"/>
      <c r="B274" s="163"/>
      <c r="C274" s="163"/>
      <c r="D274" s="163"/>
      <c r="E274" s="163"/>
      <c r="F274" s="163"/>
      <c r="G274" s="163"/>
      <c r="H274" s="163"/>
      <c r="I274" s="163"/>
      <c r="J274" s="163"/>
      <c r="K274" s="163"/>
      <c r="L274" s="163"/>
      <c r="M274" s="19"/>
    </row>
    <row r="275" spans="1:13">
      <c r="A275" s="163"/>
      <c r="B275" s="163"/>
      <c r="C275" s="163"/>
      <c r="D275" s="163"/>
      <c r="E275" s="163"/>
      <c r="F275" s="163"/>
      <c r="G275" s="163"/>
      <c r="H275" s="163"/>
      <c r="I275" s="163"/>
      <c r="J275" s="163"/>
      <c r="K275" s="163"/>
      <c r="L275" s="163"/>
      <c r="M275" s="19"/>
    </row>
    <row r="276" spans="1:13">
      <c r="A276" s="163"/>
      <c r="B276" s="163"/>
      <c r="C276" s="163"/>
      <c r="D276" s="163"/>
      <c r="E276" s="163"/>
      <c r="F276" s="163"/>
      <c r="G276" s="163"/>
      <c r="H276" s="163"/>
      <c r="I276" s="163"/>
      <c r="J276" s="163"/>
      <c r="K276" s="163"/>
      <c r="L276" s="163"/>
      <c r="M276" s="19"/>
    </row>
    <row r="277" spans="1:13">
      <c r="A277" s="163"/>
      <c r="B277" s="163"/>
      <c r="C277" s="163"/>
      <c r="D277" s="163"/>
      <c r="E277" s="163"/>
      <c r="F277" s="163"/>
      <c r="G277" s="163"/>
      <c r="H277" s="163"/>
      <c r="I277" s="163"/>
      <c r="J277" s="163"/>
      <c r="K277" s="163"/>
      <c r="L277" s="163"/>
      <c r="M277" s="19"/>
    </row>
    <row r="278" spans="1:13">
      <c r="A278" s="163"/>
      <c r="B278" s="163"/>
      <c r="C278" s="163"/>
      <c r="D278" s="163"/>
      <c r="E278" s="163"/>
      <c r="F278" s="163"/>
      <c r="G278" s="163"/>
      <c r="H278" s="163"/>
      <c r="I278" s="163"/>
      <c r="J278" s="163"/>
      <c r="K278" s="163"/>
      <c r="L278" s="163"/>
      <c r="M278" s="19"/>
    </row>
    <row r="279" spans="1:13">
      <c r="A279" s="163"/>
      <c r="B279" s="163"/>
      <c r="C279" s="163"/>
      <c r="D279" s="163"/>
      <c r="E279" s="163"/>
      <c r="F279" s="163"/>
      <c r="G279" s="163"/>
      <c r="H279" s="163"/>
      <c r="I279" s="163"/>
      <c r="J279" s="163"/>
      <c r="K279" s="163"/>
      <c r="L279" s="163"/>
      <c r="M279" s="19"/>
    </row>
    <row r="280" spans="1:13">
      <c r="A280" s="163"/>
      <c r="B280" s="163"/>
      <c r="C280" s="163"/>
      <c r="D280" s="163"/>
      <c r="E280" s="163"/>
      <c r="F280" s="163"/>
      <c r="G280" s="163"/>
      <c r="H280" s="163"/>
      <c r="I280" s="163"/>
      <c r="J280" s="163"/>
      <c r="K280" s="163"/>
      <c r="L280" s="163"/>
      <c r="M280" s="19"/>
    </row>
    <row r="281" spans="1:13">
      <c r="A281" s="163"/>
      <c r="B281" s="163"/>
      <c r="C281" s="163"/>
      <c r="D281" s="163"/>
      <c r="E281" s="163"/>
      <c r="F281" s="163"/>
      <c r="G281" s="163"/>
      <c r="H281" s="163"/>
      <c r="I281" s="163"/>
      <c r="J281" s="163"/>
      <c r="K281" s="163"/>
      <c r="L281" s="163"/>
      <c r="M281" s="19"/>
    </row>
    <row r="282" spans="1:13">
      <c r="A282" s="163"/>
      <c r="B282" s="163"/>
      <c r="C282" s="163"/>
      <c r="D282" s="163"/>
      <c r="E282" s="163"/>
      <c r="F282" s="163"/>
      <c r="G282" s="163"/>
      <c r="H282" s="163"/>
      <c r="I282" s="163"/>
      <c r="J282" s="163"/>
      <c r="K282" s="163"/>
      <c r="L282" s="163"/>
      <c r="M282" s="19"/>
    </row>
    <row r="283" spans="1:13">
      <c r="A283" s="163"/>
      <c r="B283" s="163"/>
      <c r="C283" s="163"/>
      <c r="D283" s="163"/>
      <c r="E283" s="163"/>
      <c r="F283" s="163"/>
      <c r="G283" s="163"/>
      <c r="H283" s="163"/>
      <c r="I283" s="163"/>
      <c r="J283" s="163"/>
      <c r="K283" s="163"/>
      <c r="L283" s="163"/>
      <c r="M283" s="19"/>
    </row>
    <row r="284" spans="1:13">
      <c r="A284" s="163"/>
      <c r="B284" s="163"/>
      <c r="C284" s="163"/>
      <c r="D284" s="163"/>
      <c r="E284" s="163"/>
      <c r="F284" s="163"/>
      <c r="G284" s="163"/>
      <c r="H284" s="163"/>
      <c r="I284" s="163"/>
      <c r="J284" s="163"/>
      <c r="K284" s="163"/>
      <c r="L284" s="163"/>
      <c r="M284" s="19"/>
    </row>
    <row r="285" spans="1:13">
      <c r="A285" s="163"/>
      <c r="B285" s="163"/>
      <c r="C285" s="163"/>
      <c r="D285" s="163"/>
      <c r="E285" s="163"/>
      <c r="F285" s="163"/>
      <c r="G285" s="163"/>
      <c r="H285" s="163"/>
      <c r="I285" s="163"/>
      <c r="J285" s="163"/>
      <c r="K285" s="163"/>
      <c r="L285" s="163"/>
      <c r="M285" s="19"/>
    </row>
    <row r="286" spans="1:13">
      <c r="A286" s="163"/>
      <c r="B286" s="163"/>
      <c r="C286" s="163"/>
      <c r="D286" s="163"/>
      <c r="E286" s="163"/>
      <c r="F286" s="163"/>
      <c r="G286" s="163"/>
      <c r="H286" s="163"/>
      <c r="I286" s="163"/>
      <c r="J286" s="163"/>
      <c r="K286" s="163"/>
      <c r="L286" s="163"/>
      <c r="M286" s="19"/>
    </row>
    <row r="287" spans="1:13">
      <c r="A287" s="163"/>
      <c r="B287" s="163"/>
      <c r="C287" s="163"/>
      <c r="D287" s="163"/>
      <c r="E287" s="163"/>
      <c r="F287" s="163"/>
      <c r="G287" s="163"/>
      <c r="H287" s="163"/>
      <c r="I287" s="163"/>
      <c r="J287" s="163"/>
      <c r="K287" s="163"/>
      <c r="L287" s="163"/>
      <c r="M287" s="19"/>
    </row>
    <row r="288" spans="1:13">
      <c r="A288" s="163"/>
      <c r="B288" s="163"/>
      <c r="C288" s="163"/>
      <c r="D288" s="163"/>
      <c r="E288" s="163"/>
      <c r="F288" s="163"/>
      <c r="G288" s="163"/>
      <c r="H288" s="163"/>
      <c r="I288" s="163"/>
      <c r="J288" s="163"/>
      <c r="K288" s="163"/>
      <c r="L288" s="163"/>
      <c r="M288" s="19"/>
    </row>
    <row r="289" spans="1:13">
      <c r="A289" s="163"/>
      <c r="B289" s="163"/>
      <c r="C289" s="163"/>
      <c r="D289" s="163"/>
      <c r="E289" s="163"/>
      <c r="F289" s="163"/>
      <c r="G289" s="163"/>
      <c r="H289" s="163"/>
      <c r="I289" s="163"/>
      <c r="J289" s="163"/>
      <c r="K289" s="163"/>
      <c r="L289" s="163"/>
      <c r="M289" s="19"/>
    </row>
    <row r="290" spans="1:13">
      <c r="A290" s="163"/>
      <c r="B290" s="163"/>
      <c r="C290" s="163"/>
      <c r="D290" s="163"/>
      <c r="E290" s="163"/>
      <c r="F290" s="163"/>
      <c r="G290" s="163"/>
      <c r="H290" s="163"/>
      <c r="I290" s="163"/>
      <c r="J290" s="163"/>
      <c r="K290" s="163"/>
      <c r="L290" s="163"/>
      <c r="M290" s="19"/>
    </row>
    <row r="291" spans="1:13">
      <c r="A291" s="163"/>
      <c r="B291" s="163"/>
      <c r="C291" s="163"/>
      <c r="D291" s="163"/>
      <c r="E291" s="163"/>
      <c r="F291" s="163"/>
      <c r="G291" s="163"/>
      <c r="H291" s="163"/>
      <c r="I291" s="163"/>
      <c r="J291" s="163"/>
      <c r="K291" s="163"/>
      <c r="L291" s="163"/>
      <c r="M291" s="19"/>
    </row>
    <row r="292" spans="1:13">
      <c r="A292" s="163"/>
      <c r="B292" s="163"/>
      <c r="C292" s="163"/>
      <c r="D292" s="163"/>
      <c r="E292" s="163"/>
      <c r="F292" s="163"/>
      <c r="G292" s="163"/>
      <c r="H292" s="163"/>
      <c r="I292" s="163"/>
      <c r="J292" s="163"/>
      <c r="K292" s="163"/>
      <c r="L292" s="163"/>
      <c r="M292" s="19"/>
    </row>
    <row r="293" spans="1:13">
      <c r="A293" s="163"/>
      <c r="B293" s="163"/>
      <c r="C293" s="163"/>
      <c r="D293" s="163"/>
      <c r="E293" s="163"/>
      <c r="F293" s="163"/>
      <c r="G293" s="163"/>
      <c r="H293" s="163"/>
      <c r="I293" s="163"/>
      <c r="J293" s="163"/>
      <c r="K293" s="163"/>
      <c r="L293" s="163"/>
      <c r="M293" s="19"/>
    </row>
    <row r="294" spans="1:13">
      <c r="A294" s="163"/>
      <c r="B294" s="163"/>
      <c r="C294" s="163"/>
      <c r="D294" s="163"/>
      <c r="E294" s="163"/>
      <c r="F294" s="163"/>
      <c r="G294" s="163"/>
      <c r="H294" s="163"/>
      <c r="I294" s="163"/>
      <c r="J294" s="163"/>
      <c r="K294" s="163"/>
      <c r="L294" s="163"/>
      <c r="M294" s="19"/>
    </row>
    <row r="295" spans="1:13">
      <c r="A295" s="163"/>
      <c r="B295" s="163"/>
      <c r="C295" s="163"/>
      <c r="D295" s="163"/>
      <c r="E295" s="163"/>
      <c r="F295" s="163"/>
      <c r="G295" s="163"/>
      <c r="H295" s="163"/>
      <c r="I295" s="163"/>
      <c r="J295" s="163"/>
      <c r="K295" s="163"/>
      <c r="L295" s="163"/>
      <c r="M295" s="19"/>
    </row>
    <row r="296" spans="1:13">
      <c r="A296" s="163"/>
      <c r="B296" s="163"/>
      <c r="C296" s="163"/>
      <c r="D296" s="163"/>
      <c r="E296" s="163"/>
      <c r="F296" s="163"/>
      <c r="G296" s="163"/>
      <c r="H296" s="163"/>
      <c r="I296" s="163"/>
      <c r="J296" s="163"/>
      <c r="K296" s="163"/>
      <c r="L296" s="163"/>
      <c r="M296" s="19"/>
    </row>
    <row r="297" spans="1:13">
      <c r="A297" s="163"/>
      <c r="B297" s="163"/>
      <c r="C297" s="163"/>
      <c r="D297" s="163"/>
      <c r="E297" s="163"/>
      <c r="F297" s="163"/>
      <c r="G297" s="163"/>
      <c r="H297" s="163"/>
      <c r="I297" s="163"/>
      <c r="J297" s="163"/>
      <c r="K297" s="163"/>
      <c r="L297" s="163"/>
      <c r="M297" s="19"/>
    </row>
    <row r="298" spans="1:13">
      <c r="A298" s="163"/>
      <c r="B298" s="163"/>
      <c r="C298" s="163"/>
      <c r="D298" s="163"/>
      <c r="E298" s="163"/>
      <c r="F298" s="163"/>
      <c r="G298" s="163"/>
      <c r="H298" s="163"/>
      <c r="I298" s="163"/>
      <c r="J298" s="163"/>
      <c r="K298" s="163"/>
      <c r="L298" s="163"/>
      <c r="M298" s="19"/>
    </row>
    <row r="299" spans="1:13">
      <c r="A299" s="163"/>
      <c r="B299" s="163"/>
      <c r="C299" s="163"/>
      <c r="D299" s="163"/>
      <c r="E299" s="163"/>
      <c r="F299" s="163"/>
      <c r="G299" s="163"/>
      <c r="H299" s="163"/>
      <c r="I299" s="163"/>
      <c r="J299" s="163"/>
      <c r="K299" s="163"/>
      <c r="L299" s="163"/>
      <c r="M299" s="19"/>
    </row>
    <row r="300" spans="1:13">
      <c r="A300" s="163"/>
      <c r="B300" s="163"/>
      <c r="C300" s="163"/>
      <c r="D300" s="163"/>
      <c r="E300" s="163"/>
      <c r="F300" s="163"/>
      <c r="G300" s="163"/>
      <c r="H300" s="163"/>
      <c r="I300" s="163"/>
      <c r="J300" s="163"/>
      <c r="K300" s="163"/>
      <c r="L300" s="163"/>
      <c r="M300" s="19"/>
    </row>
    <row r="301" spans="1:13">
      <c r="A301" s="163"/>
      <c r="B301" s="163"/>
      <c r="C301" s="163"/>
      <c r="D301" s="163"/>
      <c r="E301" s="163"/>
      <c r="F301" s="163"/>
      <c r="G301" s="163"/>
      <c r="H301" s="163"/>
      <c r="I301" s="163"/>
      <c r="J301" s="163"/>
      <c r="K301" s="163"/>
      <c r="L301" s="163"/>
      <c r="M301" s="19"/>
    </row>
    <row r="302" spans="1:13">
      <c r="A302" s="163"/>
      <c r="B302" s="163"/>
      <c r="C302" s="163"/>
      <c r="D302" s="163"/>
      <c r="E302" s="163"/>
      <c r="F302" s="163"/>
      <c r="G302" s="163"/>
      <c r="H302" s="163"/>
      <c r="I302" s="163"/>
      <c r="J302" s="163"/>
      <c r="K302" s="163"/>
      <c r="L302" s="163"/>
      <c r="M302" s="19"/>
    </row>
    <row r="303" spans="1:13">
      <c r="A303" s="163"/>
      <c r="B303" s="163"/>
      <c r="C303" s="163"/>
      <c r="D303" s="163"/>
      <c r="E303" s="163"/>
      <c r="F303" s="163"/>
      <c r="G303" s="163"/>
      <c r="H303" s="163"/>
      <c r="I303" s="163"/>
      <c r="J303" s="163"/>
      <c r="K303" s="163"/>
      <c r="L303" s="163"/>
      <c r="M303" s="19"/>
    </row>
    <row r="304" spans="1:13">
      <c r="A304" s="163"/>
      <c r="B304" s="163"/>
      <c r="C304" s="163"/>
      <c r="D304" s="163"/>
      <c r="E304" s="163"/>
      <c r="F304" s="163"/>
      <c r="G304" s="163"/>
      <c r="H304" s="163"/>
      <c r="I304" s="163"/>
      <c r="J304" s="163"/>
      <c r="K304" s="163"/>
      <c r="L304" s="163"/>
      <c r="M304" s="19"/>
    </row>
    <row r="305" spans="1:13">
      <c r="A305" s="163"/>
      <c r="B305" s="163"/>
      <c r="C305" s="163"/>
      <c r="D305" s="163"/>
      <c r="E305" s="163"/>
      <c r="F305" s="163"/>
      <c r="G305" s="163"/>
      <c r="H305" s="163"/>
      <c r="I305" s="163"/>
      <c r="J305" s="163"/>
      <c r="K305" s="163"/>
      <c r="L305" s="163"/>
      <c r="M305" s="19"/>
    </row>
    <row r="306" spans="1:13">
      <c r="A306" s="163"/>
      <c r="B306" s="163"/>
      <c r="C306" s="163"/>
      <c r="D306" s="163"/>
      <c r="E306" s="163"/>
      <c r="F306" s="163"/>
      <c r="G306" s="163"/>
      <c r="H306" s="163"/>
      <c r="I306" s="163"/>
      <c r="J306" s="163"/>
      <c r="K306" s="163"/>
      <c r="L306" s="163"/>
      <c r="M306" s="19"/>
    </row>
    <row r="307" spans="1:13">
      <c r="A307" s="163"/>
      <c r="B307" s="163"/>
      <c r="C307" s="163"/>
      <c r="D307" s="163"/>
      <c r="E307" s="163"/>
      <c r="F307" s="163"/>
      <c r="G307" s="163"/>
      <c r="H307" s="163"/>
      <c r="I307" s="163"/>
      <c r="J307" s="163"/>
      <c r="K307" s="163"/>
      <c r="L307" s="163"/>
      <c r="M307" s="19"/>
    </row>
    <row r="308" spans="1:13">
      <c r="A308" s="163"/>
      <c r="B308" s="163"/>
      <c r="C308" s="163"/>
      <c r="D308" s="163"/>
      <c r="E308" s="163"/>
      <c r="F308" s="163"/>
      <c r="G308" s="163"/>
      <c r="H308" s="163"/>
      <c r="I308" s="163"/>
      <c r="J308" s="163"/>
      <c r="K308" s="163"/>
      <c r="L308" s="163"/>
      <c r="M308" s="19"/>
    </row>
    <row r="309" spans="1:13">
      <c r="A309" s="163"/>
      <c r="B309" s="163"/>
      <c r="C309" s="163"/>
      <c r="D309" s="163"/>
      <c r="E309" s="163"/>
      <c r="F309" s="163"/>
      <c r="G309" s="163"/>
      <c r="H309" s="163"/>
      <c r="I309" s="163"/>
      <c r="J309" s="163"/>
      <c r="K309" s="163"/>
      <c r="L309" s="163"/>
      <c r="M309" s="19"/>
    </row>
    <row r="310" spans="1:13">
      <c r="A310" s="163"/>
      <c r="B310" s="163"/>
      <c r="C310" s="163"/>
      <c r="D310" s="163"/>
      <c r="E310" s="163"/>
      <c r="F310" s="163"/>
      <c r="G310" s="163"/>
      <c r="H310" s="163"/>
      <c r="I310" s="163"/>
      <c r="J310" s="163"/>
      <c r="K310" s="163"/>
      <c r="L310" s="163"/>
      <c r="M310" s="19"/>
    </row>
    <row r="311" spans="1:13">
      <c r="A311" s="163"/>
      <c r="B311" s="163"/>
      <c r="C311" s="163"/>
      <c r="D311" s="163"/>
      <c r="E311" s="163"/>
      <c r="F311" s="163"/>
      <c r="G311" s="163"/>
      <c r="H311" s="163"/>
      <c r="I311" s="163"/>
      <c r="J311" s="163"/>
      <c r="K311" s="163"/>
      <c r="L311" s="163"/>
      <c r="M311" s="19"/>
    </row>
    <row r="312" spans="1:13">
      <c r="A312" s="163"/>
      <c r="B312" s="163"/>
      <c r="C312" s="163"/>
      <c r="D312" s="163"/>
      <c r="E312" s="163"/>
      <c r="F312" s="163"/>
      <c r="G312" s="163"/>
      <c r="H312" s="163"/>
      <c r="I312" s="163"/>
      <c r="J312" s="163"/>
      <c r="K312" s="163"/>
      <c r="L312" s="163"/>
      <c r="M312" s="19"/>
    </row>
    <row r="313" spans="1:13">
      <c r="A313" s="163"/>
      <c r="B313" s="163"/>
      <c r="C313" s="163"/>
      <c r="D313" s="163"/>
      <c r="E313" s="163"/>
      <c r="F313" s="163"/>
      <c r="G313" s="163"/>
      <c r="H313" s="163"/>
      <c r="I313" s="163"/>
      <c r="J313" s="163"/>
      <c r="K313" s="163"/>
      <c r="L313" s="163"/>
      <c r="M313" s="19"/>
    </row>
    <row r="314" spans="1:13">
      <c r="A314" s="163"/>
      <c r="B314" s="163"/>
      <c r="C314" s="163"/>
      <c r="D314" s="163"/>
      <c r="E314" s="163"/>
      <c r="F314" s="163"/>
      <c r="G314" s="163"/>
      <c r="H314" s="163"/>
      <c r="I314" s="163"/>
      <c r="J314" s="163"/>
      <c r="K314" s="163"/>
      <c r="L314" s="163"/>
      <c r="M314" s="19"/>
    </row>
    <row r="315" spans="1:13">
      <c r="A315" s="163"/>
      <c r="B315" s="163"/>
      <c r="C315" s="163"/>
      <c r="D315" s="163"/>
      <c r="E315" s="163"/>
      <c r="F315" s="163"/>
      <c r="G315" s="163"/>
      <c r="H315" s="163"/>
      <c r="I315" s="163"/>
      <c r="J315" s="163"/>
      <c r="K315" s="163"/>
      <c r="L315" s="163"/>
      <c r="M315" s="19"/>
    </row>
    <row r="316" spans="1:13">
      <c r="A316" s="163"/>
      <c r="B316" s="163"/>
      <c r="C316" s="163"/>
      <c r="D316" s="163"/>
      <c r="E316" s="163"/>
      <c r="F316" s="163"/>
      <c r="G316" s="163"/>
      <c r="H316" s="163"/>
      <c r="I316" s="163"/>
      <c r="J316" s="163"/>
      <c r="K316" s="163"/>
      <c r="L316" s="163"/>
      <c r="M316" s="19"/>
    </row>
    <row r="317" spans="1:13">
      <c r="A317" s="163"/>
      <c r="B317" s="163"/>
      <c r="C317" s="163"/>
      <c r="D317" s="163"/>
      <c r="E317" s="163"/>
      <c r="F317" s="163"/>
      <c r="G317" s="163"/>
      <c r="H317" s="163"/>
      <c r="I317" s="163"/>
      <c r="J317" s="163"/>
      <c r="K317" s="163"/>
      <c r="L317" s="163"/>
      <c r="M317" s="19"/>
    </row>
    <row r="318" spans="1:13">
      <c r="A318" s="163"/>
      <c r="B318" s="163"/>
      <c r="C318" s="163"/>
      <c r="D318" s="163"/>
      <c r="E318" s="163"/>
      <c r="F318" s="163"/>
      <c r="G318" s="163"/>
      <c r="H318" s="163"/>
      <c r="I318" s="163"/>
      <c r="J318" s="163"/>
      <c r="K318" s="163"/>
      <c r="L318" s="163"/>
      <c r="M318" s="19"/>
    </row>
    <row r="319" spans="1:13">
      <c r="A319" s="163"/>
      <c r="B319" s="163"/>
      <c r="C319" s="163"/>
      <c r="D319" s="163"/>
      <c r="E319" s="163"/>
      <c r="F319" s="163"/>
      <c r="G319" s="163"/>
      <c r="H319" s="163"/>
      <c r="I319" s="163"/>
      <c r="J319" s="163"/>
      <c r="K319" s="163"/>
      <c r="L319" s="163"/>
      <c r="M319" s="19"/>
    </row>
    <row r="320" spans="1:13">
      <c r="A320" s="163"/>
      <c r="B320" s="163"/>
      <c r="C320" s="163"/>
      <c r="D320" s="163"/>
      <c r="E320" s="163"/>
      <c r="F320" s="163"/>
      <c r="G320" s="163"/>
      <c r="H320" s="163"/>
      <c r="I320" s="163"/>
      <c r="J320" s="163"/>
      <c r="K320" s="163"/>
      <c r="L320" s="163"/>
      <c r="M320" s="19"/>
    </row>
    <row r="321" spans="1:13">
      <c r="A321" s="163"/>
      <c r="B321" s="163"/>
      <c r="C321" s="163"/>
      <c r="D321" s="163"/>
      <c r="E321" s="163"/>
      <c r="F321" s="163"/>
      <c r="G321" s="163"/>
      <c r="H321" s="163"/>
      <c r="I321" s="163"/>
      <c r="J321" s="163"/>
      <c r="K321" s="163"/>
      <c r="L321" s="163"/>
      <c r="M321" s="19"/>
    </row>
    <row r="322" spans="1:13">
      <c r="A322" s="163"/>
      <c r="B322" s="163"/>
      <c r="C322" s="163"/>
      <c r="D322" s="163"/>
      <c r="E322" s="163"/>
      <c r="F322" s="163"/>
      <c r="G322" s="163"/>
      <c r="H322" s="163"/>
      <c r="I322" s="163"/>
      <c r="J322" s="163"/>
      <c r="K322" s="163"/>
      <c r="L322" s="163"/>
      <c r="M322" s="19"/>
    </row>
    <row r="323" spans="1:13">
      <c r="A323" s="163"/>
      <c r="B323" s="163"/>
      <c r="C323" s="163"/>
      <c r="D323" s="163"/>
      <c r="E323" s="163"/>
      <c r="F323" s="163"/>
      <c r="G323" s="163"/>
      <c r="H323" s="163"/>
      <c r="I323" s="163"/>
      <c r="J323" s="163"/>
      <c r="K323" s="163"/>
      <c r="L323" s="163"/>
      <c r="M323" s="19"/>
    </row>
    <row r="324" spans="1:13">
      <c r="A324" s="163"/>
      <c r="B324" s="163"/>
      <c r="C324" s="163"/>
      <c r="D324" s="163"/>
      <c r="E324" s="163"/>
      <c r="F324" s="163"/>
      <c r="G324" s="163"/>
      <c r="H324" s="163"/>
      <c r="I324" s="163"/>
      <c r="J324" s="163"/>
      <c r="K324" s="163"/>
      <c r="L324" s="163"/>
      <c r="M324" s="19"/>
    </row>
    <row r="325" spans="1:13">
      <c r="A325" s="163"/>
      <c r="B325" s="163"/>
      <c r="C325" s="163"/>
      <c r="D325" s="163"/>
      <c r="E325" s="163"/>
      <c r="F325" s="163"/>
      <c r="G325" s="163"/>
      <c r="H325" s="163"/>
      <c r="I325" s="163"/>
      <c r="J325" s="163"/>
      <c r="K325" s="163"/>
      <c r="L325" s="163"/>
      <c r="M325" s="19"/>
    </row>
    <row r="326" spans="1:13">
      <c r="A326" s="163"/>
      <c r="B326" s="163"/>
      <c r="C326" s="163"/>
      <c r="D326" s="163"/>
      <c r="E326" s="163"/>
      <c r="F326" s="163"/>
      <c r="G326" s="163"/>
      <c r="H326" s="163"/>
      <c r="I326" s="163"/>
      <c r="J326" s="163"/>
      <c r="K326" s="163"/>
      <c r="L326" s="163"/>
      <c r="M326" s="19"/>
    </row>
    <row r="327" spans="1:13">
      <c r="A327" s="163"/>
      <c r="B327" s="163"/>
      <c r="C327" s="163"/>
      <c r="D327" s="163"/>
      <c r="E327" s="163"/>
      <c r="F327" s="163"/>
      <c r="G327" s="163"/>
      <c r="H327" s="163"/>
      <c r="I327" s="163"/>
      <c r="J327" s="163"/>
      <c r="K327" s="163"/>
      <c r="L327" s="163"/>
      <c r="M327" s="19"/>
    </row>
    <row r="328" spans="1:13">
      <c r="A328" s="163"/>
      <c r="B328" s="163"/>
      <c r="C328" s="163"/>
      <c r="D328" s="163"/>
      <c r="E328" s="163"/>
      <c r="F328" s="163"/>
      <c r="G328" s="163"/>
      <c r="H328" s="163"/>
      <c r="I328" s="163"/>
      <c r="J328" s="163"/>
      <c r="K328" s="163"/>
      <c r="L328" s="163"/>
      <c r="M328" s="19"/>
    </row>
    <row r="329" spans="1:13">
      <c r="A329" s="163"/>
      <c r="B329" s="163"/>
      <c r="C329" s="163"/>
      <c r="D329" s="163"/>
      <c r="E329" s="163"/>
      <c r="F329" s="163"/>
      <c r="G329" s="163"/>
      <c r="H329" s="163"/>
      <c r="I329" s="163"/>
      <c r="J329" s="163"/>
      <c r="K329" s="163"/>
      <c r="L329" s="163"/>
      <c r="M329" s="19"/>
    </row>
    <row r="330" spans="1:13">
      <c r="A330" s="163"/>
      <c r="B330" s="163"/>
      <c r="C330" s="163"/>
      <c r="D330" s="163"/>
      <c r="E330" s="163"/>
      <c r="F330" s="163"/>
      <c r="G330" s="163"/>
      <c r="H330" s="163"/>
      <c r="I330" s="163"/>
      <c r="J330" s="163"/>
      <c r="K330" s="163"/>
      <c r="L330" s="163"/>
      <c r="M330" s="19"/>
    </row>
    <row r="331" spans="1:13">
      <c r="A331" s="163"/>
      <c r="B331" s="163"/>
      <c r="C331" s="163"/>
      <c r="D331" s="163"/>
      <c r="E331" s="163"/>
      <c r="F331" s="163"/>
      <c r="G331" s="163"/>
      <c r="H331" s="163"/>
      <c r="I331" s="163"/>
      <c r="J331" s="163"/>
      <c r="K331" s="163"/>
      <c r="L331" s="163"/>
      <c r="M331" s="19"/>
    </row>
    <row r="332" spans="1:13">
      <c r="A332" s="163"/>
      <c r="B332" s="163"/>
      <c r="C332" s="163"/>
      <c r="D332" s="163"/>
      <c r="E332" s="163"/>
      <c r="F332" s="163"/>
      <c r="G332" s="163"/>
      <c r="H332" s="163"/>
      <c r="I332" s="163"/>
      <c r="J332" s="163"/>
      <c r="K332" s="163"/>
      <c r="L332" s="163"/>
      <c r="M332" s="19"/>
    </row>
    <row r="333" spans="1:13">
      <c r="A333" s="163"/>
      <c r="B333" s="163"/>
      <c r="C333" s="163"/>
      <c r="D333" s="163"/>
      <c r="E333" s="163"/>
      <c r="F333" s="163"/>
      <c r="G333" s="163"/>
      <c r="H333" s="163"/>
      <c r="I333" s="163"/>
      <c r="J333" s="163"/>
      <c r="K333" s="163"/>
      <c r="L333" s="163"/>
      <c r="M333" s="19"/>
    </row>
    <row r="334" spans="1:13">
      <c r="A334" s="163"/>
      <c r="B334" s="163"/>
      <c r="C334" s="163"/>
      <c r="D334" s="163"/>
      <c r="E334" s="163"/>
      <c r="F334" s="163"/>
      <c r="G334" s="163"/>
      <c r="H334" s="163"/>
      <c r="I334" s="163"/>
      <c r="J334" s="163"/>
      <c r="K334" s="163"/>
      <c r="L334" s="163"/>
      <c r="M334" s="19"/>
    </row>
    <row r="335" spans="1:13">
      <c r="A335" s="163"/>
      <c r="B335" s="163"/>
      <c r="C335" s="163"/>
      <c r="D335" s="163"/>
      <c r="E335" s="163"/>
      <c r="F335" s="163"/>
      <c r="G335" s="163"/>
      <c r="H335" s="163"/>
      <c r="I335" s="163"/>
      <c r="J335" s="163"/>
      <c r="K335" s="163"/>
      <c r="L335" s="163"/>
      <c r="M335" s="19"/>
    </row>
    <row r="336" spans="1:13">
      <c r="A336" s="163"/>
      <c r="B336" s="163"/>
      <c r="C336" s="163"/>
      <c r="D336" s="163"/>
      <c r="E336" s="163"/>
      <c r="F336" s="163"/>
      <c r="G336" s="163"/>
      <c r="H336" s="163"/>
      <c r="I336" s="163"/>
      <c r="J336" s="163"/>
      <c r="K336" s="163"/>
      <c r="L336" s="163"/>
      <c r="M336" s="19"/>
    </row>
    <row r="337" spans="1:13">
      <c r="A337" s="163"/>
      <c r="B337" s="163"/>
      <c r="C337" s="163"/>
      <c r="D337" s="163"/>
      <c r="E337" s="163"/>
      <c r="F337" s="163"/>
      <c r="G337" s="163"/>
      <c r="H337" s="163"/>
      <c r="I337" s="163"/>
      <c r="J337" s="163"/>
      <c r="K337" s="163"/>
      <c r="L337" s="163"/>
      <c r="M337" s="19"/>
    </row>
    <row r="338" spans="1:13">
      <c r="A338" s="163"/>
      <c r="B338" s="163"/>
      <c r="C338" s="163"/>
      <c r="D338" s="163"/>
      <c r="E338" s="163"/>
      <c r="F338" s="163"/>
      <c r="G338" s="163"/>
      <c r="H338" s="163"/>
      <c r="I338" s="163"/>
      <c r="J338" s="163"/>
      <c r="K338" s="163"/>
      <c r="L338" s="163"/>
      <c r="M338" s="19"/>
    </row>
    <row r="339" spans="1:13">
      <c r="A339" s="163"/>
      <c r="B339" s="163"/>
      <c r="C339" s="163"/>
      <c r="D339" s="163"/>
      <c r="E339" s="163"/>
      <c r="F339" s="163"/>
      <c r="G339" s="163"/>
      <c r="H339" s="163"/>
      <c r="I339" s="163"/>
      <c r="J339" s="163"/>
      <c r="K339" s="163"/>
      <c r="L339" s="163"/>
      <c r="M339" s="19"/>
    </row>
    <row r="340" spans="1:13">
      <c r="A340" s="163"/>
      <c r="B340" s="163"/>
      <c r="C340" s="163"/>
      <c r="D340" s="163"/>
      <c r="E340" s="163"/>
      <c r="F340" s="163"/>
      <c r="G340" s="163"/>
      <c r="H340" s="163"/>
      <c r="I340" s="163"/>
      <c r="J340" s="163"/>
      <c r="K340" s="163"/>
      <c r="L340" s="163"/>
      <c r="M340" s="19"/>
    </row>
    <row r="341" spans="1:13">
      <c r="A341" s="163"/>
      <c r="B341" s="163"/>
      <c r="C341" s="163"/>
      <c r="D341" s="163"/>
      <c r="E341" s="163"/>
      <c r="F341" s="163"/>
      <c r="G341" s="163"/>
      <c r="H341" s="163"/>
      <c r="I341" s="163"/>
      <c r="J341" s="163"/>
      <c r="K341" s="163"/>
      <c r="L341" s="163"/>
      <c r="M341" s="19"/>
    </row>
    <row r="342" spans="1:13">
      <c r="A342" s="163"/>
      <c r="B342" s="163"/>
      <c r="C342" s="163"/>
      <c r="D342" s="163"/>
      <c r="E342" s="163"/>
      <c r="F342" s="163"/>
      <c r="G342" s="163"/>
      <c r="H342" s="163"/>
      <c r="I342" s="163"/>
      <c r="J342" s="163"/>
      <c r="K342" s="163"/>
      <c r="L342" s="163"/>
      <c r="M342" s="19"/>
    </row>
    <row r="343" spans="1:13">
      <c r="A343" s="163"/>
      <c r="B343" s="163"/>
      <c r="C343" s="163"/>
      <c r="D343" s="163"/>
      <c r="E343" s="163"/>
      <c r="F343" s="163"/>
      <c r="G343" s="163"/>
      <c r="H343" s="163"/>
      <c r="I343" s="163"/>
      <c r="J343" s="163"/>
      <c r="K343" s="163"/>
      <c r="L343" s="163"/>
      <c r="M343" s="19"/>
    </row>
    <row r="344" spans="1:13">
      <c r="A344" s="163"/>
      <c r="B344" s="163"/>
      <c r="C344" s="163"/>
      <c r="D344" s="163"/>
      <c r="E344" s="163"/>
      <c r="F344" s="163"/>
      <c r="G344" s="163"/>
      <c r="H344" s="163"/>
      <c r="I344" s="163"/>
      <c r="J344" s="163"/>
      <c r="K344" s="163"/>
      <c r="L344" s="163"/>
      <c r="M344" s="19"/>
    </row>
    <row r="345" spans="1:13">
      <c r="A345" s="163"/>
      <c r="B345" s="163"/>
      <c r="C345" s="163"/>
      <c r="D345" s="163"/>
      <c r="E345" s="163"/>
      <c r="F345" s="163"/>
      <c r="G345" s="163"/>
      <c r="H345" s="163"/>
      <c r="I345" s="163"/>
      <c r="J345" s="163"/>
      <c r="K345" s="163"/>
      <c r="L345" s="163"/>
      <c r="M345" s="19"/>
    </row>
    <row r="346" spans="1:13">
      <c r="A346" s="163"/>
      <c r="B346" s="163"/>
      <c r="C346" s="163"/>
      <c r="D346" s="163"/>
      <c r="E346" s="163"/>
      <c r="F346" s="163"/>
      <c r="G346" s="163"/>
      <c r="H346" s="163"/>
      <c r="I346" s="163"/>
      <c r="J346" s="163"/>
      <c r="K346" s="163"/>
      <c r="L346" s="163"/>
      <c r="M346" s="19"/>
    </row>
    <row r="347" spans="1:13">
      <c r="A347" s="163"/>
      <c r="B347" s="163"/>
      <c r="C347" s="163"/>
      <c r="D347" s="163"/>
      <c r="E347" s="163"/>
      <c r="F347" s="163"/>
      <c r="G347" s="163"/>
      <c r="H347" s="163"/>
      <c r="I347" s="163"/>
      <c r="J347" s="163"/>
      <c r="K347" s="163"/>
      <c r="L347" s="163"/>
      <c r="M347" s="19"/>
    </row>
    <row r="348" spans="1:13">
      <c r="A348" s="163"/>
      <c r="B348" s="163"/>
      <c r="C348" s="163"/>
      <c r="D348" s="163"/>
      <c r="E348" s="163"/>
      <c r="F348" s="163"/>
      <c r="G348" s="163"/>
      <c r="H348" s="163"/>
      <c r="I348" s="163"/>
      <c r="J348" s="163"/>
      <c r="K348" s="163"/>
      <c r="L348" s="163"/>
      <c r="M348" s="19"/>
    </row>
    <row r="349" spans="1:13">
      <c r="A349" s="163"/>
      <c r="B349" s="163"/>
      <c r="C349" s="163"/>
      <c r="D349" s="163"/>
      <c r="E349" s="163"/>
      <c r="F349" s="163"/>
      <c r="G349" s="163"/>
      <c r="H349" s="163"/>
      <c r="I349" s="163"/>
      <c r="J349" s="163"/>
      <c r="K349" s="163"/>
      <c r="L349" s="163"/>
      <c r="M349" s="19"/>
    </row>
    <row r="350" spans="1:13">
      <c r="A350" s="163"/>
      <c r="B350" s="163"/>
      <c r="C350" s="163"/>
      <c r="D350" s="163"/>
      <c r="E350" s="163"/>
      <c r="F350" s="163"/>
      <c r="G350" s="163"/>
      <c r="H350" s="163"/>
      <c r="I350" s="163"/>
      <c r="J350" s="163"/>
      <c r="K350" s="163"/>
      <c r="L350" s="163"/>
      <c r="M350" s="19"/>
    </row>
    <row r="351" spans="1:13">
      <c r="A351" s="163"/>
      <c r="B351" s="163"/>
      <c r="C351" s="163"/>
      <c r="D351" s="163"/>
      <c r="E351" s="163"/>
      <c r="F351" s="163"/>
      <c r="G351" s="163"/>
      <c r="H351" s="163"/>
      <c r="I351" s="163"/>
      <c r="J351" s="163"/>
      <c r="K351" s="163"/>
      <c r="L351" s="163"/>
      <c r="M351" s="19"/>
    </row>
    <row r="352" spans="1:13">
      <c r="A352" s="163"/>
      <c r="B352" s="163"/>
      <c r="C352" s="163"/>
      <c r="D352" s="163"/>
      <c r="E352" s="163"/>
      <c r="F352" s="163"/>
      <c r="G352" s="163"/>
      <c r="H352" s="163"/>
      <c r="I352" s="163"/>
      <c r="J352" s="163"/>
      <c r="K352" s="163"/>
      <c r="L352" s="163"/>
      <c r="M352" s="19"/>
    </row>
    <row r="353" spans="13:13">
      <c r="M353" s="19"/>
    </row>
    <row r="354" spans="13:13">
      <c r="M354" s="19"/>
    </row>
    <row r="355" spans="13:13">
      <c r="M355" s="19"/>
    </row>
    <row r="356" spans="13:13">
      <c r="M356" s="19"/>
    </row>
    <row r="357" spans="13:13">
      <c r="M357" s="19"/>
    </row>
    <row r="358" spans="13:13">
      <c r="M358" s="19"/>
    </row>
    <row r="359" spans="13:13">
      <c r="M359" s="19"/>
    </row>
    <row r="360" spans="13:13">
      <c r="M360" s="19"/>
    </row>
    <row r="361" spans="13:13">
      <c r="M361" s="19"/>
    </row>
    <row r="362" spans="13:13">
      <c r="M362" s="19"/>
    </row>
    <row r="363" spans="13:13">
      <c r="M363" s="19"/>
    </row>
    <row r="364" spans="13:13">
      <c r="M364" s="19"/>
    </row>
    <row r="365" spans="13:13">
      <c r="M365" s="19"/>
    </row>
    <row r="366" spans="13:13">
      <c r="M366" s="19"/>
    </row>
    <row r="367" spans="13:13">
      <c r="M367" s="19"/>
    </row>
    <row r="368" spans="13:13">
      <c r="M368" s="19"/>
    </row>
    <row r="369" spans="13:13">
      <c r="M369" s="19"/>
    </row>
    <row r="370" spans="13:13">
      <c r="M370" s="19"/>
    </row>
    <row r="371" spans="13:13">
      <c r="M371" s="19"/>
    </row>
    <row r="372" spans="13:13">
      <c r="M372" s="19"/>
    </row>
    <row r="373" spans="13:13">
      <c r="M373" s="19"/>
    </row>
    <row r="374" spans="13:13">
      <c r="M374" s="19"/>
    </row>
    <row r="375" spans="13:13">
      <c r="M375" s="19"/>
    </row>
    <row r="376" spans="13:13">
      <c r="M376" s="19"/>
    </row>
    <row r="377" spans="13:13">
      <c r="M377" s="19"/>
    </row>
    <row r="378" spans="13:13">
      <c r="M378" s="19"/>
    </row>
    <row r="379" spans="13:13">
      <c r="M379" s="19"/>
    </row>
    <row r="380" spans="13:13">
      <c r="M380" s="19"/>
    </row>
    <row r="381" spans="13:13">
      <c r="M381" s="19"/>
    </row>
    <row r="382" spans="13:13">
      <c r="M382" s="19"/>
    </row>
    <row r="383" spans="13:13">
      <c r="M383" s="19"/>
    </row>
    <row r="384" spans="13:13">
      <c r="M384" s="19"/>
    </row>
    <row r="385" spans="13:13">
      <c r="M385" s="19"/>
    </row>
    <row r="386" spans="13:13">
      <c r="M386" s="19"/>
    </row>
    <row r="387" spans="13:13">
      <c r="M387" s="19"/>
    </row>
    <row r="388" spans="13:13">
      <c r="M388" s="19"/>
    </row>
    <row r="389" spans="13:13">
      <c r="M389" s="19"/>
    </row>
    <row r="390" spans="13:13">
      <c r="M390" s="19"/>
    </row>
    <row r="391" spans="13:13">
      <c r="M391" s="19"/>
    </row>
    <row r="392" spans="13:13">
      <c r="M392" s="19"/>
    </row>
    <row r="393" spans="13:13">
      <c r="M393" s="19"/>
    </row>
    <row r="394" spans="13:13">
      <c r="M394" s="19"/>
    </row>
    <row r="395" spans="13:13">
      <c r="M395" s="19"/>
    </row>
    <row r="396" spans="13:13">
      <c r="M396" s="19"/>
    </row>
    <row r="397" spans="13:13">
      <c r="M397" s="19"/>
    </row>
    <row r="398" spans="13:13">
      <c r="M398" s="19"/>
    </row>
    <row r="399" spans="13:13">
      <c r="M399" s="19"/>
    </row>
    <row r="400" spans="13:13">
      <c r="M400" s="19"/>
    </row>
    <row r="401" spans="13:13">
      <c r="M401" s="19"/>
    </row>
    <row r="402" spans="13:13">
      <c r="M402" s="19"/>
    </row>
    <row r="403" spans="13:13">
      <c r="M403" s="19"/>
    </row>
    <row r="404" spans="13:13">
      <c r="M404" s="19"/>
    </row>
    <row r="405" spans="13:13">
      <c r="M405" s="19"/>
    </row>
    <row r="406" spans="13:13">
      <c r="M406" s="19"/>
    </row>
    <row r="407" spans="13:13">
      <c r="M407" s="19"/>
    </row>
    <row r="408" spans="13:13">
      <c r="M408" s="19"/>
    </row>
    <row r="409" spans="13:13">
      <c r="M409" s="19"/>
    </row>
    <row r="410" spans="13:13">
      <c r="M410" s="19"/>
    </row>
    <row r="411" spans="13:13">
      <c r="M411" s="19"/>
    </row>
    <row r="412" spans="13:13">
      <c r="M412" s="19"/>
    </row>
    <row r="413" spans="13:13">
      <c r="M413" s="19"/>
    </row>
    <row r="414" spans="13:13">
      <c r="M414" s="19"/>
    </row>
    <row r="415" spans="13:13">
      <c r="M415" s="19"/>
    </row>
    <row r="416" spans="13:13">
      <c r="M416" s="19"/>
    </row>
    <row r="417" spans="13:13">
      <c r="M417" s="19"/>
    </row>
    <row r="418" spans="13:13">
      <c r="M418" s="19"/>
    </row>
    <row r="419" spans="13:13">
      <c r="M419" s="19"/>
    </row>
    <row r="420" spans="13:13">
      <c r="M420" s="19"/>
    </row>
    <row r="421" spans="13:13">
      <c r="M421" s="19"/>
    </row>
    <row r="422" spans="13:13">
      <c r="M422" s="19"/>
    </row>
    <row r="423" spans="13:13">
      <c r="M423" s="19"/>
    </row>
    <row r="424" spans="13:13">
      <c r="M424" s="19"/>
    </row>
    <row r="425" spans="13:13">
      <c r="M425" s="19"/>
    </row>
    <row r="426" spans="13:13">
      <c r="M426" s="19"/>
    </row>
    <row r="427" spans="13:13">
      <c r="M427" s="19"/>
    </row>
    <row r="428" spans="13:13">
      <c r="M428" s="19"/>
    </row>
    <row r="429" spans="13:13">
      <c r="M429" s="19"/>
    </row>
    <row r="430" spans="13:13">
      <c r="M430" s="19"/>
    </row>
    <row r="431" spans="13:13">
      <c r="M431" s="19"/>
    </row>
    <row r="432" spans="13:13">
      <c r="M432" s="19"/>
    </row>
    <row r="433" spans="13:13">
      <c r="M433" s="19"/>
    </row>
    <row r="434" spans="13:13">
      <c r="M434" s="19"/>
    </row>
    <row r="435" spans="13:13">
      <c r="M435" s="19"/>
    </row>
    <row r="436" spans="13:13">
      <c r="M436" s="19"/>
    </row>
    <row r="437" spans="13:13">
      <c r="M437" s="19"/>
    </row>
    <row r="438" spans="13:13">
      <c r="M438" s="19"/>
    </row>
    <row r="439" spans="13:13">
      <c r="M439" s="19"/>
    </row>
    <row r="440" spans="13:13">
      <c r="M440" s="19"/>
    </row>
    <row r="441" spans="13:13">
      <c r="M441" s="19"/>
    </row>
    <row r="442" spans="13:13">
      <c r="M442" s="19"/>
    </row>
    <row r="443" spans="13:13">
      <c r="M443" s="19"/>
    </row>
    <row r="444" spans="13:13">
      <c r="M444" s="19"/>
    </row>
    <row r="445" spans="13:13">
      <c r="M445" s="19"/>
    </row>
    <row r="446" spans="13:13">
      <c r="M446" s="19"/>
    </row>
    <row r="447" spans="13:13">
      <c r="M447" s="19"/>
    </row>
    <row r="448" spans="13:13">
      <c r="M448" s="19"/>
    </row>
    <row r="449" spans="13:13">
      <c r="M449" s="19"/>
    </row>
    <row r="450" spans="13:13">
      <c r="M450" s="19"/>
    </row>
    <row r="451" spans="13:13">
      <c r="M451" s="19"/>
    </row>
    <row r="452" spans="13:13">
      <c r="M452" s="19"/>
    </row>
    <row r="453" spans="13:13">
      <c r="M453" s="19"/>
    </row>
    <row r="454" spans="13:13">
      <c r="M454" s="19"/>
    </row>
    <row r="455" spans="13:13">
      <c r="M455" s="19"/>
    </row>
    <row r="456" spans="13:13">
      <c r="M456" s="19"/>
    </row>
    <row r="457" spans="13:13">
      <c r="M457" s="19"/>
    </row>
    <row r="458" spans="13:13">
      <c r="M458" s="19"/>
    </row>
    <row r="459" spans="13:13">
      <c r="M459" s="19"/>
    </row>
    <row r="460" spans="13:13">
      <c r="M460" s="19"/>
    </row>
    <row r="461" spans="13:13">
      <c r="M461" s="19"/>
    </row>
    <row r="462" spans="13:13">
      <c r="M462" s="19"/>
    </row>
    <row r="463" spans="13:13">
      <c r="M463" s="19"/>
    </row>
    <row r="464" spans="13:13">
      <c r="M464" s="19"/>
    </row>
    <row r="465" spans="13:13">
      <c r="M465" s="19"/>
    </row>
    <row r="466" spans="13:13">
      <c r="M466" s="19"/>
    </row>
    <row r="467" spans="13:13">
      <c r="M467" s="19"/>
    </row>
    <row r="468" spans="13:13">
      <c r="M468" s="19"/>
    </row>
    <row r="469" spans="13:13">
      <c r="M469" s="19"/>
    </row>
    <row r="470" spans="13:13">
      <c r="M470" s="19"/>
    </row>
    <row r="471" spans="13:13">
      <c r="M471" s="19"/>
    </row>
    <row r="472" spans="13:13">
      <c r="M472" s="19"/>
    </row>
    <row r="473" spans="13:13">
      <c r="M473" s="19"/>
    </row>
    <row r="474" spans="13:13">
      <c r="M474" s="19"/>
    </row>
    <row r="475" spans="13:13">
      <c r="M475" s="19"/>
    </row>
    <row r="476" spans="13:13">
      <c r="M476" s="19"/>
    </row>
    <row r="477" spans="13:13">
      <c r="M477" s="19"/>
    </row>
    <row r="478" spans="13:13">
      <c r="M478" s="19"/>
    </row>
    <row r="479" spans="13:13">
      <c r="M479" s="19"/>
    </row>
    <row r="480" spans="13:13">
      <c r="M480" s="19"/>
    </row>
    <row r="481" spans="13:13">
      <c r="M481" s="19"/>
    </row>
    <row r="482" spans="13:13">
      <c r="M482" s="19"/>
    </row>
    <row r="483" spans="13:13">
      <c r="M483" s="19"/>
    </row>
    <row r="484" spans="13:13">
      <c r="M484" s="19"/>
    </row>
    <row r="485" spans="13:13">
      <c r="M485" s="19"/>
    </row>
    <row r="486" spans="13:13">
      <c r="M486" s="19"/>
    </row>
    <row r="487" spans="13:13">
      <c r="M487" s="19"/>
    </row>
    <row r="488" spans="13:13">
      <c r="M488" s="19"/>
    </row>
    <row r="489" spans="13:13">
      <c r="M489" s="19"/>
    </row>
    <row r="490" spans="13:13">
      <c r="M490" s="19"/>
    </row>
    <row r="491" spans="13:13">
      <c r="M491" s="19"/>
    </row>
    <row r="492" spans="13:13">
      <c r="M492" s="19"/>
    </row>
    <row r="493" spans="13:13">
      <c r="M493" s="19"/>
    </row>
    <row r="494" spans="13:13">
      <c r="M494" s="19"/>
    </row>
    <row r="495" spans="13:13">
      <c r="M495" s="19"/>
    </row>
    <row r="496" spans="13:13">
      <c r="M496" s="19"/>
    </row>
    <row r="497" spans="13:13">
      <c r="M497" s="19"/>
    </row>
    <row r="498" spans="13:13">
      <c r="M498" s="19"/>
    </row>
    <row r="499" spans="13:13">
      <c r="M499" s="19"/>
    </row>
    <row r="500" spans="13:13">
      <c r="M500" s="19"/>
    </row>
    <row r="501" spans="13:13">
      <c r="M501" s="19"/>
    </row>
    <row r="502" spans="13:13">
      <c r="M502" s="19"/>
    </row>
    <row r="503" spans="13:13">
      <c r="M503" s="19"/>
    </row>
    <row r="504" spans="13:13">
      <c r="M504" s="19"/>
    </row>
    <row r="505" spans="13:13">
      <c r="M505" s="19"/>
    </row>
    <row r="506" spans="13:13">
      <c r="M506" s="19"/>
    </row>
    <row r="507" spans="13:13">
      <c r="M507" s="19"/>
    </row>
    <row r="508" spans="13:13">
      <c r="M508" s="19"/>
    </row>
    <row r="509" spans="13:13">
      <c r="M509" s="19"/>
    </row>
    <row r="510" spans="13:13">
      <c r="M510" s="19"/>
    </row>
    <row r="511" spans="13:13">
      <c r="M511" s="19"/>
    </row>
    <row r="512" spans="13:13">
      <c r="M512" s="19"/>
    </row>
    <row r="513" spans="13:13">
      <c r="M513" s="19"/>
    </row>
    <row r="514" spans="13:13">
      <c r="M514" s="19"/>
    </row>
    <row r="515" spans="13:13">
      <c r="M515" s="19"/>
    </row>
    <row r="516" spans="13:13">
      <c r="M516" s="19"/>
    </row>
    <row r="517" spans="13:13">
      <c r="M517" s="19"/>
    </row>
    <row r="518" spans="13:13">
      <c r="M518" s="19"/>
    </row>
    <row r="519" spans="13:13">
      <c r="M519" s="19"/>
    </row>
    <row r="520" spans="13:13">
      <c r="M520" s="19"/>
    </row>
    <row r="521" spans="13:13">
      <c r="M521" s="19"/>
    </row>
    <row r="522" spans="13:13">
      <c r="M522" s="19"/>
    </row>
    <row r="523" spans="13:13">
      <c r="M523" s="19"/>
    </row>
    <row r="524" spans="13:13">
      <c r="M524" s="19"/>
    </row>
    <row r="525" spans="13:13">
      <c r="M525" s="19"/>
    </row>
    <row r="526" spans="13:13">
      <c r="M526" s="19"/>
    </row>
    <row r="527" spans="13:13">
      <c r="M527" s="19"/>
    </row>
    <row r="528" spans="13:13">
      <c r="M528" s="19"/>
    </row>
    <row r="529" spans="13:13">
      <c r="M529" s="19"/>
    </row>
    <row r="530" spans="13:13">
      <c r="M530" s="19"/>
    </row>
    <row r="531" spans="13:13">
      <c r="M531" s="19"/>
    </row>
    <row r="532" spans="13:13">
      <c r="M532" s="19"/>
    </row>
    <row r="533" spans="13:13">
      <c r="M533" s="19"/>
    </row>
    <row r="534" spans="13:13">
      <c r="M534" s="19"/>
    </row>
    <row r="535" spans="13:13">
      <c r="M535" s="19"/>
    </row>
    <row r="536" spans="13:13">
      <c r="M536" s="19"/>
    </row>
    <row r="537" spans="13:13">
      <c r="M537" s="19"/>
    </row>
    <row r="538" spans="13:13">
      <c r="M538" s="19"/>
    </row>
    <row r="539" spans="13:13">
      <c r="M539" s="19"/>
    </row>
    <row r="540" spans="13:13">
      <c r="M540" s="19"/>
    </row>
    <row r="541" spans="13:13">
      <c r="M541" s="19"/>
    </row>
    <row r="542" spans="13:13">
      <c r="M542" s="19"/>
    </row>
    <row r="543" spans="13:13">
      <c r="M543" s="19"/>
    </row>
    <row r="544" spans="13:13">
      <c r="M544" s="19"/>
    </row>
    <row r="545" spans="13:13">
      <c r="M545" s="19"/>
    </row>
    <row r="546" spans="13:13">
      <c r="M546" s="19"/>
    </row>
    <row r="547" spans="13:13">
      <c r="M547" s="19"/>
    </row>
    <row r="548" spans="13:13">
      <c r="M548" s="19"/>
    </row>
    <row r="549" spans="13:13">
      <c r="M549" s="19"/>
    </row>
    <row r="550" spans="13:13">
      <c r="M550" s="19"/>
    </row>
    <row r="551" spans="13:13">
      <c r="M551" s="19"/>
    </row>
    <row r="552" spans="13:13">
      <c r="M552" s="19"/>
    </row>
    <row r="553" spans="13:13">
      <c r="M553" s="19"/>
    </row>
    <row r="554" spans="13:13">
      <c r="M554" s="19"/>
    </row>
    <row r="555" spans="13:13">
      <c r="M555" s="19"/>
    </row>
    <row r="556" spans="13:13">
      <c r="M556" s="19"/>
    </row>
    <row r="557" spans="13:13">
      <c r="M557" s="19"/>
    </row>
    <row r="558" spans="13:13">
      <c r="M558" s="19"/>
    </row>
    <row r="559" spans="13:13">
      <c r="M559" s="19"/>
    </row>
    <row r="560" spans="13:13">
      <c r="M560" s="19"/>
    </row>
    <row r="561" spans="13:13">
      <c r="M561" s="19"/>
    </row>
    <row r="562" spans="13:13">
      <c r="M562" s="19"/>
    </row>
    <row r="563" spans="13:13">
      <c r="M563" s="19"/>
    </row>
    <row r="564" spans="13:13">
      <c r="M564" s="19"/>
    </row>
    <row r="565" spans="13:13">
      <c r="M565" s="19"/>
    </row>
    <row r="566" spans="13:13">
      <c r="M566" s="19"/>
    </row>
    <row r="567" spans="13:13">
      <c r="M567" s="19"/>
    </row>
    <row r="568" spans="13:13">
      <c r="M568" s="19"/>
    </row>
    <row r="569" spans="13:13">
      <c r="M569" s="19"/>
    </row>
    <row r="570" spans="13:13">
      <c r="M570" s="19"/>
    </row>
    <row r="571" spans="13:13">
      <c r="M571" s="19"/>
    </row>
    <row r="572" spans="13:13">
      <c r="M572" s="19"/>
    </row>
    <row r="573" spans="13:13">
      <c r="M573" s="19"/>
    </row>
    <row r="574" spans="13:13">
      <c r="M574" s="19"/>
    </row>
    <row r="575" spans="13:13">
      <c r="M575" s="19"/>
    </row>
    <row r="576" spans="13:13">
      <c r="M576" s="19"/>
    </row>
    <row r="577" spans="13:13">
      <c r="M577" s="19"/>
    </row>
    <row r="578" spans="13:13">
      <c r="M578" s="19"/>
    </row>
    <row r="579" spans="13:13">
      <c r="M579" s="19"/>
    </row>
    <row r="580" spans="13:13">
      <c r="M580" s="19"/>
    </row>
    <row r="581" spans="13:13">
      <c r="M581" s="19"/>
    </row>
    <row r="582" spans="13:13">
      <c r="M582" s="19"/>
    </row>
    <row r="583" spans="13:13">
      <c r="M583" s="19"/>
    </row>
    <row r="584" spans="13:13">
      <c r="M584" s="19"/>
    </row>
    <row r="585" spans="13:13">
      <c r="M585" s="19"/>
    </row>
    <row r="586" spans="13:13">
      <c r="M586" s="19"/>
    </row>
    <row r="587" spans="13:13">
      <c r="M587" s="19"/>
    </row>
    <row r="588" spans="13:13">
      <c r="M588" s="19"/>
    </row>
    <row r="589" spans="13:13">
      <c r="M589" s="19"/>
    </row>
    <row r="590" spans="13:13">
      <c r="M590" s="19"/>
    </row>
    <row r="591" spans="13:13">
      <c r="M591" s="19"/>
    </row>
    <row r="592" spans="13:13">
      <c r="M592" s="19"/>
    </row>
    <row r="593" spans="13:13">
      <c r="M593" s="19"/>
    </row>
    <row r="594" spans="13:13">
      <c r="M594" s="19"/>
    </row>
    <row r="595" spans="13:13">
      <c r="M595" s="19"/>
    </row>
    <row r="596" spans="13:13">
      <c r="M596" s="19"/>
    </row>
    <row r="597" spans="13:13">
      <c r="M597" s="19"/>
    </row>
    <row r="598" spans="13:13">
      <c r="M598" s="19"/>
    </row>
    <row r="599" spans="13:13">
      <c r="M599" s="19"/>
    </row>
    <row r="600" spans="13:13">
      <c r="M600" s="19"/>
    </row>
    <row r="601" spans="13:13">
      <c r="M601" s="19"/>
    </row>
    <row r="602" spans="13:13">
      <c r="M602" s="19"/>
    </row>
    <row r="603" spans="13:13">
      <c r="M603" s="19"/>
    </row>
    <row r="604" spans="13:13">
      <c r="M604" s="19"/>
    </row>
    <row r="605" spans="13:13">
      <c r="M605" s="19"/>
    </row>
    <row r="606" spans="13:13">
      <c r="M606" s="19"/>
    </row>
    <row r="607" spans="13:13">
      <c r="M607" s="19"/>
    </row>
    <row r="608" spans="13:13">
      <c r="M608" s="19"/>
    </row>
    <row r="609" spans="13:13">
      <c r="M609" s="19"/>
    </row>
    <row r="610" spans="13:13">
      <c r="M610" s="19"/>
    </row>
    <row r="611" spans="13:13">
      <c r="M611" s="19"/>
    </row>
    <row r="612" spans="13:13">
      <c r="M612" s="19"/>
    </row>
    <row r="613" spans="13:13">
      <c r="M613" s="19"/>
    </row>
    <row r="614" spans="13:13">
      <c r="M614" s="19"/>
    </row>
    <row r="615" spans="13:13">
      <c r="M615" s="19"/>
    </row>
    <row r="616" spans="13:13">
      <c r="M616" s="19"/>
    </row>
    <row r="617" spans="13:13">
      <c r="M617" s="19"/>
    </row>
    <row r="618" spans="13:13">
      <c r="M618" s="19"/>
    </row>
    <row r="619" spans="13:13">
      <c r="M619" s="19"/>
    </row>
  </sheetData>
  <sheetProtection algorithmName="SHA-512" hashValue="pirMiJfEwMbP5qxZrskO/o9VSp9DrtD7QKawh4soZSWZBPjjp0FMPwIxnoYkg33LA9tQYZFNNOhvwP6nbV9/8A==" saltValue="aUu0/BJoRjYQ19uFWAhPsg==" spinCount="100000" sheet="1" objects="1" scenarios="1"/>
  <mergeCells count="1">
    <mergeCell ref="J1:L1"/>
  </mergeCells>
  <phoneticPr fontId="12" type="noConversion"/>
  <pageMargins left="0.75" right="0.75" top="1" bottom="0.75" header="0.5" footer="0.5"/>
  <pageSetup scale="56" fitToHeight="0" orientation="landscape" horizontalDpi="4294967292" verticalDpi="4294967292"/>
  <headerFooter>
    <oddHeader>&amp;C&amp;"Calibri,Regular"&amp;16&amp;K000000Cultural Services</oddHeader>
  </headerFooter>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pageSetUpPr fitToPage="1"/>
  </sheetPr>
  <dimension ref="A1:Z324"/>
  <sheetViews>
    <sheetView topLeftCell="N1" workbookViewId="0">
      <selection activeCell="V1" sqref="V1"/>
    </sheetView>
  </sheetViews>
  <sheetFormatPr defaultColWidth="11" defaultRowHeight="15.75"/>
  <cols>
    <col min="1" max="1" width="30.375" customWidth="1"/>
    <col min="2" max="9" width="13" customWidth="1"/>
    <col min="10" max="12" width="13.875" customWidth="1"/>
    <col min="13" max="13" width="11" style="190"/>
    <col min="14" max="16" width="12.875" customWidth="1"/>
    <col min="22" max="22" width="48.875" style="19" customWidth="1"/>
    <col min="23" max="24" width="11" style="19"/>
    <col min="25" max="25" width="26" style="19" customWidth="1"/>
    <col min="26" max="26" width="11" style="19"/>
  </cols>
  <sheetData>
    <row r="1" spans="1:22" ht="18.75">
      <c r="A1" s="42" t="s">
        <v>36</v>
      </c>
      <c r="B1" s="2"/>
      <c r="C1" s="2"/>
      <c r="D1" s="2"/>
      <c r="E1" s="2"/>
      <c r="F1" s="2"/>
      <c r="G1" s="2"/>
      <c r="H1" s="2"/>
      <c r="I1" s="2"/>
      <c r="J1" s="494" t="s">
        <v>215</v>
      </c>
      <c r="K1" s="494"/>
      <c r="L1" s="494"/>
    </row>
    <row r="2" spans="1:22">
      <c r="A2" s="2"/>
    </row>
    <row r="3" spans="1:22">
      <c r="A3" s="2"/>
      <c r="B3" s="82" t="s">
        <v>61</v>
      </c>
      <c r="C3" s="82" t="s">
        <v>61</v>
      </c>
      <c r="D3" s="82" t="s">
        <v>61</v>
      </c>
      <c r="E3" s="82" t="s">
        <v>61</v>
      </c>
      <c r="F3" s="82" t="s">
        <v>61</v>
      </c>
      <c r="G3" s="82" t="s">
        <v>61</v>
      </c>
      <c r="H3" s="82" t="s">
        <v>61</v>
      </c>
      <c r="I3" s="82" t="s">
        <v>61</v>
      </c>
      <c r="J3" s="82" t="s">
        <v>61</v>
      </c>
      <c r="K3" s="82" t="s">
        <v>61</v>
      </c>
      <c r="L3" s="82" t="s">
        <v>61</v>
      </c>
    </row>
    <row r="4" spans="1:22">
      <c r="A4" s="2"/>
      <c r="B4" s="30" t="s">
        <v>57</v>
      </c>
      <c r="C4" s="30" t="s">
        <v>57</v>
      </c>
      <c r="D4" s="30" t="s">
        <v>57</v>
      </c>
      <c r="E4" s="30" t="s">
        <v>57</v>
      </c>
      <c r="F4" s="30" t="s">
        <v>57</v>
      </c>
      <c r="G4" s="30" t="s">
        <v>57</v>
      </c>
      <c r="H4" s="30" t="s">
        <v>57</v>
      </c>
      <c r="I4" s="30" t="s">
        <v>57</v>
      </c>
      <c r="J4" s="30" t="s">
        <v>57</v>
      </c>
      <c r="K4" s="30" t="s">
        <v>202</v>
      </c>
      <c r="L4" s="30" t="s">
        <v>58</v>
      </c>
    </row>
    <row r="5" spans="1:22" ht="18.75">
      <c r="A5" s="93" t="s">
        <v>98</v>
      </c>
      <c r="B5" s="2">
        <v>2009</v>
      </c>
      <c r="C5" s="2">
        <v>2010</v>
      </c>
      <c r="D5" s="2">
        <v>2011</v>
      </c>
      <c r="E5" s="2">
        <v>2012</v>
      </c>
      <c r="F5" s="2">
        <v>2013</v>
      </c>
      <c r="G5" s="2">
        <v>2014</v>
      </c>
      <c r="H5" s="2">
        <v>2015</v>
      </c>
      <c r="I5" s="340">
        <v>2016</v>
      </c>
      <c r="J5" s="340">
        <v>2017</v>
      </c>
      <c r="K5" s="340">
        <v>2018</v>
      </c>
      <c r="L5" s="147">
        <v>2019</v>
      </c>
      <c r="M5" s="195"/>
      <c r="N5" s="2"/>
    </row>
    <row r="6" spans="1:22">
      <c r="A6" s="10" t="s">
        <v>100</v>
      </c>
      <c r="B6" s="32">
        <v>2419353</v>
      </c>
      <c r="C6" s="32">
        <v>3186332</v>
      </c>
      <c r="D6" s="32">
        <v>3112191</v>
      </c>
      <c r="E6" s="32">
        <v>2517478</v>
      </c>
      <c r="F6" s="32">
        <v>2951926</v>
      </c>
      <c r="G6" s="32">
        <f>3739677-G41</f>
        <v>3739674.2</v>
      </c>
      <c r="H6" s="32">
        <v>3348110</v>
      </c>
      <c r="I6" s="32">
        <v>3414725</v>
      </c>
      <c r="J6" s="32">
        <v>2567529</v>
      </c>
      <c r="K6" s="32">
        <v>3018400</v>
      </c>
      <c r="L6" s="32">
        <v>3151070</v>
      </c>
      <c r="M6" s="174"/>
      <c r="N6" s="3"/>
    </row>
    <row r="7" spans="1:22">
      <c r="A7" s="96" t="s">
        <v>93</v>
      </c>
      <c r="B7" s="32">
        <v>0</v>
      </c>
      <c r="C7" s="32">
        <v>224222</v>
      </c>
      <c r="D7" s="32">
        <v>0</v>
      </c>
      <c r="E7" s="32">
        <v>0</v>
      </c>
      <c r="F7" s="32">
        <v>0</v>
      </c>
      <c r="G7" s="32">
        <v>0</v>
      </c>
      <c r="H7" s="32">
        <v>0</v>
      </c>
      <c r="I7" s="32">
        <v>0</v>
      </c>
      <c r="J7" s="32">
        <v>0</v>
      </c>
      <c r="K7" s="32">
        <v>0</v>
      </c>
      <c r="L7" s="32">
        <v>0</v>
      </c>
      <c r="M7" s="174"/>
      <c r="N7" s="3"/>
      <c r="V7" s="255"/>
    </row>
    <row r="8" spans="1:22">
      <c r="A8" s="94" t="s">
        <v>101</v>
      </c>
      <c r="B8" s="32">
        <v>0</v>
      </c>
      <c r="C8" s="32">
        <v>0</v>
      </c>
      <c r="D8" s="32">
        <v>0</v>
      </c>
      <c r="E8" s="32">
        <v>0</v>
      </c>
      <c r="F8" s="32">
        <v>0</v>
      </c>
      <c r="G8" s="32">
        <v>0</v>
      </c>
      <c r="H8" s="32">
        <v>0</v>
      </c>
      <c r="I8" s="32">
        <v>0</v>
      </c>
      <c r="J8" s="32">
        <v>0</v>
      </c>
      <c r="K8" s="32">
        <v>0</v>
      </c>
      <c r="L8" s="32">
        <v>0</v>
      </c>
      <c r="M8" s="174"/>
      <c r="N8" s="3"/>
    </row>
    <row r="9" spans="1:22" ht="16.5" thickBot="1">
      <c r="A9" s="73" t="s">
        <v>149</v>
      </c>
      <c r="B9" s="125"/>
      <c r="C9" s="125"/>
      <c r="D9" s="125">
        <v>391874</v>
      </c>
      <c r="E9" s="125">
        <v>240077</v>
      </c>
      <c r="F9" s="125">
        <v>293278</v>
      </c>
      <c r="G9" s="125"/>
      <c r="H9" s="125">
        <v>0</v>
      </c>
      <c r="I9" s="125">
        <v>0</v>
      </c>
      <c r="J9" s="125">
        <v>0</v>
      </c>
      <c r="K9" s="125">
        <v>0</v>
      </c>
      <c r="L9" s="125">
        <v>0</v>
      </c>
      <c r="M9" s="174"/>
      <c r="N9" s="3"/>
    </row>
    <row r="10" spans="1:22" ht="16.5" hidden="1" thickBot="1">
      <c r="A10" s="39" t="s">
        <v>124</v>
      </c>
      <c r="B10" s="125"/>
      <c r="C10" s="125"/>
      <c r="D10" s="125"/>
      <c r="E10" s="125"/>
      <c r="F10" s="125"/>
      <c r="G10" s="125"/>
      <c r="H10" s="125"/>
      <c r="I10" s="125">
        <f>-I9</f>
        <v>0</v>
      </c>
      <c r="J10" s="125">
        <f>-J9</f>
        <v>0</v>
      </c>
      <c r="K10" s="125">
        <f>-K9</f>
        <v>0</v>
      </c>
      <c r="L10" s="125">
        <f>-L9</f>
        <v>0</v>
      </c>
      <c r="M10" s="195"/>
      <c r="N10" s="2"/>
    </row>
    <row r="11" spans="1:22">
      <c r="A11" s="95" t="s">
        <v>108</v>
      </c>
      <c r="B11" s="32">
        <f>SUM(B6:B10)</f>
        <v>2419353</v>
      </c>
      <c r="C11" s="32">
        <f t="shared" ref="C11:L11" si="0">SUM(C6:C10)</f>
        <v>3410554</v>
      </c>
      <c r="D11" s="32">
        <f t="shared" si="0"/>
        <v>3504065</v>
      </c>
      <c r="E11" s="32">
        <f t="shared" si="0"/>
        <v>2757555</v>
      </c>
      <c r="F11" s="32">
        <f t="shared" si="0"/>
        <v>3245204</v>
      </c>
      <c r="G11" s="32">
        <f t="shared" si="0"/>
        <v>3739674.2</v>
      </c>
      <c r="H11" s="32">
        <f t="shared" si="0"/>
        <v>3348110</v>
      </c>
      <c r="I11" s="32">
        <f t="shared" si="0"/>
        <v>3414725</v>
      </c>
      <c r="J11" s="32">
        <f t="shared" si="0"/>
        <v>2567529</v>
      </c>
      <c r="K11" s="32">
        <f t="shared" si="0"/>
        <v>3018400</v>
      </c>
      <c r="L11" s="32">
        <f t="shared" si="0"/>
        <v>3151070</v>
      </c>
      <c r="M11" s="195"/>
      <c r="N11" s="2"/>
    </row>
    <row r="12" spans="1:22">
      <c r="A12" s="2"/>
      <c r="B12" s="31"/>
      <c r="C12" s="31"/>
      <c r="D12" s="31"/>
      <c r="E12" s="31"/>
      <c r="F12" s="31"/>
      <c r="G12" s="31"/>
      <c r="H12" s="31"/>
      <c r="I12" s="31"/>
      <c r="J12" s="31"/>
      <c r="K12" s="31"/>
      <c r="L12" s="31"/>
      <c r="M12" s="195"/>
      <c r="N12" s="2"/>
    </row>
    <row r="13" spans="1:22">
      <c r="A13" s="88"/>
      <c r="B13" s="32"/>
      <c r="C13" s="32"/>
      <c r="D13" s="32"/>
      <c r="E13" s="32"/>
      <c r="F13" s="32"/>
      <c r="G13" s="32"/>
      <c r="H13" s="32"/>
      <c r="I13" s="32"/>
      <c r="J13" s="32"/>
      <c r="K13" s="32"/>
      <c r="L13" s="32"/>
      <c r="M13" s="195"/>
      <c r="N13" s="2"/>
    </row>
    <row r="14" spans="1:22">
      <c r="A14" s="88"/>
      <c r="B14" s="32"/>
      <c r="C14" s="32"/>
      <c r="D14" s="32"/>
      <c r="E14" s="32"/>
      <c r="F14" s="32"/>
      <c r="G14" s="32"/>
      <c r="H14" s="32"/>
      <c r="I14" s="32"/>
      <c r="J14" s="32"/>
      <c r="K14" s="32"/>
      <c r="L14" s="32"/>
      <c r="M14" s="195"/>
      <c r="N14" s="2"/>
    </row>
    <row r="15" spans="1:22">
      <c r="A15" s="89"/>
      <c r="B15" s="32"/>
      <c r="C15" s="32"/>
      <c r="D15" s="32"/>
      <c r="E15" s="32"/>
      <c r="F15" s="32"/>
      <c r="G15" s="32"/>
      <c r="H15" s="32"/>
      <c r="I15" s="32"/>
      <c r="J15" s="32"/>
      <c r="K15" s="32"/>
      <c r="L15" s="32"/>
      <c r="M15" s="196"/>
      <c r="N15" s="10"/>
    </row>
    <row r="16" spans="1:22">
      <c r="A16" s="2"/>
      <c r="B16" s="32"/>
      <c r="C16" s="32"/>
      <c r="D16" s="32"/>
      <c r="E16" s="32"/>
      <c r="F16" s="32"/>
      <c r="G16" s="32"/>
      <c r="H16" s="32"/>
      <c r="I16" s="32"/>
      <c r="J16" s="32"/>
      <c r="K16" s="32"/>
      <c r="L16" s="32"/>
    </row>
    <row r="17" spans="1:13">
      <c r="B17" s="32"/>
      <c r="C17" s="32"/>
      <c r="D17" s="32"/>
      <c r="E17" s="32"/>
      <c r="F17" s="32"/>
      <c r="G17" s="32"/>
      <c r="H17" s="32"/>
      <c r="I17" s="32"/>
      <c r="J17" s="32"/>
      <c r="K17" s="32"/>
      <c r="L17" s="32"/>
    </row>
    <row r="18" spans="1:13" ht="18.75">
      <c r="A18" s="93" t="s">
        <v>73</v>
      </c>
      <c r="B18" s="2">
        <v>2009</v>
      </c>
      <c r="C18" s="2">
        <v>2010</v>
      </c>
      <c r="D18" s="2">
        <v>2011</v>
      </c>
      <c r="E18" s="2">
        <v>2012</v>
      </c>
      <c r="F18" s="2">
        <v>2013</v>
      </c>
      <c r="G18" s="2">
        <v>2014</v>
      </c>
      <c r="H18" s="2">
        <v>2015</v>
      </c>
      <c r="I18" s="340">
        <v>2016</v>
      </c>
      <c r="J18" s="340">
        <v>2017</v>
      </c>
      <c r="K18" s="340">
        <v>2018</v>
      </c>
      <c r="L18" s="340">
        <v>2019</v>
      </c>
    </row>
    <row r="19" spans="1:13">
      <c r="A19" s="10" t="s">
        <v>100</v>
      </c>
      <c r="B19" s="32">
        <v>2419353</v>
      </c>
      <c r="C19" s="32">
        <v>2548898</v>
      </c>
      <c r="D19" s="32">
        <v>2526055</v>
      </c>
      <c r="E19" s="32">
        <v>1880044</v>
      </c>
      <c r="F19" s="32">
        <v>2403192</v>
      </c>
      <c r="G19" s="32">
        <v>3074904</v>
      </c>
      <c r="H19" s="32">
        <v>3348110</v>
      </c>
      <c r="I19" s="32">
        <v>3414726</v>
      </c>
      <c r="J19" s="32">
        <v>3632285</v>
      </c>
      <c r="K19" s="32">
        <v>4040885</v>
      </c>
      <c r="L19" s="32">
        <v>3135765</v>
      </c>
    </row>
    <row r="20" spans="1:13">
      <c r="A20" s="96" t="s">
        <v>93</v>
      </c>
      <c r="B20" s="32">
        <v>0</v>
      </c>
      <c r="C20" s="32">
        <v>0</v>
      </c>
      <c r="D20" s="32">
        <v>0</v>
      </c>
      <c r="E20" s="32">
        <v>0</v>
      </c>
      <c r="F20" s="32">
        <v>0</v>
      </c>
      <c r="G20" s="32">
        <v>0</v>
      </c>
      <c r="H20" s="32">
        <v>0</v>
      </c>
      <c r="I20" s="32">
        <v>0</v>
      </c>
      <c r="J20" s="32">
        <v>0</v>
      </c>
      <c r="K20" s="32">
        <v>0</v>
      </c>
      <c r="L20" s="32">
        <v>0</v>
      </c>
    </row>
    <row r="21" spans="1:13">
      <c r="A21" s="94" t="s">
        <v>101</v>
      </c>
      <c r="B21" s="32">
        <v>0</v>
      </c>
      <c r="C21" s="32">
        <v>0</v>
      </c>
      <c r="D21" s="32">
        <v>0</v>
      </c>
      <c r="E21" s="32">
        <v>0</v>
      </c>
      <c r="F21" s="32">
        <v>0</v>
      </c>
      <c r="G21" s="32">
        <v>0</v>
      </c>
      <c r="H21" s="32">
        <v>0</v>
      </c>
      <c r="I21" s="32">
        <v>0</v>
      </c>
      <c r="J21" s="32">
        <v>0</v>
      </c>
      <c r="K21" s="32">
        <v>0</v>
      </c>
      <c r="L21" s="32">
        <v>0</v>
      </c>
    </row>
    <row r="22" spans="1:13">
      <c r="A22" s="73" t="s">
        <v>83</v>
      </c>
      <c r="B22" s="27">
        <v>0</v>
      </c>
      <c r="C22" s="27">
        <v>0</v>
      </c>
      <c r="D22" s="27">
        <v>0</v>
      </c>
      <c r="E22" s="27">
        <v>0</v>
      </c>
      <c r="F22" s="27">
        <v>0</v>
      </c>
      <c r="G22" s="27">
        <v>0</v>
      </c>
      <c r="H22" s="27">
        <v>0</v>
      </c>
      <c r="I22" s="27">
        <v>0</v>
      </c>
      <c r="J22" s="27"/>
      <c r="K22" s="27">
        <v>0</v>
      </c>
      <c r="L22" s="27">
        <v>0</v>
      </c>
    </row>
    <row r="23" spans="1:13" ht="16.5" thickBot="1">
      <c r="A23" s="153" t="s">
        <v>157</v>
      </c>
      <c r="B23" s="69"/>
      <c r="C23" s="69"/>
      <c r="D23" s="69"/>
      <c r="E23" s="69"/>
      <c r="F23" s="69"/>
      <c r="G23" s="69"/>
      <c r="H23" s="69"/>
      <c r="I23" s="69"/>
      <c r="J23" s="69"/>
      <c r="K23" s="69"/>
      <c r="L23" s="69"/>
    </row>
    <row r="24" spans="1:13">
      <c r="A24" s="95" t="s">
        <v>119</v>
      </c>
      <c r="B24" s="1">
        <f>SUM(B19:B22)</f>
        <v>2419353</v>
      </c>
      <c r="C24" s="1">
        <f t="shared" ref="C24:L24" si="1">SUM(C19:C22)</f>
        <v>2548898</v>
      </c>
      <c r="D24" s="1">
        <f t="shared" si="1"/>
        <v>2526055</v>
      </c>
      <c r="E24" s="1">
        <f t="shared" si="1"/>
        <v>1880044</v>
      </c>
      <c r="F24" s="1">
        <f t="shared" si="1"/>
        <v>2403192</v>
      </c>
      <c r="G24" s="1">
        <f t="shared" si="1"/>
        <v>3074904</v>
      </c>
      <c r="H24" s="1">
        <f t="shared" si="1"/>
        <v>3348110</v>
      </c>
      <c r="I24" s="1">
        <f t="shared" si="1"/>
        <v>3414726</v>
      </c>
      <c r="J24" s="1">
        <f t="shared" si="1"/>
        <v>3632285</v>
      </c>
      <c r="K24" s="1">
        <f t="shared" si="1"/>
        <v>4040885</v>
      </c>
      <c r="L24" s="1">
        <f t="shared" si="1"/>
        <v>3135765</v>
      </c>
    </row>
    <row r="25" spans="1:13">
      <c r="A25" s="195"/>
      <c r="B25" s="174"/>
      <c r="C25" s="174"/>
      <c r="D25" s="174"/>
      <c r="E25" s="174"/>
      <c r="F25" s="174"/>
      <c r="G25" s="174"/>
      <c r="H25" s="174"/>
      <c r="I25" s="174"/>
      <c r="J25" s="174"/>
      <c r="K25" s="174"/>
      <c r="L25" s="174"/>
    </row>
    <row r="26" spans="1:13">
      <c r="J26" s="66"/>
      <c r="K26" s="66"/>
      <c r="L26" s="66"/>
    </row>
    <row r="28" spans="1:13">
      <c r="M28" s="173"/>
    </row>
    <row r="29" spans="1:13">
      <c r="B29" s="2">
        <v>2009</v>
      </c>
      <c r="C29" s="2">
        <v>2010</v>
      </c>
      <c r="D29" s="2">
        <v>2011</v>
      </c>
      <c r="E29" s="2">
        <v>2012</v>
      </c>
      <c r="F29" s="2">
        <v>2013</v>
      </c>
      <c r="G29" s="2">
        <v>2014</v>
      </c>
      <c r="H29" s="2">
        <v>2015</v>
      </c>
      <c r="I29" s="340">
        <v>2016</v>
      </c>
      <c r="J29" s="340">
        <v>2017</v>
      </c>
      <c r="K29" s="340">
        <v>2018</v>
      </c>
      <c r="L29" s="340">
        <v>2019</v>
      </c>
      <c r="M29" s="173"/>
    </row>
    <row r="30" spans="1:13">
      <c r="A30" s="2" t="s">
        <v>203</v>
      </c>
      <c r="B30" s="8">
        <f t="shared" ref="B30:L30" si="2">+B19/B31</f>
        <v>38.303932744371615</v>
      </c>
      <c r="C30" s="8">
        <f t="shared" si="2"/>
        <v>37.626553688996488</v>
      </c>
      <c r="D30" s="8">
        <f t="shared" si="2"/>
        <v>36.736740303369643</v>
      </c>
      <c r="E30" s="8">
        <f t="shared" si="2"/>
        <v>27.113021156314446</v>
      </c>
      <c r="F30" s="8">
        <f t="shared" si="2"/>
        <v>34.150802898962624</v>
      </c>
      <c r="G30" s="8">
        <f t="shared" si="2"/>
        <v>43.29204387064074</v>
      </c>
      <c r="H30" s="8">
        <f t="shared" si="2"/>
        <v>45.602152002179245</v>
      </c>
      <c r="I30" s="8">
        <f t="shared" si="2"/>
        <v>45.906110102843314</v>
      </c>
      <c r="J30" s="8">
        <f t="shared" si="2"/>
        <v>47.894053270042193</v>
      </c>
      <c r="K30" s="8">
        <f t="shared" si="2"/>
        <v>52.301066500996612</v>
      </c>
      <c r="L30" s="8">
        <f t="shared" si="2"/>
        <v>39.703279311218033</v>
      </c>
      <c r="M30" s="173"/>
    </row>
    <row r="31" spans="1:13">
      <c r="A31" s="45" t="s">
        <v>21</v>
      </c>
      <c r="B31" s="12">
        <f>Stats!D4</f>
        <v>63162</v>
      </c>
      <c r="C31" s="12">
        <f>Stats!E4</f>
        <v>67742</v>
      </c>
      <c r="D31" s="12">
        <f>Stats!F4</f>
        <v>68761</v>
      </c>
      <c r="E31" s="12">
        <f>Stats!G4</f>
        <v>69341</v>
      </c>
      <c r="F31" s="12">
        <f>Stats!H4</f>
        <v>70370</v>
      </c>
      <c r="G31" s="12">
        <f>Stats!I4</f>
        <v>71027</v>
      </c>
      <c r="H31" s="12">
        <f>Stats!J4</f>
        <v>73420</v>
      </c>
      <c r="I31" s="12">
        <f>Stats!K4</f>
        <v>74385</v>
      </c>
      <c r="J31" s="12">
        <f>Stats!L4</f>
        <v>75840</v>
      </c>
      <c r="K31" s="12">
        <f>Stats!M4</f>
        <v>77262</v>
      </c>
      <c r="L31" s="12">
        <f>Stats!N4</f>
        <v>78980</v>
      </c>
      <c r="M31" s="173"/>
    </row>
    <row r="32" spans="1:13">
      <c r="B32" s="2"/>
      <c r="C32" s="2"/>
      <c r="D32" s="2"/>
      <c r="E32" s="2"/>
      <c r="F32" s="2"/>
      <c r="G32" s="2"/>
      <c r="H32" s="2"/>
      <c r="I32" s="340"/>
      <c r="J32" s="340"/>
      <c r="K32" s="340"/>
      <c r="L32" s="340"/>
      <c r="M32" s="173"/>
    </row>
    <row r="33" spans="1:14">
      <c r="A33" s="253" t="s">
        <v>159</v>
      </c>
      <c r="B33" s="1">
        <f t="shared" ref="B33:L33" si="3">+B24/B34</f>
        <v>82712.923076923078</v>
      </c>
      <c r="C33" s="1">
        <f t="shared" si="3"/>
        <v>107322.02105263158</v>
      </c>
      <c r="D33" s="1">
        <f t="shared" si="3"/>
        <v>106360.21052631579</v>
      </c>
      <c r="E33" s="1">
        <f t="shared" si="3"/>
        <v>79159.747368421056</v>
      </c>
      <c r="F33" s="1">
        <f t="shared" si="3"/>
        <v>102569.01408450704</v>
      </c>
      <c r="G33" s="1">
        <f t="shared" si="3"/>
        <v>128227.8565471226</v>
      </c>
      <c r="H33" s="1">
        <f t="shared" si="3"/>
        <v>126678.39576239123</v>
      </c>
      <c r="I33" s="1">
        <f t="shared" si="3"/>
        <v>117022.82385195339</v>
      </c>
      <c r="J33" s="1">
        <f t="shared" si="3"/>
        <v>128010.04405286344</v>
      </c>
      <c r="K33" s="1">
        <f t="shared" si="3"/>
        <v>137562.04255319148</v>
      </c>
      <c r="L33" s="1">
        <f t="shared" si="3"/>
        <v>106749.44680851063</v>
      </c>
      <c r="M33" s="173"/>
    </row>
    <row r="34" spans="1:14">
      <c r="A34" s="47" t="s">
        <v>70</v>
      </c>
      <c r="B34" s="41">
        <f>+B43</f>
        <v>29.25</v>
      </c>
      <c r="C34" s="41">
        <f t="shared" ref="C34:L34" si="4">+C43</f>
        <v>23.75</v>
      </c>
      <c r="D34" s="41">
        <f t="shared" si="4"/>
        <v>23.75</v>
      </c>
      <c r="E34" s="41">
        <f t="shared" si="4"/>
        <v>23.75</v>
      </c>
      <c r="F34" s="41">
        <f t="shared" si="4"/>
        <v>23.43</v>
      </c>
      <c r="G34" s="41">
        <f t="shared" si="4"/>
        <v>23.98</v>
      </c>
      <c r="H34" s="41">
        <f t="shared" si="4"/>
        <v>26.43</v>
      </c>
      <c r="I34" s="41">
        <f t="shared" si="4"/>
        <v>29.18</v>
      </c>
      <c r="J34" s="41">
        <f t="shared" si="4"/>
        <v>28.375</v>
      </c>
      <c r="K34" s="41">
        <f t="shared" si="4"/>
        <v>29.375</v>
      </c>
      <c r="L34" s="41">
        <f t="shared" si="4"/>
        <v>29.375</v>
      </c>
      <c r="M34" s="173"/>
    </row>
    <row r="35" spans="1:14">
      <c r="A35" s="190"/>
      <c r="B35" s="190"/>
      <c r="C35" s="190"/>
      <c r="D35" s="190"/>
      <c r="E35" s="190"/>
      <c r="F35" s="190"/>
      <c r="G35" s="190"/>
      <c r="H35" s="190"/>
      <c r="I35" s="190"/>
      <c r="J35" s="190"/>
      <c r="K35" s="190"/>
      <c r="L35" s="190"/>
      <c r="M35" s="173"/>
    </row>
    <row r="36" spans="1:14">
      <c r="A36" s="190"/>
      <c r="B36" s="190"/>
      <c r="C36" s="190"/>
      <c r="D36" s="190"/>
      <c r="E36" s="190"/>
      <c r="F36" s="190"/>
      <c r="G36" s="190"/>
      <c r="H36" s="190"/>
      <c r="I36" s="190"/>
      <c r="J36" s="190"/>
      <c r="K36" s="190"/>
      <c r="L36" s="190"/>
      <c r="M36" s="173"/>
    </row>
    <row r="37" spans="1:14">
      <c r="A37" s="366"/>
      <c r="B37" s="165"/>
      <c r="C37" s="165"/>
      <c r="D37" s="165"/>
      <c r="E37" s="165"/>
      <c r="F37" s="165"/>
      <c r="G37" s="165"/>
      <c r="H37" s="165"/>
      <c r="I37" s="211"/>
      <c r="J37" s="211"/>
      <c r="K37" s="211"/>
      <c r="L37" s="211"/>
      <c r="M37" s="173"/>
    </row>
    <row r="38" spans="1:14">
      <c r="A38" s="457" t="s">
        <v>63</v>
      </c>
      <c r="B38" s="2">
        <v>2009</v>
      </c>
      <c r="C38" s="2">
        <v>2010</v>
      </c>
      <c r="D38" s="2">
        <v>2011</v>
      </c>
      <c r="E38" s="2">
        <v>2012</v>
      </c>
      <c r="F38" s="2">
        <v>2013</v>
      </c>
      <c r="G38" s="2">
        <v>2014</v>
      </c>
      <c r="H38" s="2">
        <v>2015</v>
      </c>
      <c r="I38" s="341">
        <v>2016</v>
      </c>
      <c r="J38" s="341">
        <v>2017</v>
      </c>
      <c r="K38" s="341">
        <v>2018</v>
      </c>
      <c r="L38" s="341">
        <v>2019</v>
      </c>
    </row>
    <row r="39" spans="1:14">
      <c r="A39" s="39" t="s">
        <v>36</v>
      </c>
      <c r="B39" s="14">
        <v>2</v>
      </c>
      <c r="C39" s="22">
        <v>2.5</v>
      </c>
      <c r="D39" s="22">
        <v>2.5</v>
      </c>
      <c r="E39" s="22">
        <v>3</v>
      </c>
      <c r="F39" s="22">
        <v>3</v>
      </c>
      <c r="G39" s="22">
        <v>3</v>
      </c>
      <c r="H39" s="22">
        <v>3</v>
      </c>
      <c r="I39" s="22">
        <v>3.13</v>
      </c>
      <c r="J39" s="458">
        <v>4.625</v>
      </c>
      <c r="K39" s="458">
        <v>5.625</v>
      </c>
      <c r="L39" s="458">
        <v>5.625</v>
      </c>
    </row>
    <row r="40" spans="1:14">
      <c r="A40" s="39" t="s">
        <v>226</v>
      </c>
      <c r="B40" s="14">
        <v>13</v>
      </c>
      <c r="C40" s="22">
        <v>9</v>
      </c>
      <c r="D40" s="22">
        <v>9</v>
      </c>
      <c r="E40" s="22">
        <v>9</v>
      </c>
      <c r="F40" s="22">
        <v>9</v>
      </c>
      <c r="G40" s="22">
        <v>9.75</v>
      </c>
      <c r="H40" s="22">
        <v>10</v>
      </c>
      <c r="I40" s="22">
        <v>13</v>
      </c>
      <c r="J40" s="458">
        <v>12</v>
      </c>
      <c r="K40" s="458">
        <v>12</v>
      </c>
      <c r="L40" s="458">
        <v>12</v>
      </c>
    </row>
    <row r="41" spans="1:14">
      <c r="A41" s="39" t="s">
        <v>227</v>
      </c>
      <c r="B41" s="14">
        <v>5</v>
      </c>
      <c r="C41" s="22">
        <v>3.5</v>
      </c>
      <c r="D41" s="22">
        <v>3.5</v>
      </c>
      <c r="E41" s="22">
        <v>3</v>
      </c>
      <c r="F41" s="22">
        <v>3</v>
      </c>
      <c r="G41" s="22">
        <v>2.8</v>
      </c>
      <c r="H41" s="22">
        <v>2.8</v>
      </c>
      <c r="I41" s="22">
        <v>2.8</v>
      </c>
      <c r="J41" s="458">
        <v>2</v>
      </c>
      <c r="K41" s="458">
        <v>2</v>
      </c>
      <c r="L41" s="458">
        <v>2</v>
      </c>
    </row>
    <row r="42" spans="1:14" ht="16.5" thickBot="1">
      <c r="A42" s="39" t="s">
        <v>228</v>
      </c>
      <c r="B42" s="459">
        <v>9.25</v>
      </c>
      <c r="C42" s="35">
        <v>8.75</v>
      </c>
      <c r="D42" s="35">
        <v>8.75</v>
      </c>
      <c r="E42" s="35">
        <v>8.75</v>
      </c>
      <c r="F42" s="35">
        <v>8.43</v>
      </c>
      <c r="G42" s="35">
        <v>8.43</v>
      </c>
      <c r="H42" s="35">
        <v>10.63</v>
      </c>
      <c r="I42" s="35">
        <v>10.25</v>
      </c>
      <c r="J42" s="35">
        <v>9.75</v>
      </c>
      <c r="K42" s="35">
        <v>9.75</v>
      </c>
      <c r="L42" s="35">
        <v>9.75</v>
      </c>
    </row>
    <row r="43" spans="1:14">
      <c r="A43" s="460" t="s">
        <v>70</v>
      </c>
      <c r="B43" s="41">
        <f>SUM(B39:B42)</f>
        <v>29.25</v>
      </c>
      <c r="C43" s="41">
        <f t="shared" ref="C43:L43" si="5">SUM(C39:C42)</f>
        <v>23.75</v>
      </c>
      <c r="D43" s="41">
        <f t="shared" si="5"/>
        <v>23.75</v>
      </c>
      <c r="E43" s="41">
        <f t="shared" si="5"/>
        <v>23.75</v>
      </c>
      <c r="F43" s="41">
        <f t="shared" si="5"/>
        <v>23.43</v>
      </c>
      <c r="G43" s="41">
        <f t="shared" si="5"/>
        <v>23.98</v>
      </c>
      <c r="H43" s="41">
        <f t="shared" si="5"/>
        <v>26.43</v>
      </c>
      <c r="I43" s="41">
        <f t="shared" si="5"/>
        <v>29.18</v>
      </c>
      <c r="J43" s="41">
        <f t="shared" si="5"/>
        <v>28.375</v>
      </c>
      <c r="K43" s="41">
        <f t="shared" si="5"/>
        <v>29.375</v>
      </c>
      <c r="L43" s="41">
        <f t="shared" si="5"/>
        <v>29.375</v>
      </c>
    </row>
    <row r="44" spans="1:14">
      <c r="A44" s="45" t="s">
        <v>72</v>
      </c>
      <c r="B44" s="15"/>
      <c r="C44" s="36">
        <f>C43/B43</f>
        <v>0.81196581196581197</v>
      </c>
      <c r="D44" s="36">
        <f t="shared" ref="D44:L44" si="6">D43/C43</f>
        <v>1</v>
      </c>
      <c r="E44" s="36">
        <f t="shared" si="6"/>
        <v>1</v>
      </c>
      <c r="F44" s="36">
        <f t="shared" si="6"/>
        <v>0.9865263157894737</v>
      </c>
      <c r="G44" s="36">
        <f t="shared" si="6"/>
        <v>1.023474178403756</v>
      </c>
      <c r="H44" s="36">
        <f t="shared" si="6"/>
        <v>1.1021684737281068</v>
      </c>
      <c r="I44" s="36">
        <f t="shared" si="6"/>
        <v>1.1040484298146047</v>
      </c>
      <c r="J44" s="36">
        <f t="shared" si="6"/>
        <v>0.97241261137765589</v>
      </c>
      <c r="K44" s="36">
        <f t="shared" si="6"/>
        <v>1.0352422907488987</v>
      </c>
      <c r="L44" s="36">
        <f t="shared" si="6"/>
        <v>1</v>
      </c>
    </row>
    <row r="45" spans="1:14">
      <c r="A45" s="367"/>
      <c r="B45" s="117"/>
      <c r="C45" s="117"/>
      <c r="D45" s="117"/>
      <c r="E45" s="117"/>
      <c r="F45" s="117"/>
      <c r="G45" s="117"/>
      <c r="H45" s="117"/>
      <c r="I45" s="117"/>
      <c r="J45" s="117"/>
      <c r="K45" s="117"/>
      <c r="L45" s="117"/>
      <c r="M45" s="173"/>
      <c r="N45" s="1"/>
    </row>
    <row r="46" spans="1:14">
      <c r="A46" s="384"/>
      <c r="B46" s="117"/>
      <c r="C46" s="117"/>
      <c r="D46" s="117"/>
      <c r="E46" s="117"/>
      <c r="F46" s="117"/>
      <c r="G46" s="117"/>
      <c r="H46" s="117"/>
      <c r="I46" s="117"/>
      <c r="J46" s="117"/>
      <c r="K46" s="117"/>
      <c r="L46" s="117"/>
      <c r="M46" s="173"/>
      <c r="N46" s="1"/>
    </row>
    <row r="47" spans="1:14">
      <c r="A47" s="363"/>
      <c r="B47" s="117"/>
      <c r="C47" s="339"/>
      <c r="D47" s="339"/>
      <c r="E47" s="339"/>
      <c r="F47" s="339"/>
      <c r="G47" s="339"/>
      <c r="H47" s="339"/>
      <c r="I47" s="339"/>
      <c r="J47" s="339"/>
      <c r="K47" s="339"/>
      <c r="L47" s="339"/>
      <c r="M47" s="173"/>
      <c r="N47" s="1"/>
    </row>
    <row r="48" spans="1:14">
      <c r="A48" s="368"/>
      <c r="B48" s="163"/>
      <c r="C48" s="163"/>
      <c r="D48" s="163"/>
      <c r="E48" s="163"/>
      <c r="F48" s="163"/>
      <c r="G48" s="163"/>
      <c r="H48" s="163"/>
      <c r="I48" s="163"/>
      <c r="J48" s="163"/>
      <c r="K48" s="163"/>
      <c r="L48" s="339"/>
      <c r="M48" s="173"/>
      <c r="N48" s="1"/>
    </row>
    <row r="49" spans="1:14">
      <c r="A49" s="381"/>
      <c r="B49" s="163"/>
      <c r="C49" s="163"/>
      <c r="D49" s="163"/>
      <c r="E49" s="163"/>
      <c r="F49" s="163"/>
      <c r="G49" s="163"/>
      <c r="H49" s="163"/>
      <c r="I49" s="163"/>
      <c r="J49" s="163"/>
      <c r="K49" s="163"/>
      <c r="L49" s="163"/>
      <c r="M49" s="173"/>
      <c r="N49" s="1"/>
    </row>
    <row r="50" spans="1:14">
      <c r="A50" s="369"/>
      <c r="B50" s="145"/>
      <c r="C50" s="145"/>
      <c r="D50" s="145"/>
      <c r="E50" s="145"/>
      <c r="F50" s="145"/>
      <c r="G50" s="145"/>
      <c r="H50" s="145"/>
      <c r="I50" s="145"/>
      <c r="J50" s="145"/>
      <c r="K50" s="145"/>
      <c r="L50" s="145"/>
      <c r="M50" s="173"/>
      <c r="N50" s="1"/>
    </row>
    <row r="51" spans="1:14">
      <c r="A51" s="383"/>
      <c r="B51" s="145"/>
      <c r="C51" s="145"/>
      <c r="D51" s="145"/>
      <c r="E51" s="145"/>
      <c r="F51" s="145"/>
      <c r="G51" s="145"/>
      <c r="H51" s="145"/>
      <c r="I51" s="145"/>
      <c r="J51" s="145"/>
      <c r="K51" s="145"/>
      <c r="L51" s="145"/>
      <c r="M51" s="173"/>
      <c r="N51" s="1"/>
    </row>
    <row r="52" spans="1:14">
      <c r="A52" s="383"/>
      <c r="B52" s="145"/>
      <c r="C52" s="145"/>
      <c r="D52" s="145"/>
      <c r="E52" s="145"/>
      <c r="F52" s="145"/>
      <c r="G52" s="145"/>
      <c r="H52" s="145"/>
      <c r="I52" s="145"/>
      <c r="J52" s="145"/>
      <c r="K52" s="145"/>
      <c r="L52" s="145"/>
      <c r="M52" s="173"/>
      <c r="N52" s="1"/>
    </row>
    <row r="53" spans="1:14">
      <c r="A53" s="385"/>
      <c r="B53" s="145"/>
      <c r="C53" s="145"/>
      <c r="D53" s="145"/>
      <c r="E53" s="145"/>
      <c r="F53" s="145"/>
      <c r="G53" s="145"/>
      <c r="H53" s="145"/>
      <c r="I53" s="145"/>
      <c r="J53" s="145"/>
      <c r="K53" s="145"/>
      <c r="L53" s="145"/>
      <c r="M53" s="173"/>
      <c r="N53" s="1"/>
    </row>
    <row r="54" spans="1:14">
      <c r="A54" s="163"/>
      <c r="B54" s="163"/>
      <c r="C54" s="163"/>
      <c r="D54" s="163"/>
      <c r="E54" s="163"/>
      <c r="F54" s="163"/>
      <c r="G54" s="163"/>
      <c r="H54" s="163"/>
      <c r="I54" s="163"/>
      <c r="J54" s="163"/>
      <c r="K54" s="163"/>
      <c r="L54" s="163"/>
      <c r="M54" s="173"/>
      <c r="N54" s="1"/>
    </row>
    <row r="55" spans="1:14">
      <c r="A55" s="163"/>
      <c r="B55" s="163"/>
      <c r="C55" s="163"/>
      <c r="D55" s="163"/>
      <c r="E55" s="163"/>
      <c r="F55" s="163"/>
      <c r="G55" s="163"/>
      <c r="H55" s="163"/>
      <c r="I55" s="163"/>
      <c r="J55" s="163"/>
      <c r="K55" s="163"/>
      <c r="L55" s="163"/>
      <c r="M55" s="173"/>
      <c r="N55" s="1"/>
    </row>
    <row r="56" spans="1:14">
      <c r="A56" s="356"/>
      <c r="B56" s="145"/>
      <c r="C56" s="145"/>
      <c r="D56" s="145"/>
      <c r="E56" s="145"/>
      <c r="F56" s="145"/>
      <c r="G56" s="145"/>
      <c r="H56" s="145"/>
      <c r="I56" s="145"/>
      <c r="J56" s="145"/>
      <c r="K56" s="145"/>
      <c r="L56" s="145"/>
      <c r="M56" s="173"/>
      <c r="N56" s="1"/>
    </row>
    <row r="57" spans="1:14">
      <c r="A57" s="356"/>
      <c r="B57" s="165"/>
      <c r="C57" s="165"/>
      <c r="D57" s="165"/>
      <c r="E57" s="165"/>
      <c r="F57" s="165"/>
      <c r="G57" s="165"/>
      <c r="H57" s="165"/>
      <c r="I57" s="165"/>
      <c r="J57" s="165"/>
      <c r="K57" s="165"/>
      <c r="L57" s="165"/>
    </row>
    <row r="58" spans="1:14">
      <c r="A58" s="371"/>
      <c r="B58" s="144"/>
      <c r="C58" s="144"/>
      <c r="D58" s="144"/>
      <c r="E58" s="144"/>
      <c r="F58" s="144"/>
      <c r="G58" s="144"/>
      <c r="H58" s="144"/>
      <c r="I58" s="144"/>
      <c r="J58" s="144"/>
      <c r="K58" s="144"/>
      <c r="L58" s="144"/>
    </row>
    <row r="59" spans="1:14">
      <c r="A59" s="371"/>
      <c r="B59" s="144"/>
      <c r="C59" s="144"/>
      <c r="D59" s="144"/>
      <c r="E59" s="144"/>
      <c r="F59" s="144"/>
      <c r="G59" s="144"/>
      <c r="H59" s="144"/>
      <c r="I59" s="144"/>
      <c r="J59" s="144"/>
      <c r="K59" s="144"/>
      <c r="L59" s="144"/>
    </row>
    <row r="60" spans="1:14">
      <c r="A60" s="163"/>
      <c r="B60" s="165"/>
      <c r="C60" s="165"/>
      <c r="D60" s="165"/>
      <c r="E60" s="165"/>
      <c r="F60" s="165"/>
      <c r="G60" s="165"/>
      <c r="H60" s="165"/>
      <c r="I60" s="211"/>
      <c r="J60" s="211"/>
      <c r="K60" s="211"/>
      <c r="L60" s="211"/>
    </row>
    <row r="61" spans="1:14">
      <c r="A61" s="356"/>
      <c r="B61" s="163"/>
      <c r="C61" s="163"/>
      <c r="D61" s="163"/>
      <c r="E61" s="163"/>
      <c r="F61" s="163"/>
      <c r="G61" s="163"/>
      <c r="H61" s="163"/>
      <c r="I61" s="117"/>
      <c r="J61" s="117"/>
      <c r="K61" s="117"/>
      <c r="L61" s="163"/>
      <c r="M61" s="173"/>
    </row>
    <row r="62" spans="1:14">
      <c r="A62" s="356"/>
      <c r="B62" s="213"/>
      <c r="C62" s="213"/>
      <c r="D62" s="213"/>
      <c r="E62" s="213"/>
      <c r="F62" s="213"/>
      <c r="G62" s="213"/>
      <c r="H62" s="213"/>
      <c r="I62" s="213"/>
      <c r="J62" s="213"/>
      <c r="K62" s="213"/>
      <c r="L62" s="213"/>
      <c r="M62" s="173"/>
    </row>
    <row r="63" spans="1:14">
      <c r="A63" s="163"/>
      <c r="B63" s="163"/>
      <c r="C63" s="163"/>
      <c r="D63" s="163"/>
      <c r="E63" s="163"/>
      <c r="F63" s="163"/>
      <c r="G63" s="163"/>
      <c r="H63" s="163"/>
      <c r="I63" s="163"/>
      <c r="J63" s="163"/>
      <c r="K63" s="163"/>
      <c r="L63" s="163"/>
      <c r="M63" s="173"/>
    </row>
    <row r="64" spans="1:14">
      <c r="A64" s="163"/>
      <c r="B64" s="163"/>
      <c r="C64" s="163"/>
      <c r="D64" s="163"/>
      <c r="E64" s="163"/>
      <c r="F64" s="163"/>
      <c r="G64" s="163"/>
      <c r="H64" s="163"/>
      <c r="I64" s="163"/>
      <c r="J64" s="163"/>
      <c r="K64" s="163"/>
      <c r="L64" s="163"/>
      <c r="M64" s="173"/>
    </row>
    <row r="65" spans="1:14">
      <c r="A65" s="357"/>
      <c r="B65" s="117"/>
      <c r="C65" s="117"/>
      <c r="D65" s="117"/>
      <c r="E65" s="117"/>
      <c r="F65" s="117"/>
      <c r="G65" s="117"/>
      <c r="H65" s="117"/>
      <c r="I65" s="117"/>
      <c r="J65" s="382"/>
      <c r="K65" s="382"/>
      <c r="L65" s="382"/>
    </row>
    <row r="66" spans="1:14">
      <c r="A66" s="386"/>
      <c r="B66" s="313"/>
      <c r="C66" s="313"/>
      <c r="D66" s="313"/>
      <c r="E66" s="313"/>
      <c r="F66" s="313"/>
      <c r="G66" s="313"/>
      <c r="H66" s="313"/>
      <c r="I66" s="387"/>
      <c r="J66" s="387"/>
      <c r="K66" s="387"/>
      <c r="L66" s="387"/>
      <c r="M66" s="19"/>
    </row>
    <row r="67" spans="1:14">
      <c r="A67" s="357"/>
      <c r="B67" s="117"/>
      <c r="C67" s="117"/>
      <c r="D67" s="117"/>
      <c r="E67" s="117"/>
      <c r="F67" s="117"/>
      <c r="G67" s="117"/>
      <c r="H67" s="117"/>
      <c r="I67" s="117"/>
      <c r="J67" s="382"/>
      <c r="K67" s="382"/>
      <c r="L67" s="382"/>
      <c r="M67" s="19"/>
    </row>
    <row r="68" spans="1:14">
      <c r="A68" s="388"/>
      <c r="B68" s="165"/>
      <c r="C68" s="165"/>
      <c r="D68" s="165"/>
      <c r="E68" s="165"/>
      <c r="F68" s="165"/>
      <c r="G68" s="165"/>
      <c r="H68" s="165"/>
      <c r="I68" s="211"/>
      <c r="J68" s="211"/>
      <c r="K68" s="211"/>
      <c r="L68" s="211"/>
      <c r="M68" s="19"/>
    </row>
    <row r="69" spans="1:14">
      <c r="A69" s="381"/>
      <c r="B69" s="159"/>
      <c r="C69" s="360"/>
      <c r="D69" s="360"/>
      <c r="E69" s="360"/>
      <c r="F69" s="360"/>
      <c r="G69" s="360"/>
      <c r="H69" s="360"/>
      <c r="I69" s="360"/>
      <c r="J69" s="389"/>
      <c r="K69" s="389"/>
      <c r="L69" s="389"/>
      <c r="M69" s="19"/>
    </row>
    <row r="70" spans="1:14">
      <c r="A70" s="381"/>
      <c r="B70" s="159"/>
      <c r="C70" s="360"/>
      <c r="D70" s="360"/>
      <c r="E70" s="360"/>
      <c r="F70" s="360"/>
      <c r="G70" s="360"/>
      <c r="H70" s="360"/>
      <c r="I70" s="360"/>
      <c r="J70" s="389"/>
      <c r="K70" s="389"/>
      <c r="L70" s="389"/>
      <c r="M70" s="19"/>
    </row>
    <row r="71" spans="1:14">
      <c r="A71" s="381"/>
      <c r="B71" s="159"/>
      <c r="C71" s="360"/>
      <c r="D71" s="360"/>
      <c r="E71" s="360"/>
      <c r="F71" s="360"/>
      <c r="G71" s="360"/>
      <c r="H71" s="360"/>
      <c r="I71" s="360"/>
      <c r="J71" s="389"/>
      <c r="K71" s="389"/>
      <c r="L71" s="389"/>
      <c r="M71" s="19"/>
    </row>
    <row r="72" spans="1:14">
      <c r="A72" s="381"/>
      <c r="B72" s="159"/>
      <c r="C72" s="360"/>
      <c r="D72" s="360"/>
      <c r="E72" s="360"/>
      <c r="F72" s="360"/>
      <c r="G72" s="360"/>
      <c r="H72" s="360"/>
      <c r="I72" s="360"/>
      <c r="J72" s="360"/>
      <c r="K72" s="360"/>
      <c r="L72" s="360"/>
      <c r="M72" s="27"/>
      <c r="N72" s="1"/>
    </row>
    <row r="73" spans="1:14">
      <c r="A73" s="163"/>
      <c r="B73" s="163"/>
      <c r="C73" s="163"/>
      <c r="D73" s="163"/>
      <c r="E73" s="163"/>
      <c r="F73" s="163"/>
      <c r="G73" s="163"/>
      <c r="H73" s="163"/>
      <c r="I73" s="163"/>
      <c r="J73" s="163"/>
      <c r="K73" s="163"/>
      <c r="L73" s="163"/>
      <c r="M73" s="27"/>
      <c r="N73" s="1"/>
    </row>
    <row r="74" spans="1:14">
      <c r="A74" s="163"/>
      <c r="B74" s="163"/>
      <c r="C74" s="163"/>
      <c r="D74" s="163"/>
      <c r="E74" s="163"/>
      <c r="F74" s="163"/>
      <c r="G74" s="163"/>
      <c r="H74" s="163"/>
      <c r="I74" s="163"/>
      <c r="J74" s="390"/>
      <c r="K74" s="390"/>
      <c r="L74" s="390"/>
      <c r="M74" s="27"/>
      <c r="N74" s="1"/>
    </row>
    <row r="75" spans="1:14" ht="18.75">
      <c r="A75" s="364"/>
      <c r="B75" s="165"/>
      <c r="C75" s="165"/>
      <c r="D75" s="165"/>
      <c r="E75" s="165"/>
      <c r="F75" s="165"/>
      <c r="G75" s="165"/>
      <c r="H75" s="165"/>
      <c r="I75" s="211"/>
      <c r="J75" s="211"/>
      <c r="K75" s="211"/>
      <c r="L75" s="211"/>
      <c r="M75" s="27"/>
      <c r="N75" s="1"/>
    </row>
    <row r="76" spans="1:14">
      <c r="A76" s="165"/>
      <c r="B76" s="365"/>
      <c r="C76" s="365"/>
      <c r="D76" s="365"/>
      <c r="E76" s="365"/>
      <c r="F76" s="365"/>
      <c r="G76" s="365"/>
      <c r="H76" s="365"/>
      <c r="I76" s="365"/>
      <c r="J76" s="365"/>
      <c r="K76" s="365"/>
      <c r="L76" s="365"/>
      <c r="M76" s="27"/>
      <c r="N76" s="1"/>
    </row>
    <row r="77" spans="1:14">
      <c r="A77" s="163"/>
      <c r="B77" s="117"/>
      <c r="C77" s="117"/>
      <c r="D77" s="117"/>
      <c r="E77" s="117"/>
      <c r="F77" s="117"/>
      <c r="G77" s="117"/>
      <c r="H77" s="117"/>
      <c r="I77" s="117"/>
      <c r="J77" s="117"/>
      <c r="K77" s="117"/>
      <c r="L77" s="117"/>
      <c r="M77" s="27"/>
      <c r="N77" s="1"/>
    </row>
    <row r="78" spans="1:14">
      <c r="A78" s="163"/>
      <c r="B78" s="117"/>
      <c r="C78" s="117"/>
      <c r="D78" s="117"/>
      <c r="E78" s="117"/>
      <c r="F78" s="117"/>
      <c r="G78" s="117"/>
      <c r="H78" s="117"/>
      <c r="I78" s="117"/>
      <c r="J78" s="117"/>
      <c r="K78" s="117"/>
      <c r="L78" s="117"/>
      <c r="M78" s="27"/>
      <c r="N78" s="1"/>
    </row>
    <row r="79" spans="1:14">
      <c r="A79" s="163"/>
      <c r="B79" s="117"/>
      <c r="C79" s="117"/>
      <c r="D79" s="117"/>
      <c r="E79" s="117"/>
      <c r="F79" s="117"/>
      <c r="G79" s="117"/>
      <c r="H79" s="117"/>
      <c r="I79" s="117"/>
      <c r="J79" s="117"/>
      <c r="K79" s="117"/>
      <c r="L79" s="117"/>
      <c r="M79" s="27"/>
      <c r="N79" s="1"/>
    </row>
    <row r="80" spans="1:14">
      <c r="A80" s="163"/>
      <c r="B80" s="117"/>
      <c r="C80" s="117"/>
      <c r="D80" s="117"/>
      <c r="E80" s="117"/>
      <c r="F80" s="117"/>
      <c r="G80" s="117"/>
      <c r="H80" s="117"/>
      <c r="I80" s="117"/>
      <c r="J80" s="117"/>
      <c r="K80" s="117"/>
      <c r="L80" s="117"/>
      <c r="M80" s="27"/>
      <c r="N80" s="1"/>
    </row>
    <row r="81" spans="1:14">
      <c r="A81" s="381"/>
      <c r="B81" s="117"/>
      <c r="C81" s="117"/>
      <c r="D81" s="117"/>
      <c r="E81" s="117"/>
      <c r="F81" s="117"/>
      <c r="G81" s="117"/>
      <c r="H81" s="117"/>
      <c r="I81" s="117"/>
      <c r="J81" s="117"/>
      <c r="K81" s="117"/>
      <c r="L81" s="117"/>
      <c r="M81" s="27"/>
      <c r="N81" s="1"/>
    </row>
    <row r="82" spans="1:14">
      <c r="A82" s="381"/>
      <c r="B82" s="117"/>
      <c r="C82" s="117"/>
      <c r="D82" s="117"/>
      <c r="E82" s="117"/>
      <c r="F82" s="117"/>
      <c r="G82" s="117"/>
      <c r="H82" s="117"/>
      <c r="I82" s="117"/>
      <c r="J82" s="117"/>
      <c r="K82" s="117"/>
      <c r="L82" s="117"/>
      <c r="M82" s="27"/>
      <c r="N82" s="1"/>
    </row>
    <row r="83" spans="1:14">
      <c r="A83" s="381"/>
      <c r="B83" s="117"/>
      <c r="C83" s="117"/>
      <c r="D83" s="117"/>
      <c r="E83" s="117"/>
      <c r="F83" s="117"/>
      <c r="G83" s="117"/>
      <c r="H83" s="117"/>
      <c r="I83" s="117"/>
      <c r="J83" s="117"/>
      <c r="K83" s="117"/>
      <c r="L83" s="117"/>
      <c r="M83" s="27"/>
      <c r="N83" s="1"/>
    </row>
    <row r="84" spans="1:14">
      <c r="A84" s="381"/>
      <c r="B84" s="117"/>
      <c r="C84" s="117"/>
      <c r="D84" s="117"/>
      <c r="E84" s="117"/>
      <c r="F84" s="117"/>
      <c r="G84" s="117"/>
      <c r="H84" s="117"/>
      <c r="I84" s="117"/>
      <c r="J84" s="117"/>
      <c r="K84" s="117"/>
      <c r="L84" s="117"/>
      <c r="M84" s="27"/>
      <c r="N84" s="1"/>
    </row>
    <row r="85" spans="1:14">
      <c r="A85" s="357"/>
      <c r="B85" s="117"/>
      <c r="C85" s="117"/>
      <c r="D85" s="117"/>
      <c r="E85" s="117"/>
      <c r="F85" s="117"/>
      <c r="G85" s="117"/>
      <c r="H85" s="117"/>
      <c r="I85" s="117"/>
      <c r="J85" s="117"/>
      <c r="K85" s="117"/>
      <c r="L85" s="117"/>
      <c r="M85" s="27"/>
      <c r="N85" s="1"/>
    </row>
    <row r="86" spans="1:14">
      <c r="A86" s="163"/>
      <c r="B86" s="117"/>
      <c r="C86" s="117"/>
      <c r="D86" s="117"/>
      <c r="E86" s="117"/>
      <c r="F86" s="117"/>
      <c r="G86" s="117"/>
      <c r="H86" s="117"/>
      <c r="I86" s="117"/>
      <c r="J86" s="117"/>
      <c r="K86" s="117"/>
      <c r="L86" s="117"/>
      <c r="M86" s="19"/>
    </row>
    <row r="87" spans="1:14">
      <c r="A87" s="163"/>
      <c r="B87" s="165"/>
      <c r="C87" s="165"/>
      <c r="D87" s="165"/>
      <c r="E87" s="165"/>
      <c r="F87" s="165"/>
      <c r="G87" s="165"/>
      <c r="H87" s="165"/>
      <c r="I87" s="211"/>
      <c r="J87" s="211"/>
      <c r="K87" s="211"/>
      <c r="L87" s="211"/>
      <c r="M87" s="19"/>
    </row>
    <row r="88" spans="1:14">
      <c r="A88" s="163"/>
      <c r="B88" s="159"/>
      <c r="C88" s="159"/>
      <c r="D88" s="159"/>
      <c r="E88" s="159"/>
      <c r="F88" s="159"/>
      <c r="G88" s="159"/>
      <c r="H88" s="159"/>
      <c r="I88" s="159"/>
      <c r="J88" s="159"/>
      <c r="K88" s="159"/>
      <c r="L88" s="159"/>
      <c r="M88" s="19"/>
    </row>
    <row r="89" spans="1:14">
      <c r="A89" s="163"/>
      <c r="B89" s="163"/>
      <c r="C89" s="163"/>
      <c r="D89" s="163"/>
      <c r="E89" s="163"/>
      <c r="F89" s="163"/>
      <c r="G89" s="163"/>
      <c r="H89" s="163"/>
      <c r="I89" s="163"/>
      <c r="J89" s="163"/>
      <c r="K89" s="163"/>
      <c r="L89" s="163"/>
      <c r="M89" s="19"/>
    </row>
    <row r="90" spans="1:14">
      <c r="A90" s="163"/>
      <c r="B90" s="163"/>
      <c r="C90" s="163"/>
      <c r="D90" s="163"/>
      <c r="E90" s="163"/>
      <c r="F90" s="163"/>
      <c r="G90" s="163"/>
      <c r="H90" s="163"/>
      <c r="I90" s="163"/>
      <c r="J90" s="163"/>
      <c r="K90" s="163"/>
      <c r="L90" s="163"/>
      <c r="M90" s="19"/>
    </row>
    <row r="91" spans="1:14">
      <c r="A91" s="163"/>
      <c r="B91" s="163"/>
      <c r="C91" s="163"/>
      <c r="D91" s="163"/>
      <c r="E91" s="163"/>
      <c r="F91" s="163"/>
      <c r="G91" s="163"/>
      <c r="H91" s="163"/>
      <c r="I91" s="163"/>
      <c r="J91" s="163"/>
      <c r="K91" s="163"/>
      <c r="L91" s="163"/>
      <c r="M91" s="19"/>
    </row>
    <row r="92" spans="1:14">
      <c r="A92" s="163"/>
      <c r="B92" s="163"/>
      <c r="C92" s="163"/>
      <c r="D92" s="163"/>
      <c r="E92" s="163"/>
      <c r="F92" s="163"/>
      <c r="G92" s="163"/>
      <c r="H92" s="163"/>
      <c r="I92" s="163"/>
      <c r="J92" s="163"/>
      <c r="K92" s="163"/>
      <c r="L92" s="163"/>
      <c r="M92" s="19"/>
    </row>
    <row r="93" spans="1:14">
      <c r="A93" s="163"/>
      <c r="B93" s="163"/>
      <c r="C93" s="163"/>
      <c r="D93" s="163"/>
      <c r="E93" s="163"/>
      <c r="F93" s="163"/>
      <c r="G93" s="163"/>
      <c r="H93" s="163"/>
      <c r="I93" s="163"/>
      <c r="J93" s="163"/>
      <c r="K93" s="163"/>
      <c r="L93" s="163"/>
      <c r="M93" s="19"/>
    </row>
    <row r="94" spans="1:14">
      <c r="A94" s="163"/>
      <c r="B94" s="163"/>
      <c r="C94" s="163"/>
      <c r="D94" s="163"/>
      <c r="E94" s="163"/>
      <c r="F94" s="163"/>
      <c r="G94" s="163"/>
      <c r="H94" s="163"/>
      <c r="I94" s="163"/>
      <c r="J94" s="163"/>
      <c r="K94" s="163"/>
      <c r="L94" s="163"/>
      <c r="M94" s="19"/>
    </row>
    <row r="95" spans="1:14">
      <c r="A95" s="163"/>
      <c r="B95" s="163"/>
      <c r="C95" s="163"/>
      <c r="D95" s="163"/>
      <c r="E95" s="163"/>
      <c r="F95" s="163"/>
      <c r="G95" s="163"/>
      <c r="H95" s="163"/>
      <c r="I95" s="163"/>
      <c r="J95" s="163"/>
      <c r="K95" s="163"/>
      <c r="L95" s="163"/>
      <c r="M95" s="19"/>
    </row>
    <row r="96" spans="1:14">
      <c r="A96" s="163"/>
      <c r="B96" s="163"/>
      <c r="C96" s="163"/>
      <c r="D96" s="163"/>
      <c r="E96" s="163"/>
      <c r="F96" s="163"/>
      <c r="G96" s="163"/>
      <c r="H96" s="163"/>
      <c r="I96" s="163"/>
      <c r="J96" s="163"/>
      <c r="K96" s="163"/>
      <c r="L96" s="163"/>
      <c r="M96" s="19"/>
    </row>
    <row r="97" spans="1:13">
      <c r="A97" s="163"/>
      <c r="B97" s="163"/>
      <c r="C97" s="163"/>
      <c r="D97" s="163"/>
      <c r="E97" s="163"/>
      <c r="F97" s="163"/>
      <c r="G97" s="163"/>
      <c r="H97" s="163"/>
      <c r="I97" s="163"/>
      <c r="J97" s="163"/>
      <c r="K97" s="163"/>
      <c r="L97" s="163"/>
      <c r="M97" s="19"/>
    </row>
    <row r="98" spans="1:13">
      <c r="A98" s="163"/>
      <c r="B98" s="163"/>
      <c r="C98" s="163"/>
      <c r="D98" s="163"/>
      <c r="E98" s="163"/>
      <c r="F98" s="163"/>
      <c r="G98" s="163"/>
      <c r="H98" s="163"/>
      <c r="I98" s="163"/>
      <c r="J98" s="163"/>
      <c r="K98" s="163"/>
      <c r="L98" s="163"/>
      <c r="M98" s="19"/>
    </row>
    <row r="99" spans="1:13">
      <c r="A99" s="163"/>
      <c r="B99" s="163"/>
      <c r="C99" s="163"/>
      <c r="D99" s="163"/>
      <c r="E99" s="163"/>
      <c r="F99" s="163"/>
      <c r="G99" s="163"/>
      <c r="H99" s="163"/>
      <c r="I99" s="163"/>
      <c r="J99" s="163"/>
      <c r="K99" s="163"/>
      <c r="L99" s="163"/>
      <c r="M99" s="19"/>
    </row>
    <row r="100" spans="1:13">
      <c r="A100" s="163"/>
      <c r="B100" s="163"/>
      <c r="C100" s="163"/>
      <c r="D100" s="163"/>
      <c r="E100" s="163"/>
      <c r="F100" s="163"/>
      <c r="G100" s="163"/>
      <c r="H100" s="163"/>
      <c r="I100" s="163"/>
      <c r="J100" s="163"/>
      <c r="K100" s="163"/>
      <c r="L100" s="163"/>
      <c r="M100" s="19"/>
    </row>
    <row r="101" spans="1:13">
      <c r="A101" s="163"/>
      <c r="B101" s="163"/>
      <c r="C101" s="163"/>
      <c r="D101" s="163"/>
      <c r="E101" s="163"/>
      <c r="F101" s="163"/>
      <c r="G101" s="163"/>
      <c r="H101" s="163"/>
      <c r="I101" s="163"/>
      <c r="J101" s="163"/>
      <c r="K101" s="163"/>
      <c r="L101" s="163"/>
      <c r="M101" s="19"/>
    </row>
    <row r="102" spans="1:13">
      <c r="A102" s="163"/>
      <c r="B102" s="163"/>
      <c r="C102" s="163"/>
      <c r="D102" s="163"/>
      <c r="E102" s="163"/>
      <c r="F102" s="163"/>
      <c r="G102" s="163"/>
      <c r="H102" s="163"/>
      <c r="I102" s="163"/>
      <c r="J102" s="163"/>
      <c r="K102" s="163"/>
      <c r="L102" s="163"/>
      <c r="M102" s="19"/>
    </row>
    <row r="103" spans="1:13">
      <c r="A103" s="163"/>
      <c r="B103" s="163"/>
      <c r="C103" s="163"/>
      <c r="D103" s="163"/>
      <c r="E103" s="163"/>
      <c r="F103" s="163"/>
      <c r="G103" s="163"/>
      <c r="H103" s="163"/>
      <c r="I103" s="163"/>
      <c r="J103" s="163"/>
      <c r="K103" s="163"/>
      <c r="L103" s="163"/>
      <c r="M103" s="19"/>
    </row>
    <row r="104" spans="1:13">
      <c r="A104" s="163"/>
      <c r="B104" s="163"/>
      <c r="C104" s="163"/>
      <c r="D104" s="163"/>
      <c r="E104" s="163"/>
      <c r="F104" s="163"/>
      <c r="G104" s="163"/>
      <c r="H104" s="163"/>
      <c r="I104" s="163"/>
      <c r="J104" s="163"/>
      <c r="K104" s="163"/>
      <c r="L104" s="163"/>
      <c r="M104" s="19"/>
    </row>
    <row r="105" spans="1:13">
      <c r="A105" s="163"/>
      <c r="B105" s="163"/>
      <c r="C105" s="163"/>
      <c r="D105" s="163"/>
      <c r="E105" s="163"/>
      <c r="F105" s="163"/>
      <c r="G105" s="163"/>
      <c r="H105" s="163"/>
      <c r="I105" s="163"/>
      <c r="J105" s="163"/>
      <c r="K105" s="163"/>
      <c r="L105" s="163"/>
      <c r="M105" s="19"/>
    </row>
    <row r="106" spans="1:13">
      <c r="A106" s="163"/>
      <c r="B106" s="163"/>
      <c r="C106" s="163"/>
      <c r="D106" s="163"/>
      <c r="E106" s="163"/>
      <c r="F106" s="163"/>
      <c r="G106" s="163"/>
      <c r="H106" s="163"/>
      <c r="I106" s="163"/>
      <c r="J106" s="163"/>
      <c r="K106" s="163"/>
      <c r="L106" s="163"/>
      <c r="M106" s="19"/>
    </row>
    <row r="107" spans="1:13">
      <c r="A107" s="163"/>
      <c r="B107" s="163"/>
      <c r="C107" s="163"/>
      <c r="D107" s="163"/>
      <c r="E107" s="163"/>
      <c r="F107" s="163"/>
      <c r="G107" s="163"/>
      <c r="H107" s="163"/>
      <c r="I107" s="163"/>
      <c r="J107" s="163"/>
      <c r="K107" s="163"/>
      <c r="L107" s="163"/>
      <c r="M107" s="19"/>
    </row>
    <row r="108" spans="1:13">
      <c r="A108" s="163"/>
      <c r="B108" s="163"/>
      <c r="C108" s="163"/>
      <c r="D108" s="163"/>
      <c r="E108" s="163"/>
      <c r="F108" s="163"/>
      <c r="G108" s="163"/>
      <c r="H108" s="163"/>
      <c r="I108" s="163"/>
      <c r="J108" s="163"/>
      <c r="K108" s="163"/>
      <c r="L108" s="163"/>
      <c r="M108" s="19"/>
    </row>
    <row r="109" spans="1:13">
      <c r="A109" s="163"/>
      <c r="B109" s="163"/>
      <c r="C109" s="163"/>
      <c r="D109" s="163"/>
      <c r="E109" s="163"/>
      <c r="F109" s="163"/>
      <c r="G109" s="163"/>
      <c r="H109" s="163"/>
      <c r="I109" s="163"/>
      <c r="J109" s="163"/>
      <c r="K109" s="163"/>
      <c r="L109" s="163"/>
      <c r="M109" s="19"/>
    </row>
    <row r="110" spans="1:13">
      <c r="A110" s="163"/>
      <c r="B110" s="163"/>
      <c r="C110" s="163"/>
      <c r="D110" s="163"/>
      <c r="E110" s="163"/>
      <c r="F110" s="163"/>
      <c r="G110" s="163"/>
      <c r="H110" s="163"/>
      <c r="I110" s="163"/>
      <c r="J110" s="163"/>
      <c r="K110" s="163"/>
      <c r="L110" s="163"/>
      <c r="M110" s="19"/>
    </row>
    <row r="111" spans="1:13">
      <c r="A111" s="163"/>
      <c r="B111" s="163"/>
      <c r="C111" s="163"/>
      <c r="D111" s="163"/>
      <c r="E111" s="163"/>
      <c r="F111" s="163"/>
      <c r="G111" s="163"/>
      <c r="H111" s="163"/>
      <c r="I111" s="163"/>
      <c r="J111" s="163"/>
      <c r="K111" s="163"/>
      <c r="L111" s="163"/>
      <c r="M111" s="19"/>
    </row>
    <row r="112" spans="1:13">
      <c r="A112" s="163"/>
      <c r="B112" s="163"/>
      <c r="C112" s="163"/>
      <c r="D112" s="163"/>
      <c r="E112" s="163"/>
      <c r="F112" s="163"/>
      <c r="G112" s="163"/>
      <c r="H112" s="163"/>
      <c r="I112" s="163"/>
      <c r="J112" s="163"/>
      <c r="K112" s="163"/>
      <c r="L112" s="163"/>
      <c r="M112" s="19"/>
    </row>
    <row r="113" spans="1:13">
      <c r="A113" s="163"/>
      <c r="B113" s="163"/>
      <c r="C113" s="163"/>
      <c r="D113" s="163"/>
      <c r="E113" s="163"/>
      <c r="F113" s="163"/>
      <c r="G113" s="163"/>
      <c r="H113" s="163"/>
      <c r="I113" s="163"/>
      <c r="J113" s="163"/>
      <c r="K113" s="163"/>
      <c r="L113" s="163"/>
      <c r="M113" s="19"/>
    </row>
    <row r="114" spans="1:13">
      <c r="A114" s="163"/>
      <c r="B114" s="163"/>
      <c r="C114" s="163"/>
      <c r="D114" s="163"/>
      <c r="E114" s="163"/>
      <c r="F114" s="163"/>
      <c r="G114" s="163"/>
      <c r="H114" s="163"/>
      <c r="I114" s="163"/>
      <c r="J114" s="163"/>
      <c r="K114" s="163"/>
      <c r="L114" s="163"/>
      <c r="M114" s="19"/>
    </row>
    <row r="115" spans="1:13">
      <c r="A115" s="163"/>
      <c r="B115" s="163"/>
      <c r="C115" s="163"/>
      <c r="D115" s="163"/>
      <c r="E115" s="163"/>
      <c r="F115" s="163"/>
      <c r="G115" s="163"/>
      <c r="H115" s="163"/>
      <c r="I115" s="163"/>
      <c r="J115" s="163"/>
      <c r="K115" s="163"/>
      <c r="L115" s="163"/>
      <c r="M115" s="19"/>
    </row>
    <row r="116" spans="1:13">
      <c r="A116" s="163"/>
      <c r="B116" s="163"/>
      <c r="C116" s="163"/>
      <c r="D116" s="163"/>
      <c r="E116" s="163"/>
      <c r="F116" s="163"/>
      <c r="G116" s="163"/>
      <c r="H116" s="163"/>
      <c r="I116" s="163"/>
      <c r="J116" s="163"/>
      <c r="K116" s="163"/>
      <c r="L116" s="163"/>
      <c r="M116" s="19"/>
    </row>
    <row r="117" spans="1:13">
      <c r="A117" s="163"/>
      <c r="B117" s="163"/>
      <c r="C117" s="163"/>
      <c r="D117" s="163"/>
      <c r="E117" s="163"/>
      <c r="F117" s="163"/>
      <c r="G117" s="163"/>
      <c r="H117" s="163"/>
      <c r="I117" s="163"/>
      <c r="J117" s="163"/>
      <c r="K117" s="163"/>
      <c r="L117" s="163"/>
      <c r="M117" s="19"/>
    </row>
    <row r="118" spans="1:13">
      <c r="A118" s="163"/>
      <c r="B118" s="163"/>
      <c r="C118" s="163"/>
      <c r="D118" s="163"/>
      <c r="E118" s="163"/>
      <c r="F118" s="163"/>
      <c r="G118" s="163"/>
      <c r="H118" s="163"/>
      <c r="I118" s="163"/>
      <c r="J118" s="163"/>
      <c r="K118" s="163"/>
      <c r="L118" s="163"/>
      <c r="M118" s="19"/>
    </row>
    <row r="119" spans="1:13">
      <c r="A119" s="163"/>
      <c r="B119" s="163"/>
      <c r="C119" s="163"/>
      <c r="D119" s="163"/>
      <c r="E119" s="163"/>
      <c r="F119" s="163"/>
      <c r="G119" s="163"/>
      <c r="H119" s="163"/>
      <c r="I119" s="163"/>
      <c r="J119" s="163"/>
      <c r="K119" s="163"/>
      <c r="L119" s="163"/>
      <c r="M119" s="19"/>
    </row>
    <row r="120" spans="1:13">
      <c r="A120" s="163"/>
      <c r="B120" s="163"/>
      <c r="C120" s="163"/>
      <c r="D120" s="163"/>
      <c r="E120" s="163"/>
      <c r="F120" s="163"/>
      <c r="G120" s="163"/>
      <c r="H120" s="163"/>
      <c r="I120" s="163"/>
      <c r="J120" s="163"/>
      <c r="K120" s="163"/>
      <c r="L120" s="163"/>
      <c r="M120" s="19"/>
    </row>
    <row r="121" spans="1:13">
      <c r="A121" s="163"/>
      <c r="B121" s="163"/>
      <c r="C121" s="163"/>
      <c r="D121" s="163"/>
      <c r="E121" s="163"/>
      <c r="F121" s="163"/>
      <c r="G121" s="163"/>
      <c r="H121" s="163"/>
      <c r="I121" s="163"/>
      <c r="J121" s="163"/>
      <c r="K121" s="163"/>
      <c r="L121" s="163"/>
      <c r="M121" s="19"/>
    </row>
    <row r="122" spans="1:13">
      <c r="A122" s="163"/>
      <c r="B122" s="163"/>
      <c r="C122" s="163"/>
      <c r="D122" s="163"/>
      <c r="E122" s="163"/>
      <c r="F122" s="163"/>
      <c r="G122" s="163"/>
      <c r="H122" s="163"/>
      <c r="I122" s="163"/>
      <c r="J122" s="163"/>
      <c r="K122" s="163"/>
      <c r="L122" s="163"/>
      <c r="M122" s="19"/>
    </row>
    <row r="123" spans="1:13">
      <c r="A123" s="163"/>
      <c r="B123" s="163"/>
      <c r="C123" s="163"/>
      <c r="D123" s="163"/>
      <c r="E123" s="163"/>
      <c r="F123" s="163"/>
      <c r="G123" s="163"/>
      <c r="H123" s="163"/>
      <c r="I123" s="163"/>
      <c r="J123" s="163"/>
      <c r="K123" s="163"/>
      <c r="L123" s="163"/>
      <c r="M123" s="19"/>
    </row>
    <row r="124" spans="1:13">
      <c r="A124" s="163"/>
      <c r="B124" s="163"/>
      <c r="C124" s="163"/>
      <c r="D124" s="163"/>
      <c r="E124" s="163"/>
      <c r="F124" s="163"/>
      <c r="G124" s="163"/>
      <c r="H124" s="163"/>
      <c r="I124" s="163"/>
      <c r="J124" s="163"/>
      <c r="K124" s="163"/>
      <c r="L124" s="163"/>
      <c r="M124" s="19"/>
    </row>
    <row r="125" spans="1:13">
      <c r="A125" s="163"/>
      <c r="B125" s="163"/>
      <c r="C125" s="163"/>
      <c r="D125" s="163"/>
      <c r="E125" s="163"/>
      <c r="F125" s="163"/>
      <c r="G125" s="163"/>
      <c r="H125" s="163"/>
      <c r="I125" s="163"/>
      <c r="J125" s="163"/>
      <c r="K125" s="163"/>
      <c r="L125" s="163"/>
      <c r="M125" s="19"/>
    </row>
    <row r="126" spans="1:13">
      <c r="A126" s="163"/>
      <c r="B126" s="163"/>
      <c r="C126" s="163"/>
      <c r="D126" s="163"/>
      <c r="E126" s="163"/>
      <c r="F126" s="163"/>
      <c r="G126" s="163"/>
      <c r="H126" s="163"/>
      <c r="I126" s="163"/>
      <c r="J126" s="163"/>
      <c r="K126" s="163"/>
      <c r="L126" s="163"/>
      <c r="M126" s="19"/>
    </row>
    <row r="127" spans="1:13">
      <c r="A127" s="163"/>
      <c r="B127" s="163"/>
      <c r="C127" s="163"/>
      <c r="D127" s="163"/>
      <c r="E127" s="163"/>
      <c r="F127" s="163"/>
      <c r="G127" s="163"/>
      <c r="H127" s="163"/>
      <c r="I127" s="163"/>
      <c r="J127" s="163"/>
      <c r="K127" s="163"/>
      <c r="L127" s="163"/>
      <c r="M127" s="19"/>
    </row>
    <row r="128" spans="1:13">
      <c r="M128" s="19"/>
    </row>
    <row r="129" spans="13:13">
      <c r="M129" s="19"/>
    </row>
    <row r="130" spans="13:13">
      <c r="M130" s="19"/>
    </row>
    <row r="131" spans="13:13">
      <c r="M131" s="19"/>
    </row>
    <row r="132" spans="13:13">
      <c r="M132" s="19"/>
    </row>
    <row r="133" spans="13:13">
      <c r="M133" s="19"/>
    </row>
    <row r="134" spans="13:13">
      <c r="M134" s="19"/>
    </row>
    <row r="135" spans="13:13">
      <c r="M135" s="19"/>
    </row>
    <row r="136" spans="13:13">
      <c r="M136" s="19"/>
    </row>
    <row r="137" spans="13:13">
      <c r="M137" s="19"/>
    </row>
    <row r="138" spans="13:13">
      <c r="M138" s="19"/>
    </row>
    <row r="139" spans="13:13">
      <c r="M139" s="19"/>
    </row>
    <row r="140" spans="13:13">
      <c r="M140" s="19"/>
    </row>
    <row r="141" spans="13:13">
      <c r="M141" s="19"/>
    </row>
    <row r="142" spans="13:13">
      <c r="M142" s="19"/>
    </row>
    <row r="143" spans="13:13">
      <c r="M143" s="19"/>
    </row>
    <row r="144" spans="13:13">
      <c r="M144" s="19"/>
    </row>
    <row r="145" spans="13:13">
      <c r="M145" s="19"/>
    </row>
    <row r="146" spans="13:13">
      <c r="M146" s="19"/>
    </row>
    <row r="147" spans="13:13">
      <c r="M147" s="19"/>
    </row>
    <row r="148" spans="13:13">
      <c r="M148" s="19"/>
    </row>
    <row r="149" spans="13:13">
      <c r="M149" s="19"/>
    </row>
    <row r="150" spans="13:13">
      <c r="M150" s="19"/>
    </row>
    <row r="151" spans="13:13">
      <c r="M151" s="19"/>
    </row>
    <row r="152" spans="13:13">
      <c r="M152" s="19"/>
    </row>
    <row r="153" spans="13:13">
      <c r="M153" s="19"/>
    </row>
    <row r="154" spans="13:13">
      <c r="M154" s="19"/>
    </row>
    <row r="155" spans="13:13">
      <c r="M155" s="19"/>
    </row>
    <row r="156" spans="13:13">
      <c r="M156" s="19"/>
    </row>
    <row r="157" spans="13:13">
      <c r="M157" s="19"/>
    </row>
    <row r="158" spans="13:13">
      <c r="M158" s="19"/>
    </row>
    <row r="159" spans="13:13">
      <c r="M159" s="19"/>
    </row>
    <row r="160" spans="13:13">
      <c r="M160" s="19"/>
    </row>
    <row r="161" spans="13:13">
      <c r="M161" s="19"/>
    </row>
    <row r="162" spans="13:13">
      <c r="M162" s="19"/>
    </row>
    <row r="163" spans="13:13">
      <c r="M163" s="19"/>
    </row>
    <row r="164" spans="13:13">
      <c r="M164" s="19"/>
    </row>
    <row r="165" spans="13:13">
      <c r="M165" s="19"/>
    </row>
    <row r="166" spans="13:13">
      <c r="M166" s="19"/>
    </row>
    <row r="167" spans="13:13">
      <c r="M167" s="19"/>
    </row>
    <row r="168" spans="13:13">
      <c r="M168" s="19"/>
    </row>
    <row r="169" spans="13:13">
      <c r="M169" s="19"/>
    </row>
    <row r="170" spans="13:13">
      <c r="M170" s="19"/>
    </row>
    <row r="171" spans="13:13">
      <c r="M171" s="19"/>
    </row>
    <row r="172" spans="13:13">
      <c r="M172" s="19"/>
    </row>
    <row r="173" spans="13:13">
      <c r="M173" s="19"/>
    </row>
    <row r="174" spans="13:13">
      <c r="M174" s="19"/>
    </row>
    <row r="175" spans="13:13">
      <c r="M175" s="19"/>
    </row>
    <row r="176" spans="13:13">
      <c r="M176" s="19"/>
    </row>
    <row r="177" spans="13:13">
      <c r="M177" s="19"/>
    </row>
    <row r="178" spans="13:13">
      <c r="M178" s="19"/>
    </row>
    <row r="179" spans="13:13">
      <c r="M179" s="19"/>
    </row>
    <row r="180" spans="13:13">
      <c r="M180" s="19"/>
    </row>
    <row r="181" spans="13:13">
      <c r="M181" s="19"/>
    </row>
    <row r="182" spans="13:13">
      <c r="M182" s="19"/>
    </row>
    <row r="183" spans="13:13">
      <c r="M183" s="19"/>
    </row>
    <row r="184" spans="13:13">
      <c r="M184" s="19"/>
    </row>
    <row r="185" spans="13:13">
      <c r="M185" s="19"/>
    </row>
    <row r="186" spans="13:13">
      <c r="M186" s="19"/>
    </row>
    <row r="187" spans="13:13">
      <c r="M187" s="19"/>
    </row>
    <row r="188" spans="13:13">
      <c r="M188" s="19"/>
    </row>
    <row r="189" spans="13:13">
      <c r="M189" s="19"/>
    </row>
    <row r="190" spans="13:13">
      <c r="M190" s="19"/>
    </row>
    <row r="191" spans="13:13">
      <c r="M191" s="19"/>
    </row>
    <row r="192" spans="13:13">
      <c r="M192" s="19"/>
    </row>
    <row r="193" spans="13:13">
      <c r="M193" s="19"/>
    </row>
    <row r="194" spans="13:13">
      <c r="M194" s="19"/>
    </row>
    <row r="195" spans="13:13">
      <c r="M195" s="19"/>
    </row>
    <row r="196" spans="13:13">
      <c r="M196" s="19"/>
    </row>
    <row r="197" spans="13:13">
      <c r="M197" s="19"/>
    </row>
    <row r="198" spans="13:13">
      <c r="M198" s="19"/>
    </row>
    <row r="199" spans="13:13">
      <c r="M199" s="19"/>
    </row>
    <row r="200" spans="13:13">
      <c r="M200" s="19"/>
    </row>
    <row r="201" spans="13:13">
      <c r="M201" s="19"/>
    </row>
    <row r="202" spans="13:13">
      <c r="M202" s="19"/>
    </row>
    <row r="203" spans="13:13">
      <c r="M203" s="19"/>
    </row>
    <row r="204" spans="13:13">
      <c r="M204" s="19"/>
    </row>
    <row r="205" spans="13:13">
      <c r="M205" s="19"/>
    </row>
    <row r="206" spans="13:13">
      <c r="M206" s="19"/>
    </row>
    <row r="207" spans="13:13">
      <c r="M207" s="19"/>
    </row>
    <row r="208" spans="13:13">
      <c r="M208" s="19"/>
    </row>
    <row r="209" spans="13:13">
      <c r="M209" s="19"/>
    </row>
    <row r="210" spans="13:13">
      <c r="M210" s="19"/>
    </row>
    <row r="211" spans="13:13">
      <c r="M211" s="19"/>
    </row>
    <row r="212" spans="13:13">
      <c r="M212" s="19"/>
    </row>
    <row r="213" spans="13:13">
      <c r="M213" s="19"/>
    </row>
    <row r="214" spans="13:13">
      <c r="M214" s="19"/>
    </row>
    <row r="215" spans="13:13">
      <c r="M215" s="19"/>
    </row>
    <row r="216" spans="13:13">
      <c r="M216" s="19"/>
    </row>
    <row r="217" spans="13:13">
      <c r="M217" s="19"/>
    </row>
    <row r="218" spans="13:13">
      <c r="M218" s="19"/>
    </row>
    <row r="219" spans="13:13">
      <c r="M219" s="19"/>
    </row>
    <row r="220" spans="13:13">
      <c r="M220" s="19"/>
    </row>
    <row r="221" spans="13:13">
      <c r="M221" s="19"/>
    </row>
    <row r="222" spans="13:13">
      <c r="M222" s="19"/>
    </row>
    <row r="223" spans="13:13">
      <c r="M223" s="19"/>
    </row>
    <row r="224" spans="13:13">
      <c r="M224" s="19"/>
    </row>
    <row r="225" spans="13:13">
      <c r="M225" s="19"/>
    </row>
    <row r="226" spans="13:13">
      <c r="M226" s="19"/>
    </row>
    <row r="227" spans="13:13">
      <c r="M227" s="19"/>
    </row>
    <row r="228" spans="13:13">
      <c r="M228" s="19"/>
    </row>
    <row r="229" spans="13:13">
      <c r="M229" s="19"/>
    </row>
    <row r="230" spans="13:13">
      <c r="M230" s="19"/>
    </row>
    <row r="231" spans="13:13">
      <c r="M231" s="19"/>
    </row>
    <row r="232" spans="13:13">
      <c r="M232" s="19"/>
    </row>
    <row r="233" spans="13:13">
      <c r="M233" s="19"/>
    </row>
    <row r="234" spans="13:13">
      <c r="M234" s="19"/>
    </row>
    <row r="235" spans="13:13">
      <c r="M235" s="19"/>
    </row>
    <row r="236" spans="13:13">
      <c r="M236" s="19"/>
    </row>
    <row r="237" spans="13:13">
      <c r="M237" s="19"/>
    </row>
    <row r="238" spans="13:13">
      <c r="M238" s="19"/>
    </row>
    <row r="239" spans="13:13">
      <c r="M239" s="19"/>
    </row>
    <row r="240" spans="13:13">
      <c r="M240" s="19"/>
    </row>
    <row r="241" spans="13:13">
      <c r="M241" s="19"/>
    </row>
    <row r="242" spans="13:13">
      <c r="M242" s="19"/>
    </row>
    <row r="243" spans="13:13">
      <c r="M243" s="19"/>
    </row>
    <row r="244" spans="13:13">
      <c r="M244" s="19"/>
    </row>
    <row r="245" spans="13:13">
      <c r="M245" s="19"/>
    </row>
    <row r="246" spans="13:13">
      <c r="M246" s="19"/>
    </row>
    <row r="247" spans="13:13">
      <c r="M247" s="19"/>
    </row>
    <row r="248" spans="13:13">
      <c r="M248" s="19"/>
    </row>
    <row r="249" spans="13:13">
      <c r="M249" s="19"/>
    </row>
    <row r="250" spans="13:13">
      <c r="M250" s="19"/>
    </row>
    <row r="251" spans="13:13">
      <c r="M251" s="19"/>
    </row>
    <row r="252" spans="13:13">
      <c r="M252" s="19"/>
    </row>
    <row r="253" spans="13:13">
      <c r="M253" s="19"/>
    </row>
    <row r="254" spans="13:13">
      <c r="M254" s="19"/>
    </row>
    <row r="255" spans="13:13">
      <c r="M255" s="19"/>
    </row>
    <row r="256" spans="13:13">
      <c r="M256" s="19"/>
    </row>
    <row r="257" spans="13:13">
      <c r="M257" s="19"/>
    </row>
    <row r="258" spans="13:13">
      <c r="M258" s="19"/>
    </row>
    <row r="259" spans="13:13">
      <c r="M259" s="19"/>
    </row>
    <row r="260" spans="13:13">
      <c r="M260" s="19"/>
    </row>
    <row r="261" spans="13:13">
      <c r="M261" s="19"/>
    </row>
    <row r="262" spans="13:13">
      <c r="M262" s="19"/>
    </row>
    <row r="263" spans="13:13">
      <c r="M263" s="19"/>
    </row>
    <row r="264" spans="13:13">
      <c r="M264" s="19"/>
    </row>
    <row r="265" spans="13:13">
      <c r="M265" s="19"/>
    </row>
    <row r="266" spans="13:13">
      <c r="M266" s="19"/>
    </row>
    <row r="267" spans="13:13">
      <c r="M267" s="19"/>
    </row>
    <row r="268" spans="13:13">
      <c r="M268" s="19"/>
    </row>
    <row r="269" spans="13:13">
      <c r="M269" s="19"/>
    </row>
    <row r="270" spans="13:13">
      <c r="M270" s="19"/>
    </row>
    <row r="271" spans="13:13">
      <c r="M271" s="19"/>
    </row>
    <row r="272" spans="13:13">
      <c r="M272" s="19"/>
    </row>
    <row r="273" spans="13:13">
      <c r="M273" s="19"/>
    </row>
    <row r="274" spans="13:13">
      <c r="M274" s="19"/>
    </row>
    <row r="275" spans="13:13">
      <c r="M275" s="19"/>
    </row>
    <row r="276" spans="13:13">
      <c r="M276" s="19"/>
    </row>
    <row r="277" spans="13:13">
      <c r="M277" s="19"/>
    </row>
    <row r="278" spans="13:13">
      <c r="M278" s="19"/>
    </row>
    <row r="279" spans="13:13">
      <c r="M279" s="19"/>
    </row>
    <row r="280" spans="13:13">
      <c r="M280" s="19"/>
    </row>
    <row r="281" spans="13:13">
      <c r="M281" s="19"/>
    </row>
    <row r="282" spans="13:13">
      <c r="M282" s="19"/>
    </row>
    <row r="283" spans="13:13">
      <c r="M283" s="19"/>
    </row>
    <row r="284" spans="13:13">
      <c r="M284" s="19"/>
    </row>
    <row r="285" spans="13:13">
      <c r="M285" s="19"/>
    </row>
    <row r="286" spans="13:13">
      <c r="M286" s="19"/>
    </row>
    <row r="287" spans="13:13">
      <c r="M287" s="19"/>
    </row>
    <row r="288" spans="13:13">
      <c r="M288" s="19"/>
    </row>
    <row r="289" spans="13:13">
      <c r="M289" s="19"/>
    </row>
    <row r="290" spans="13:13">
      <c r="M290" s="19"/>
    </row>
    <row r="291" spans="13:13">
      <c r="M291" s="19"/>
    </row>
    <row r="292" spans="13:13">
      <c r="M292" s="19"/>
    </row>
    <row r="293" spans="13:13">
      <c r="M293" s="19"/>
    </row>
    <row r="294" spans="13:13">
      <c r="M294" s="19"/>
    </row>
    <row r="295" spans="13:13">
      <c r="M295" s="19"/>
    </row>
    <row r="296" spans="13:13">
      <c r="M296" s="19"/>
    </row>
    <row r="297" spans="13:13">
      <c r="M297" s="19"/>
    </row>
    <row r="298" spans="13:13">
      <c r="M298" s="19"/>
    </row>
    <row r="299" spans="13:13">
      <c r="M299" s="19"/>
    </row>
    <row r="300" spans="13:13">
      <c r="M300" s="19"/>
    </row>
    <row r="301" spans="13:13">
      <c r="M301" s="19"/>
    </row>
    <row r="302" spans="13:13">
      <c r="M302" s="19"/>
    </row>
    <row r="303" spans="13:13">
      <c r="M303" s="19"/>
    </row>
    <row r="304" spans="13:13">
      <c r="M304" s="19"/>
    </row>
    <row r="305" spans="13:13">
      <c r="M305" s="19"/>
    </row>
    <row r="306" spans="13:13">
      <c r="M306" s="19"/>
    </row>
    <row r="307" spans="13:13">
      <c r="M307" s="19"/>
    </row>
    <row r="308" spans="13:13">
      <c r="M308" s="19"/>
    </row>
    <row r="309" spans="13:13">
      <c r="M309" s="19"/>
    </row>
    <row r="310" spans="13:13">
      <c r="M310" s="19"/>
    </row>
    <row r="311" spans="13:13">
      <c r="M311" s="19"/>
    </row>
    <row r="312" spans="13:13">
      <c r="M312" s="19"/>
    </row>
    <row r="313" spans="13:13">
      <c r="M313" s="19"/>
    </row>
    <row r="314" spans="13:13">
      <c r="M314" s="19"/>
    </row>
    <row r="315" spans="13:13">
      <c r="M315" s="19"/>
    </row>
    <row r="316" spans="13:13">
      <c r="M316" s="19"/>
    </row>
    <row r="317" spans="13:13">
      <c r="M317" s="19"/>
    </row>
    <row r="318" spans="13:13">
      <c r="M318" s="19"/>
    </row>
    <row r="319" spans="13:13">
      <c r="M319" s="19"/>
    </row>
    <row r="320" spans="13:13">
      <c r="M320" s="19"/>
    </row>
    <row r="321" spans="1:13">
      <c r="M321" s="19"/>
    </row>
    <row r="322" spans="1:13">
      <c r="B322" s="8"/>
      <c r="C322" s="8"/>
      <c r="D322" s="8"/>
      <c r="E322" s="8"/>
      <c r="F322" s="8"/>
      <c r="G322" s="8"/>
      <c r="H322" s="8"/>
      <c r="I322" s="8"/>
      <c r="M322" s="19"/>
    </row>
    <row r="323" spans="1:13"/>
    <row r="324" spans="1:13">
      <c r="B324" s="24"/>
      <c r="C324" s="24"/>
      <c r="D324" s="24"/>
      <c r="E324" s="24"/>
      <c r="F324" s="24"/>
      <c r="G324" s="24"/>
      <c r="H324" s="24"/>
      <c r="I324" s="24"/>
      <c r="J324" s="24"/>
      <c r="K324" s="24"/>
      <c r="L324" s="24"/>
    </row>
  </sheetData>
  <sheetProtection algorithmName="SHA-512" hashValue="hcyBJJdLiI9FkFJYQxkqbQCiM/OpuQ4uOoJ3kOSJXLUZGvZLK+Hc5mirlczyxv2RGWmJCfqkZcIQkyLVCHjRgQ==" saltValue="kFQvATY5pH9S/nbT0/Bpfg==" spinCount="100000" sheet="1" objects="1" scenarios="1"/>
  <mergeCells count="1">
    <mergeCell ref="J1:L1"/>
  </mergeCells>
  <phoneticPr fontId="12" type="noConversion"/>
  <pageMargins left="0.5" right="0.5" top="1" bottom="0.5" header="0.5" footer="0.25"/>
  <pageSetup scale="67" fitToHeight="0" orientation="landscape" horizontalDpi="4294967292" verticalDpi="4294967292"/>
  <headerFooter>
    <oddHeader>&amp;C&amp;"Arial,Bold"&amp;14&amp;K000000Development Services_x000D_Financial Dashboard&amp;R&amp;"Calibri,Regular"&amp;K000000Printed:  &amp;D</oddHeader>
    <oddFooter>&amp;C&amp;"Calibri,Regular"&amp;K000000Page &amp;P of &amp;N</oddFooter>
  </headerFooter>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V741"/>
  <sheetViews>
    <sheetView topLeftCell="N1" workbookViewId="0">
      <selection activeCell="V1" sqref="V1"/>
    </sheetView>
  </sheetViews>
  <sheetFormatPr defaultColWidth="11" defaultRowHeight="15.75"/>
  <cols>
    <col min="1" max="1" width="27.625" customWidth="1"/>
    <col min="2" max="11" width="14" customWidth="1"/>
    <col min="12" max="12" width="14.125" bestFit="1" customWidth="1"/>
    <col min="13" max="13" width="14.125" style="190" bestFit="1" customWidth="1"/>
    <col min="22" max="22" width="83.125" customWidth="1"/>
    <col min="25" max="25" width="35.375" customWidth="1"/>
  </cols>
  <sheetData>
    <row r="1" spans="1:14" ht="18.75">
      <c r="A1" s="37" t="s">
        <v>35</v>
      </c>
      <c r="J1" s="494" t="s">
        <v>215</v>
      </c>
      <c r="K1" s="494"/>
      <c r="L1" s="494"/>
    </row>
    <row r="2" spans="1:14">
      <c r="A2" s="2"/>
    </row>
    <row r="3" spans="1:14">
      <c r="A3" s="2"/>
      <c r="B3" s="82" t="s">
        <v>61</v>
      </c>
      <c r="C3" s="82" t="s">
        <v>61</v>
      </c>
      <c r="D3" s="82" t="s">
        <v>61</v>
      </c>
      <c r="E3" s="82" t="s">
        <v>61</v>
      </c>
      <c r="F3" s="82" t="s">
        <v>61</v>
      </c>
      <c r="G3" s="82" t="s">
        <v>61</v>
      </c>
      <c r="H3" s="82" t="s">
        <v>61</v>
      </c>
      <c r="I3" s="82" t="s">
        <v>61</v>
      </c>
      <c r="J3" s="82" t="s">
        <v>61</v>
      </c>
      <c r="K3" s="82" t="s">
        <v>61</v>
      </c>
      <c r="L3" s="82" t="s">
        <v>61</v>
      </c>
    </row>
    <row r="4" spans="1:14">
      <c r="A4" s="2"/>
      <c r="B4" s="30" t="s">
        <v>57</v>
      </c>
      <c r="C4" s="30" t="s">
        <v>57</v>
      </c>
      <c r="D4" s="30" t="s">
        <v>57</v>
      </c>
      <c r="E4" s="30" t="s">
        <v>57</v>
      </c>
      <c r="F4" s="30" t="s">
        <v>57</v>
      </c>
      <c r="G4" s="30" t="s">
        <v>57</v>
      </c>
      <c r="H4" s="30" t="s">
        <v>57</v>
      </c>
      <c r="I4" s="30" t="s">
        <v>57</v>
      </c>
      <c r="J4" s="30" t="s">
        <v>57</v>
      </c>
      <c r="K4" s="30" t="s">
        <v>202</v>
      </c>
      <c r="L4" s="30" t="s">
        <v>58</v>
      </c>
    </row>
    <row r="5" spans="1:14" ht="18.75">
      <c r="A5" s="93" t="s">
        <v>98</v>
      </c>
      <c r="B5" s="254">
        <v>2009</v>
      </c>
      <c r="C5" s="254">
        <v>2010</v>
      </c>
      <c r="D5" s="254">
        <v>2011</v>
      </c>
      <c r="E5" s="254">
        <v>2012</v>
      </c>
      <c r="F5" s="254">
        <v>2013</v>
      </c>
      <c r="G5" s="254">
        <v>2014</v>
      </c>
      <c r="H5" s="254">
        <v>2015</v>
      </c>
      <c r="I5" s="254">
        <v>2016</v>
      </c>
      <c r="J5" s="254">
        <v>2017</v>
      </c>
      <c r="K5" s="254">
        <v>2018</v>
      </c>
      <c r="L5" s="254">
        <v>2019</v>
      </c>
      <c r="M5" s="195"/>
      <c r="N5" s="2"/>
    </row>
    <row r="6" spans="1:14">
      <c r="A6" s="10" t="s">
        <v>100</v>
      </c>
      <c r="B6" s="32">
        <v>138175</v>
      </c>
      <c r="C6" s="32">
        <v>492384</v>
      </c>
      <c r="D6" s="32">
        <v>968122</v>
      </c>
      <c r="E6" s="32">
        <v>1275952</v>
      </c>
      <c r="F6" s="32">
        <v>1824776</v>
      </c>
      <c r="G6" s="32">
        <v>5071156</v>
      </c>
      <c r="H6" s="32">
        <v>2749680</v>
      </c>
      <c r="I6" s="32">
        <v>2627052</v>
      </c>
      <c r="J6" s="32">
        <f>14324+959148</f>
        <v>973472</v>
      </c>
      <c r="K6" s="32">
        <f>14400+971221</f>
        <v>985621</v>
      </c>
      <c r="L6" s="32">
        <f>14300+269631</f>
        <v>283931</v>
      </c>
      <c r="M6" s="174"/>
      <c r="N6" s="3"/>
    </row>
    <row r="7" spans="1:14">
      <c r="A7" s="96" t="s">
        <v>93</v>
      </c>
      <c r="B7" s="32">
        <v>0</v>
      </c>
      <c r="C7" s="32">
        <v>0</v>
      </c>
      <c r="D7" s="32">
        <v>0</v>
      </c>
      <c r="E7" s="32">
        <v>0</v>
      </c>
      <c r="F7" s="32">
        <v>0</v>
      </c>
      <c r="G7" s="32">
        <v>0</v>
      </c>
      <c r="H7" s="32">
        <v>0</v>
      </c>
      <c r="I7" s="32">
        <v>0</v>
      </c>
      <c r="J7" s="32">
        <v>0</v>
      </c>
      <c r="K7" s="32">
        <v>0</v>
      </c>
      <c r="L7" s="32">
        <v>0</v>
      </c>
      <c r="M7" s="174"/>
      <c r="N7" s="3"/>
    </row>
    <row r="8" spans="1:14">
      <c r="A8" s="94" t="s">
        <v>101</v>
      </c>
      <c r="B8" s="32">
        <v>0</v>
      </c>
      <c r="C8" s="32">
        <v>0</v>
      </c>
      <c r="D8" s="32">
        <v>0</v>
      </c>
      <c r="E8" s="32">
        <v>0</v>
      </c>
      <c r="F8" s="32">
        <v>0</v>
      </c>
      <c r="G8" s="32">
        <v>0</v>
      </c>
      <c r="H8" s="32">
        <v>0</v>
      </c>
      <c r="I8" s="32">
        <v>0</v>
      </c>
      <c r="J8" s="32">
        <v>0</v>
      </c>
      <c r="K8" s="32">
        <v>0</v>
      </c>
      <c r="L8" s="32">
        <v>0</v>
      </c>
      <c r="M8" s="174"/>
      <c r="N8" s="3"/>
    </row>
    <row r="9" spans="1:14">
      <c r="A9" s="73" t="s">
        <v>83</v>
      </c>
      <c r="B9" s="32">
        <v>0</v>
      </c>
      <c r="C9" s="32">
        <v>516389</v>
      </c>
      <c r="D9" s="32">
        <v>596480</v>
      </c>
      <c r="E9" s="32">
        <v>718637</v>
      </c>
      <c r="F9" s="32">
        <v>799090</v>
      </c>
      <c r="G9" s="32">
        <v>2697549</v>
      </c>
      <c r="H9" s="32">
        <f>946383+456160</f>
        <v>1402543</v>
      </c>
      <c r="I9" s="32">
        <v>2166189</v>
      </c>
      <c r="J9" s="32">
        <f>1100139</f>
        <v>1100139</v>
      </c>
      <c r="K9" s="32">
        <f>940123</f>
        <v>940123</v>
      </c>
      <c r="L9" s="32">
        <f>1058069</f>
        <v>1058069</v>
      </c>
      <c r="M9" s="174"/>
      <c r="N9" s="3"/>
    </row>
    <row r="10" spans="1:14" ht="16.5" thickBot="1">
      <c r="A10" s="39"/>
      <c r="B10" s="125">
        <v>0</v>
      </c>
      <c r="C10" s="125">
        <v>0</v>
      </c>
      <c r="D10" s="125">
        <v>0</v>
      </c>
      <c r="E10" s="125">
        <v>0</v>
      </c>
      <c r="F10" s="125">
        <v>0</v>
      </c>
      <c r="G10" s="125">
        <v>0</v>
      </c>
      <c r="H10" s="125">
        <v>0</v>
      </c>
      <c r="I10" s="125">
        <v>0</v>
      </c>
      <c r="J10" s="125">
        <v>0</v>
      </c>
      <c r="K10" s="125">
        <v>0</v>
      </c>
      <c r="L10" s="125">
        <v>0</v>
      </c>
      <c r="M10" s="195"/>
      <c r="N10" s="2"/>
    </row>
    <row r="11" spans="1:14">
      <c r="A11" s="95" t="s">
        <v>108</v>
      </c>
      <c r="B11" s="32">
        <f t="shared" ref="B11:K11" si="0">SUM(B6:B10)</f>
        <v>138175</v>
      </c>
      <c r="C11" s="32">
        <f t="shared" si="0"/>
        <v>1008773</v>
      </c>
      <c r="D11" s="32">
        <f t="shared" si="0"/>
        <v>1564602</v>
      </c>
      <c r="E11" s="32">
        <f t="shared" si="0"/>
        <v>1994589</v>
      </c>
      <c r="F11" s="32">
        <f t="shared" si="0"/>
        <v>2623866</v>
      </c>
      <c r="G11" s="32">
        <f t="shared" si="0"/>
        <v>7768705</v>
      </c>
      <c r="H11" s="32">
        <f t="shared" si="0"/>
        <v>4152223</v>
      </c>
      <c r="I11" s="32">
        <f t="shared" si="0"/>
        <v>4793241</v>
      </c>
      <c r="J11" s="32">
        <f t="shared" si="0"/>
        <v>2073611</v>
      </c>
      <c r="K11" s="32">
        <f t="shared" si="0"/>
        <v>1925744</v>
      </c>
      <c r="L11" s="32">
        <f>SUM(L6:L10)</f>
        <v>1342000</v>
      </c>
      <c r="M11" s="195"/>
      <c r="N11" s="2"/>
    </row>
    <row r="12" spans="1:14">
      <c r="A12" s="2"/>
      <c r="B12" s="31"/>
      <c r="C12" s="31"/>
      <c r="D12" s="31"/>
      <c r="E12" s="31"/>
      <c r="F12" s="31"/>
      <c r="G12" s="31"/>
      <c r="H12" s="31"/>
      <c r="I12" s="31"/>
      <c r="J12" s="31"/>
      <c r="K12" s="31"/>
      <c r="L12" s="31"/>
      <c r="M12" s="195"/>
      <c r="N12" s="2"/>
    </row>
    <row r="13" spans="1:14">
      <c r="A13" s="88"/>
      <c r="B13" s="32"/>
      <c r="C13" s="32"/>
      <c r="D13" s="32"/>
      <c r="E13" s="32"/>
      <c r="F13" s="32"/>
      <c r="G13" s="32"/>
      <c r="H13" s="32"/>
      <c r="I13" s="32"/>
      <c r="J13" s="32"/>
      <c r="K13" s="32"/>
      <c r="L13" s="32"/>
      <c r="M13" s="195"/>
      <c r="N13" s="2"/>
    </row>
    <row r="14" spans="1:14" ht="18.75">
      <c r="A14" s="93" t="s">
        <v>73</v>
      </c>
      <c r="B14" s="254">
        <v>2009</v>
      </c>
      <c r="C14" s="254">
        <v>2010</v>
      </c>
      <c r="D14" s="254">
        <v>2011</v>
      </c>
      <c r="E14" s="254">
        <v>2012</v>
      </c>
      <c r="F14" s="254">
        <v>2013</v>
      </c>
      <c r="G14" s="254">
        <v>2014</v>
      </c>
      <c r="H14" s="254">
        <v>2015</v>
      </c>
      <c r="I14" s="254">
        <v>2016</v>
      </c>
      <c r="J14" s="254">
        <v>2017</v>
      </c>
      <c r="K14" s="254">
        <v>2018</v>
      </c>
      <c r="L14" s="254">
        <v>2019</v>
      </c>
      <c r="M14" s="195"/>
      <c r="N14" s="2"/>
    </row>
    <row r="15" spans="1:14">
      <c r="A15" s="10" t="s">
        <v>100</v>
      </c>
      <c r="B15" s="32">
        <v>138175</v>
      </c>
      <c r="C15" s="32">
        <v>492384</v>
      </c>
      <c r="D15" s="32">
        <v>968122</v>
      </c>
      <c r="E15" s="32">
        <v>1275952</v>
      </c>
      <c r="F15" s="32">
        <v>1824776</v>
      </c>
      <c r="G15" s="32">
        <v>5071156</v>
      </c>
      <c r="H15" s="32">
        <v>2749680</v>
      </c>
      <c r="I15" s="32">
        <v>2627052</v>
      </c>
      <c r="J15" s="32">
        <v>1766951</v>
      </c>
      <c r="K15" s="32">
        <v>2109215</v>
      </c>
      <c r="L15" s="32">
        <v>1512339</v>
      </c>
      <c r="M15" s="196"/>
      <c r="N15" s="10"/>
    </row>
    <row r="16" spans="1:14">
      <c r="A16" s="96" t="s">
        <v>93</v>
      </c>
      <c r="B16" s="32">
        <v>0</v>
      </c>
      <c r="C16" s="32">
        <v>0</v>
      </c>
      <c r="D16" s="32">
        <v>0</v>
      </c>
      <c r="E16" s="32">
        <v>0</v>
      </c>
      <c r="F16" s="32">
        <v>0</v>
      </c>
      <c r="G16" s="32">
        <v>0</v>
      </c>
      <c r="H16" s="32">
        <v>0</v>
      </c>
      <c r="I16" s="32">
        <v>0</v>
      </c>
      <c r="J16" s="32">
        <v>0</v>
      </c>
      <c r="K16" s="32">
        <v>0</v>
      </c>
      <c r="L16" s="32">
        <v>0</v>
      </c>
    </row>
    <row r="17" spans="1:22">
      <c r="A17" s="94" t="s">
        <v>101</v>
      </c>
      <c r="B17" s="32">
        <v>0</v>
      </c>
      <c r="C17" s="32">
        <v>0</v>
      </c>
      <c r="D17" s="32">
        <v>0</v>
      </c>
      <c r="E17" s="32">
        <v>0</v>
      </c>
      <c r="F17" s="32">
        <v>0</v>
      </c>
      <c r="G17" s="32">
        <v>0</v>
      </c>
      <c r="H17" s="32">
        <v>0</v>
      </c>
      <c r="I17" s="32">
        <v>0</v>
      </c>
      <c r="J17" s="32">
        <v>0</v>
      </c>
      <c r="K17" s="32">
        <v>0</v>
      </c>
      <c r="L17" s="32">
        <v>0</v>
      </c>
    </row>
    <row r="18" spans="1:22">
      <c r="A18" s="73" t="s">
        <v>83</v>
      </c>
      <c r="B18" s="27">
        <v>0</v>
      </c>
      <c r="C18" s="27">
        <v>117129</v>
      </c>
      <c r="D18" s="27">
        <v>277274</v>
      </c>
      <c r="E18" s="27">
        <v>494701</v>
      </c>
      <c r="F18" s="27">
        <v>759006</v>
      </c>
      <c r="G18" s="27">
        <v>1824347</v>
      </c>
      <c r="H18" s="27">
        <v>4149754</v>
      </c>
      <c r="I18" s="27">
        <v>2062438</v>
      </c>
      <c r="J18" s="27">
        <v>1337481</v>
      </c>
      <c r="K18" s="27">
        <v>1117488</v>
      </c>
      <c r="L18" s="27">
        <v>997524</v>
      </c>
    </row>
    <row r="19" spans="1:22" ht="16.5" thickBot="1">
      <c r="A19" s="153" t="s">
        <v>157</v>
      </c>
      <c r="B19" s="69"/>
      <c r="C19" s="69"/>
      <c r="D19" s="69"/>
      <c r="E19" s="69"/>
      <c r="F19" s="69"/>
      <c r="G19" s="69"/>
      <c r="H19" s="69"/>
      <c r="I19" s="69"/>
      <c r="J19" s="69"/>
      <c r="K19" s="69"/>
      <c r="L19" s="69"/>
    </row>
    <row r="20" spans="1:22">
      <c r="A20" s="95" t="s">
        <v>119</v>
      </c>
      <c r="B20" s="1">
        <f t="shared" ref="B20:L20" si="1">SUM(B15:B18)</f>
        <v>138175</v>
      </c>
      <c r="C20" s="1">
        <f t="shared" si="1"/>
        <v>609513</v>
      </c>
      <c r="D20" s="1">
        <f t="shared" si="1"/>
        <v>1245396</v>
      </c>
      <c r="E20" s="1">
        <f t="shared" si="1"/>
        <v>1770653</v>
      </c>
      <c r="F20" s="1">
        <f t="shared" si="1"/>
        <v>2583782</v>
      </c>
      <c r="G20" s="1">
        <f t="shared" si="1"/>
        <v>6895503</v>
      </c>
      <c r="H20" s="1">
        <f t="shared" si="1"/>
        <v>6899434</v>
      </c>
      <c r="I20" s="1">
        <f t="shared" si="1"/>
        <v>4689490</v>
      </c>
      <c r="J20" s="1">
        <f t="shared" si="1"/>
        <v>3104432</v>
      </c>
      <c r="K20" s="1">
        <f t="shared" si="1"/>
        <v>3226703</v>
      </c>
      <c r="L20" s="1">
        <f t="shared" si="1"/>
        <v>2509863</v>
      </c>
    </row>
    <row r="21" spans="1:22">
      <c r="A21" s="190"/>
      <c r="B21" s="190"/>
      <c r="C21" s="190"/>
      <c r="D21" s="190"/>
      <c r="E21" s="190"/>
      <c r="F21" s="190"/>
      <c r="G21" s="190"/>
      <c r="H21" s="190"/>
      <c r="I21" s="190"/>
      <c r="J21" s="190"/>
      <c r="K21" s="190"/>
      <c r="L21" s="190"/>
    </row>
    <row r="22" spans="1:22">
      <c r="V22" s="250"/>
    </row>
    <row r="23" spans="1:22">
      <c r="B23" s="254">
        <v>2009</v>
      </c>
      <c r="C23" s="254">
        <v>2010</v>
      </c>
      <c r="D23" s="254">
        <v>2011</v>
      </c>
      <c r="E23" s="254">
        <v>2012</v>
      </c>
      <c r="F23" s="254">
        <v>2013</v>
      </c>
      <c r="G23" s="254">
        <v>2014</v>
      </c>
      <c r="H23" s="254">
        <v>2015</v>
      </c>
      <c r="I23" s="254">
        <v>2016</v>
      </c>
      <c r="J23" s="254">
        <v>2017</v>
      </c>
      <c r="K23" s="254">
        <v>2018</v>
      </c>
      <c r="L23" s="254">
        <v>2019</v>
      </c>
    </row>
    <row r="24" spans="1:22">
      <c r="A24" s="2" t="s">
        <v>203</v>
      </c>
      <c r="B24" s="8">
        <f t="shared" ref="B24:L24" si="2">+B15/B25</f>
        <v>2.1876286374718976</v>
      </c>
      <c r="C24" s="8">
        <f t="shared" si="2"/>
        <v>7.2685187918868648</v>
      </c>
      <c r="D24" s="8">
        <f t="shared" si="2"/>
        <v>14.079521821963031</v>
      </c>
      <c r="E24" s="8">
        <f t="shared" si="2"/>
        <v>18.40111910702182</v>
      </c>
      <c r="F24" s="8">
        <f t="shared" si="2"/>
        <v>25.931163848230781</v>
      </c>
      <c r="G24" s="8">
        <f t="shared" si="2"/>
        <v>71.39758120151491</v>
      </c>
      <c r="H24" s="8">
        <f t="shared" si="2"/>
        <v>37.451375646962681</v>
      </c>
      <c r="I24" s="8">
        <f t="shared" si="2"/>
        <v>35.316959064327484</v>
      </c>
      <c r="J24" s="8">
        <f t="shared" si="2"/>
        <v>23.298404535864979</v>
      </c>
      <c r="K24" s="8">
        <f t="shared" si="2"/>
        <v>27.29951334420543</v>
      </c>
      <c r="L24" s="8">
        <f t="shared" si="2"/>
        <v>19.148379336540895</v>
      </c>
    </row>
    <row r="25" spans="1:22">
      <c r="A25" s="45" t="s">
        <v>21</v>
      </c>
      <c r="B25" s="12">
        <f>Stats!D4</f>
        <v>63162</v>
      </c>
      <c r="C25" s="12">
        <f>Stats!E4</f>
        <v>67742</v>
      </c>
      <c r="D25" s="12">
        <f>Stats!F4</f>
        <v>68761</v>
      </c>
      <c r="E25" s="12">
        <f>Stats!G4</f>
        <v>69341</v>
      </c>
      <c r="F25" s="12">
        <f>Stats!H4</f>
        <v>70370</v>
      </c>
      <c r="G25" s="12">
        <f>Stats!I4</f>
        <v>71027</v>
      </c>
      <c r="H25" s="12">
        <f>Stats!J4</f>
        <v>73420</v>
      </c>
      <c r="I25" s="12">
        <f>Stats!K4</f>
        <v>74385</v>
      </c>
      <c r="J25" s="12">
        <f>Stats!L4</f>
        <v>75840</v>
      </c>
      <c r="K25" s="12">
        <f>Stats!M4</f>
        <v>77262</v>
      </c>
      <c r="L25" s="12">
        <f>Stats!N4</f>
        <v>78980</v>
      </c>
    </row>
    <row r="26" spans="1:22">
      <c r="B26" s="254"/>
      <c r="C26" s="254"/>
      <c r="D26" s="254"/>
      <c r="E26" s="254"/>
      <c r="F26" s="254"/>
      <c r="G26" s="254"/>
      <c r="H26" s="254"/>
      <c r="I26" s="254"/>
      <c r="J26" s="254"/>
      <c r="K26" s="254"/>
      <c r="L26" s="254"/>
      <c r="M26" s="173"/>
      <c r="N26" s="1"/>
    </row>
    <row r="27" spans="1:22">
      <c r="A27" s="253" t="s">
        <v>159</v>
      </c>
      <c r="B27" s="1">
        <f t="shared" ref="B27:L27" si="3">+B15/B28</f>
        <v>92116.666666666672</v>
      </c>
      <c r="C27" s="1">
        <f t="shared" si="3"/>
        <v>492384</v>
      </c>
      <c r="D27" s="1">
        <f t="shared" si="3"/>
        <v>209097.62419006479</v>
      </c>
      <c r="E27" s="1">
        <f t="shared" si="3"/>
        <v>275583.58531317493</v>
      </c>
      <c r="F27" s="1">
        <f t="shared" si="3"/>
        <v>275230.16591251886</v>
      </c>
      <c r="G27" s="1">
        <f t="shared" si="3"/>
        <v>676154.1333333333</v>
      </c>
      <c r="H27" s="1">
        <f t="shared" si="3"/>
        <v>366624</v>
      </c>
      <c r="I27" s="1">
        <f t="shared" si="3"/>
        <v>328381.5</v>
      </c>
      <c r="J27" s="1">
        <f t="shared" si="3"/>
        <v>220868.875</v>
      </c>
      <c r="K27" s="1">
        <f t="shared" si="3"/>
        <v>263651.875</v>
      </c>
      <c r="L27" s="1">
        <f t="shared" si="3"/>
        <v>189042.375</v>
      </c>
      <c r="M27" s="173"/>
      <c r="N27" s="1"/>
    </row>
    <row r="28" spans="1:22">
      <c r="A28" s="45" t="s">
        <v>64</v>
      </c>
      <c r="B28" s="34">
        <v>1.5</v>
      </c>
      <c r="C28" s="34">
        <v>1</v>
      </c>
      <c r="D28" s="34">
        <v>4.63</v>
      </c>
      <c r="E28" s="34">
        <v>4.63</v>
      </c>
      <c r="F28" s="34">
        <v>6.63</v>
      </c>
      <c r="G28" s="34">
        <v>7.5</v>
      </c>
      <c r="H28" s="34">
        <v>7.5</v>
      </c>
      <c r="I28" s="34">
        <v>8</v>
      </c>
      <c r="J28" s="34">
        <v>8</v>
      </c>
      <c r="K28" s="34">
        <v>8</v>
      </c>
      <c r="L28" s="34">
        <v>8</v>
      </c>
      <c r="M28" s="173"/>
      <c r="N28" s="1"/>
    </row>
    <row r="29" spans="1:22">
      <c r="A29" s="190"/>
      <c r="B29" s="190"/>
      <c r="C29" s="190"/>
      <c r="D29" s="190"/>
      <c r="E29" s="190"/>
      <c r="F29" s="190"/>
      <c r="G29" s="190"/>
      <c r="H29" s="190"/>
      <c r="I29" s="190"/>
      <c r="J29" s="190"/>
      <c r="K29" s="190"/>
      <c r="L29" s="190"/>
      <c r="M29" s="173"/>
      <c r="N29" s="1"/>
      <c r="V29" s="19"/>
    </row>
    <row r="30" spans="1:22">
      <c r="A30" s="190"/>
      <c r="B30" s="190"/>
      <c r="C30" s="190"/>
      <c r="D30" s="190"/>
      <c r="E30" s="190"/>
      <c r="F30" s="190"/>
      <c r="G30" s="190"/>
      <c r="H30" s="190"/>
      <c r="I30" s="190"/>
      <c r="J30" s="190"/>
      <c r="K30" s="190"/>
      <c r="L30" s="190"/>
      <c r="M30" s="173"/>
      <c r="N30" s="1"/>
    </row>
    <row r="31" spans="1:22" ht="18.75">
      <c r="A31" s="378"/>
      <c r="B31" s="117"/>
      <c r="C31" s="117"/>
      <c r="D31" s="117"/>
      <c r="E31" s="117"/>
      <c r="F31" s="117"/>
      <c r="G31" s="117"/>
      <c r="H31" s="117"/>
      <c r="I31" s="117"/>
      <c r="J31" s="117"/>
      <c r="K31" s="117"/>
      <c r="L31" s="117"/>
      <c r="M31" s="173"/>
      <c r="N31" s="1"/>
    </row>
    <row r="32" spans="1:22">
      <c r="A32" s="9" t="s">
        <v>63</v>
      </c>
      <c r="B32" s="15"/>
      <c r="C32" s="15"/>
      <c r="D32" s="15"/>
      <c r="E32" s="15"/>
      <c r="F32" s="15"/>
      <c r="G32" s="15"/>
      <c r="H32" s="15"/>
      <c r="I32" s="15"/>
      <c r="J32" s="15"/>
      <c r="K32" s="15"/>
      <c r="L32" s="15"/>
      <c r="M32" s="173"/>
      <c r="N32" s="1"/>
    </row>
    <row r="33" spans="1:14">
      <c r="A33" s="40" t="s">
        <v>230</v>
      </c>
      <c r="B33" s="22">
        <v>1.5</v>
      </c>
      <c r="C33" s="22">
        <v>1</v>
      </c>
      <c r="D33" s="22">
        <v>3.63</v>
      </c>
      <c r="E33" s="22">
        <v>3.63</v>
      </c>
      <c r="F33" s="22">
        <v>4.13</v>
      </c>
      <c r="G33" s="22">
        <v>4.5</v>
      </c>
      <c r="H33" s="22">
        <v>4.5</v>
      </c>
      <c r="I33" s="22">
        <v>4</v>
      </c>
      <c r="J33" s="22">
        <v>4</v>
      </c>
      <c r="K33" s="22">
        <v>4</v>
      </c>
      <c r="L33" s="22">
        <v>4</v>
      </c>
      <c r="M33" s="173"/>
      <c r="N33" s="1"/>
    </row>
    <row r="34" spans="1:14">
      <c r="A34" s="40" t="s">
        <v>229</v>
      </c>
      <c r="B34" s="22">
        <v>0</v>
      </c>
      <c r="C34" s="22">
        <v>0</v>
      </c>
      <c r="D34" s="22">
        <v>1</v>
      </c>
      <c r="E34" s="22">
        <v>1</v>
      </c>
      <c r="F34" s="22">
        <v>2.5</v>
      </c>
      <c r="G34" s="22">
        <v>3</v>
      </c>
      <c r="H34" s="22">
        <v>3</v>
      </c>
      <c r="I34" s="22">
        <v>4</v>
      </c>
      <c r="J34" s="22">
        <v>4</v>
      </c>
      <c r="K34" s="22">
        <v>4</v>
      </c>
      <c r="L34" s="22">
        <v>4</v>
      </c>
      <c r="M34" s="173"/>
      <c r="N34" s="1"/>
    </row>
    <row r="35" spans="1:14" ht="16.5" thickBot="1">
      <c r="A35" s="40"/>
      <c r="B35" s="35">
        <v>0</v>
      </c>
      <c r="C35" s="35">
        <v>0</v>
      </c>
      <c r="D35" s="35">
        <v>0</v>
      </c>
      <c r="E35" s="35">
        <v>0</v>
      </c>
      <c r="F35" s="35">
        <v>0</v>
      </c>
      <c r="G35" s="35">
        <v>0</v>
      </c>
      <c r="H35" s="35">
        <v>0</v>
      </c>
      <c r="I35" s="35">
        <v>0</v>
      </c>
      <c r="J35" s="35">
        <v>0</v>
      </c>
      <c r="K35" s="35">
        <v>0</v>
      </c>
      <c r="L35" s="35">
        <v>0</v>
      </c>
      <c r="M35" s="173"/>
      <c r="N35" s="1"/>
    </row>
    <row r="36" spans="1:14">
      <c r="A36" s="46" t="s">
        <v>64</v>
      </c>
      <c r="B36" s="34">
        <f t="shared" ref="B36:L36" si="4">SUM(B33:B35)</f>
        <v>1.5</v>
      </c>
      <c r="C36" s="34">
        <f t="shared" si="4"/>
        <v>1</v>
      </c>
      <c r="D36" s="34">
        <f t="shared" si="4"/>
        <v>4.63</v>
      </c>
      <c r="E36" s="34">
        <f t="shared" si="4"/>
        <v>4.63</v>
      </c>
      <c r="F36" s="34">
        <f t="shared" si="4"/>
        <v>6.63</v>
      </c>
      <c r="G36" s="34">
        <f t="shared" si="4"/>
        <v>7.5</v>
      </c>
      <c r="H36" s="34">
        <f t="shared" si="4"/>
        <v>7.5</v>
      </c>
      <c r="I36" s="34">
        <f t="shared" si="4"/>
        <v>8</v>
      </c>
      <c r="J36" s="34">
        <f t="shared" si="4"/>
        <v>8</v>
      </c>
      <c r="K36" s="34">
        <f t="shared" si="4"/>
        <v>8</v>
      </c>
      <c r="L36" s="34">
        <f t="shared" si="4"/>
        <v>8</v>
      </c>
      <c r="M36" s="173"/>
      <c r="N36" s="1"/>
    </row>
    <row r="37" spans="1:14">
      <c r="A37" s="45" t="s">
        <v>72</v>
      </c>
      <c r="B37" s="15"/>
      <c r="C37" s="36">
        <f>C36/B36</f>
        <v>0.66666666666666663</v>
      </c>
      <c r="D37" s="36">
        <f t="shared" ref="D37:L37" si="5">D36/C36</f>
        <v>4.63</v>
      </c>
      <c r="E37" s="36">
        <f t="shared" si="5"/>
        <v>1</v>
      </c>
      <c r="F37" s="36">
        <f t="shared" si="5"/>
        <v>1.4319654427645789</v>
      </c>
      <c r="G37" s="36">
        <f t="shared" si="5"/>
        <v>1.1312217194570136</v>
      </c>
      <c r="H37" s="36">
        <f t="shared" si="5"/>
        <v>1</v>
      </c>
      <c r="I37" s="36">
        <f t="shared" si="5"/>
        <v>1.0666666666666667</v>
      </c>
      <c r="J37" s="36">
        <f t="shared" si="5"/>
        <v>1</v>
      </c>
      <c r="K37" s="36">
        <f t="shared" si="5"/>
        <v>1</v>
      </c>
      <c r="L37" s="36">
        <f t="shared" si="5"/>
        <v>1</v>
      </c>
      <c r="M37" s="173"/>
      <c r="N37" s="1"/>
    </row>
    <row r="38" spans="1:14">
      <c r="A38" s="363"/>
      <c r="B38" s="117"/>
      <c r="C38" s="339"/>
      <c r="D38" s="339"/>
      <c r="E38" s="339"/>
      <c r="F38" s="339"/>
      <c r="G38" s="339"/>
      <c r="H38" s="339"/>
      <c r="I38" s="339"/>
      <c r="J38" s="339"/>
      <c r="K38" s="339"/>
      <c r="L38" s="339"/>
      <c r="M38" s="173"/>
      <c r="N38" s="1"/>
    </row>
    <row r="39" spans="1:14">
      <c r="A39" s="368"/>
      <c r="B39" s="117"/>
      <c r="C39" s="117"/>
      <c r="D39" s="117"/>
      <c r="E39" s="117"/>
      <c r="F39" s="117"/>
      <c r="G39" s="117"/>
      <c r="H39" s="117"/>
      <c r="I39" s="117"/>
      <c r="J39" s="117"/>
      <c r="K39" s="117"/>
      <c r="L39" s="339"/>
      <c r="M39" s="173"/>
      <c r="N39" s="1"/>
    </row>
    <row r="40" spans="1:14">
      <c r="A40" s="163"/>
      <c r="B40" s="117"/>
      <c r="C40" s="117"/>
      <c r="D40" s="117"/>
      <c r="E40" s="117"/>
      <c r="F40" s="117"/>
      <c r="G40" s="117"/>
      <c r="H40" s="117"/>
      <c r="I40" s="117"/>
      <c r="J40" s="117"/>
      <c r="K40" s="117"/>
      <c r="L40" s="117"/>
      <c r="M40" s="173"/>
      <c r="N40" s="1"/>
    </row>
    <row r="41" spans="1:14">
      <c r="A41" s="369"/>
      <c r="B41" s="117"/>
      <c r="C41" s="117"/>
      <c r="D41" s="117"/>
      <c r="E41" s="117"/>
      <c r="F41" s="117"/>
      <c r="G41" s="117"/>
      <c r="H41" s="117"/>
      <c r="I41" s="117"/>
      <c r="J41" s="117"/>
      <c r="K41" s="117"/>
      <c r="L41" s="117"/>
      <c r="M41" s="173"/>
      <c r="N41" s="1"/>
    </row>
    <row r="42" spans="1:14">
      <c r="A42" s="359"/>
      <c r="B42" s="117"/>
      <c r="C42" s="117"/>
      <c r="D42" s="117"/>
      <c r="E42" s="117"/>
      <c r="F42" s="117"/>
      <c r="G42" s="117"/>
      <c r="H42" s="117"/>
      <c r="I42" s="117"/>
      <c r="J42" s="117"/>
      <c r="K42" s="117"/>
      <c r="L42" s="117"/>
      <c r="M42" s="173"/>
      <c r="N42" s="1"/>
    </row>
    <row r="43" spans="1:14">
      <c r="A43" s="359"/>
      <c r="B43" s="117"/>
      <c r="C43" s="117"/>
      <c r="D43" s="117"/>
      <c r="E43" s="117"/>
      <c r="F43" s="117"/>
      <c r="G43" s="117"/>
      <c r="H43" s="117"/>
      <c r="I43" s="117"/>
      <c r="J43" s="117"/>
      <c r="K43" s="117"/>
      <c r="L43" s="117"/>
      <c r="M43" s="173"/>
      <c r="N43" s="1"/>
    </row>
    <row r="44" spans="1:14">
      <c r="A44" s="163"/>
      <c r="B44" s="117"/>
      <c r="C44" s="117"/>
      <c r="D44" s="117"/>
      <c r="E44" s="117"/>
      <c r="F44" s="117"/>
      <c r="G44" s="117"/>
      <c r="H44" s="117"/>
      <c r="I44" s="117"/>
      <c r="J44" s="117"/>
      <c r="K44" s="117"/>
      <c r="L44" s="117"/>
      <c r="M44" s="173"/>
      <c r="N44" s="1"/>
    </row>
    <row r="45" spans="1:14">
      <c r="A45" s="369"/>
      <c r="B45" s="117"/>
      <c r="C45" s="117"/>
      <c r="D45" s="117"/>
      <c r="E45" s="117"/>
      <c r="F45" s="117"/>
      <c r="G45" s="117"/>
      <c r="H45" s="117"/>
      <c r="I45" s="117"/>
      <c r="J45" s="117"/>
      <c r="K45" s="117"/>
      <c r="L45" s="117"/>
      <c r="M45" s="173"/>
      <c r="N45" s="1"/>
    </row>
    <row r="46" spans="1:14">
      <c r="A46" s="363"/>
      <c r="B46" s="117"/>
      <c r="C46" s="339"/>
      <c r="D46" s="339"/>
      <c r="E46" s="339"/>
      <c r="F46" s="339"/>
      <c r="G46" s="339"/>
      <c r="H46" s="339"/>
      <c r="I46" s="339"/>
      <c r="J46" s="339"/>
      <c r="K46" s="339"/>
      <c r="L46" s="339"/>
      <c r="M46" s="173"/>
      <c r="N46" s="1"/>
    </row>
    <row r="47" spans="1:14">
      <c r="A47" s="368"/>
      <c r="B47" s="117"/>
      <c r="C47" s="117"/>
      <c r="D47" s="117"/>
      <c r="E47" s="117"/>
      <c r="F47" s="117"/>
      <c r="G47" s="117"/>
      <c r="H47" s="117"/>
      <c r="I47" s="117"/>
      <c r="J47" s="117"/>
      <c r="K47" s="117"/>
      <c r="L47" s="339"/>
      <c r="M47" s="173"/>
      <c r="N47" s="1"/>
    </row>
    <row r="48" spans="1:14">
      <c r="A48" s="163"/>
      <c r="B48" s="117"/>
      <c r="C48" s="117"/>
      <c r="D48" s="117"/>
      <c r="E48" s="117"/>
      <c r="F48" s="117"/>
      <c r="G48" s="117"/>
      <c r="H48" s="117"/>
      <c r="I48" s="117"/>
      <c r="J48" s="117"/>
      <c r="K48" s="117"/>
      <c r="L48" s="117"/>
      <c r="M48" s="173"/>
      <c r="N48" s="1"/>
    </row>
    <row r="49" spans="1:14">
      <c r="A49" s="356"/>
      <c r="B49" s="145"/>
      <c r="C49" s="145"/>
      <c r="D49" s="145"/>
      <c r="E49" s="145"/>
      <c r="F49" s="145"/>
      <c r="G49" s="145"/>
      <c r="H49" s="145"/>
      <c r="I49" s="145"/>
      <c r="J49" s="145"/>
      <c r="K49" s="145"/>
      <c r="L49" s="145"/>
      <c r="M49" s="173"/>
      <c r="N49" s="1"/>
    </row>
    <row r="50" spans="1:14">
      <c r="A50" s="356"/>
      <c r="B50" s="165"/>
      <c r="C50" s="165"/>
      <c r="D50" s="165"/>
      <c r="E50" s="165"/>
      <c r="F50" s="165"/>
      <c r="G50" s="165"/>
      <c r="H50" s="165"/>
      <c r="I50" s="165"/>
      <c r="J50" s="165"/>
      <c r="K50" s="165"/>
      <c r="L50" s="165"/>
      <c r="M50" s="173"/>
      <c r="N50" s="1"/>
    </row>
    <row r="51" spans="1:14">
      <c r="A51" s="371"/>
      <c r="B51" s="144"/>
      <c r="C51" s="144"/>
      <c r="D51" s="144"/>
      <c r="E51" s="144"/>
      <c r="F51" s="144"/>
      <c r="G51" s="144"/>
      <c r="H51" s="144"/>
      <c r="I51" s="144"/>
      <c r="J51" s="144"/>
      <c r="K51" s="144"/>
      <c r="L51" s="144"/>
      <c r="M51" s="173"/>
      <c r="N51" s="1"/>
    </row>
    <row r="52" spans="1:14">
      <c r="A52" s="371"/>
      <c r="B52" s="144"/>
      <c r="C52" s="144"/>
      <c r="D52" s="144"/>
      <c r="E52" s="144"/>
      <c r="F52" s="144"/>
      <c r="G52" s="144"/>
      <c r="H52" s="144"/>
      <c r="I52" s="144"/>
      <c r="J52" s="144"/>
      <c r="K52" s="144"/>
      <c r="L52" s="144"/>
      <c r="M52" s="173"/>
      <c r="N52" s="1"/>
    </row>
    <row r="53" spans="1:14">
      <c r="A53" s="163"/>
      <c r="B53" s="373"/>
      <c r="C53" s="373"/>
      <c r="D53" s="373"/>
      <c r="E53" s="373"/>
      <c r="F53" s="373"/>
      <c r="G53" s="373"/>
      <c r="H53" s="373"/>
      <c r="I53" s="373"/>
      <c r="J53" s="373"/>
      <c r="K53" s="373"/>
      <c r="L53" s="373"/>
      <c r="M53" s="173"/>
      <c r="N53" s="1"/>
    </row>
    <row r="54" spans="1:14">
      <c r="A54" s="356"/>
      <c r="B54" s="117"/>
      <c r="C54" s="117"/>
      <c r="D54" s="117"/>
      <c r="E54" s="117"/>
      <c r="F54" s="117"/>
      <c r="G54" s="117"/>
      <c r="H54" s="117"/>
      <c r="I54" s="117"/>
      <c r="J54" s="117"/>
      <c r="K54" s="117"/>
      <c r="L54" s="117"/>
      <c r="M54" s="173"/>
      <c r="N54" s="1"/>
    </row>
    <row r="55" spans="1:14">
      <c r="A55" s="356"/>
      <c r="B55" s="117"/>
      <c r="C55" s="117"/>
      <c r="D55" s="117"/>
      <c r="E55" s="117"/>
      <c r="F55" s="117"/>
      <c r="G55" s="117"/>
      <c r="H55" s="117"/>
      <c r="I55" s="117"/>
      <c r="J55" s="117"/>
      <c r="K55" s="117"/>
      <c r="L55" s="117"/>
      <c r="M55" s="173"/>
      <c r="N55" s="1"/>
    </row>
    <row r="56" spans="1:14">
      <c r="A56" s="163"/>
      <c r="B56" s="117"/>
      <c r="C56" s="117"/>
      <c r="D56" s="117"/>
      <c r="E56" s="117"/>
      <c r="F56" s="117"/>
      <c r="G56" s="117"/>
      <c r="H56" s="117"/>
      <c r="I56" s="117"/>
      <c r="J56" s="117"/>
      <c r="K56" s="117"/>
      <c r="L56" s="117"/>
      <c r="M56" s="173"/>
      <c r="N56" s="1"/>
    </row>
    <row r="57" spans="1:14">
      <c r="A57" s="163"/>
      <c r="B57" s="163"/>
      <c r="C57" s="163"/>
      <c r="D57" s="163"/>
      <c r="E57" s="163"/>
      <c r="F57" s="163"/>
      <c r="G57" s="163"/>
      <c r="H57" s="163"/>
      <c r="I57" s="163"/>
      <c r="J57" s="163"/>
      <c r="K57" s="163"/>
      <c r="L57" s="163"/>
      <c r="M57" s="173"/>
      <c r="N57" s="1"/>
    </row>
    <row r="58" spans="1:14">
      <c r="A58" s="357"/>
      <c r="B58" s="163"/>
      <c r="C58" s="163"/>
      <c r="D58" s="163"/>
      <c r="E58" s="163"/>
      <c r="F58" s="163"/>
      <c r="G58" s="163"/>
      <c r="H58" s="163"/>
      <c r="I58" s="163"/>
      <c r="J58" s="163"/>
      <c r="K58" s="163"/>
      <c r="L58" s="163"/>
      <c r="M58" s="173"/>
      <c r="N58" s="1"/>
    </row>
    <row r="59" spans="1:14">
      <c r="A59" s="357"/>
      <c r="B59" s="117"/>
      <c r="C59" s="117"/>
      <c r="D59" s="117"/>
      <c r="E59" s="117"/>
      <c r="F59" s="117"/>
      <c r="G59" s="117"/>
      <c r="H59" s="117"/>
      <c r="I59" s="117"/>
      <c r="J59" s="117"/>
      <c r="K59" s="117"/>
      <c r="L59" s="117"/>
      <c r="M59" s="173"/>
      <c r="N59" s="1"/>
    </row>
    <row r="60" spans="1:14">
      <c r="A60" s="357"/>
      <c r="B60" s="358"/>
      <c r="C60" s="358"/>
      <c r="D60" s="358"/>
      <c r="E60" s="358"/>
      <c r="F60" s="358"/>
      <c r="G60" s="358"/>
      <c r="H60" s="358"/>
      <c r="I60" s="358"/>
      <c r="J60" s="358"/>
      <c r="K60" s="358"/>
      <c r="L60" s="358"/>
    </row>
    <row r="61" spans="1:14">
      <c r="A61" s="359"/>
      <c r="B61" s="360"/>
      <c r="C61" s="360"/>
      <c r="D61" s="360"/>
      <c r="E61" s="360"/>
      <c r="F61" s="360"/>
      <c r="G61" s="360"/>
      <c r="H61" s="360"/>
      <c r="I61" s="360"/>
      <c r="J61" s="360"/>
      <c r="K61" s="360"/>
      <c r="L61" s="360"/>
      <c r="M61" s="173"/>
      <c r="N61" s="1"/>
    </row>
    <row r="62" spans="1:14">
      <c r="A62" s="359"/>
      <c r="B62" s="360"/>
      <c r="C62" s="360"/>
      <c r="D62" s="360"/>
      <c r="E62" s="360"/>
      <c r="F62" s="360"/>
      <c r="G62" s="360"/>
      <c r="H62" s="360"/>
      <c r="I62" s="360"/>
      <c r="J62" s="360"/>
      <c r="K62" s="360"/>
      <c r="L62" s="360"/>
      <c r="M62" s="173"/>
      <c r="N62" s="1"/>
    </row>
    <row r="63" spans="1:14">
      <c r="A63" s="359"/>
      <c r="B63" s="360"/>
      <c r="C63" s="360"/>
      <c r="D63" s="360"/>
      <c r="E63" s="360"/>
      <c r="F63" s="360"/>
      <c r="G63" s="360"/>
      <c r="H63" s="360"/>
      <c r="I63" s="360"/>
      <c r="J63" s="360"/>
      <c r="K63" s="360"/>
      <c r="L63" s="360"/>
      <c r="M63" s="173"/>
      <c r="N63" s="1"/>
    </row>
    <row r="64" spans="1:14">
      <c r="A64" s="163"/>
      <c r="B64" s="163"/>
      <c r="C64" s="163"/>
      <c r="D64" s="163"/>
      <c r="E64" s="163"/>
      <c r="F64" s="163"/>
      <c r="G64" s="163"/>
      <c r="H64" s="163"/>
      <c r="I64" s="163"/>
      <c r="J64" s="163"/>
      <c r="K64" s="163"/>
      <c r="L64" s="163"/>
      <c r="M64" s="173"/>
      <c r="N64" s="1"/>
    </row>
    <row r="65" spans="1:14">
      <c r="A65" s="363"/>
      <c r="B65" s="358"/>
      <c r="C65" s="237"/>
      <c r="D65" s="237"/>
      <c r="E65" s="237"/>
      <c r="F65" s="237"/>
      <c r="G65" s="237"/>
      <c r="H65" s="237"/>
      <c r="I65" s="237"/>
      <c r="J65" s="237"/>
      <c r="K65" s="237"/>
      <c r="L65" s="237"/>
      <c r="M65" s="173"/>
      <c r="N65" s="1"/>
    </row>
    <row r="66" spans="1:14" s="17" customFormat="1">
      <c r="A66" s="242"/>
      <c r="B66" s="358"/>
      <c r="C66" s="237"/>
      <c r="D66" s="237"/>
      <c r="E66" s="237"/>
      <c r="F66" s="237"/>
      <c r="G66" s="237"/>
      <c r="H66" s="237"/>
      <c r="I66" s="237"/>
      <c r="J66" s="237"/>
      <c r="K66" s="237"/>
      <c r="L66" s="237"/>
      <c r="M66" s="197"/>
      <c r="N66" s="33"/>
    </row>
    <row r="67" spans="1:14">
      <c r="A67" s="163"/>
      <c r="B67" s="117"/>
      <c r="C67" s="117"/>
      <c r="D67" s="117"/>
      <c r="E67" s="117"/>
      <c r="F67" s="117"/>
      <c r="G67" s="117"/>
      <c r="H67" s="117"/>
      <c r="I67" s="117"/>
      <c r="J67" s="117"/>
      <c r="K67" s="117"/>
      <c r="L67" s="117"/>
      <c r="M67" s="27"/>
      <c r="N67" s="1"/>
    </row>
    <row r="68" spans="1:14" ht="18.75">
      <c r="A68" s="364"/>
      <c r="B68" s="373"/>
      <c r="C68" s="373"/>
      <c r="D68" s="373"/>
      <c r="E68" s="373"/>
      <c r="F68" s="373"/>
      <c r="G68" s="373"/>
      <c r="H68" s="373"/>
      <c r="I68" s="373"/>
      <c r="J68" s="373"/>
      <c r="K68" s="373"/>
      <c r="L68" s="373"/>
      <c r="M68" s="27"/>
      <c r="N68" s="1"/>
    </row>
    <row r="69" spans="1:14">
      <c r="A69" s="165"/>
      <c r="B69" s="365"/>
      <c r="C69" s="365"/>
      <c r="D69" s="365"/>
      <c r="E69" s="365"/>
      <c r="F69" s="365"/>
      <c r="G69" s="365"/>
      <c r="H69" s="365"/>
      <c r="I69" s="365"/>
      <c r="J69" s="365"/>
      <c r="K69" s="365"/>
      <c r="L69" s="365"/>
      <c r="M69" s="27"/>
      <c r="N69" s="1"/>
    </row>
    <row r="70" spans="1:14">
      <c r="A70" s="163"/>
      <c r="B70" s="117"/>
      <c r="C70" s="117"/>
      <c r="D70" s="117"/>
      <c r="E70" s="117"/>
      <c r="F70" s="117"/>
      <c r="G70" s="117"/>
      <c r="H70" s="117"/>
      <c r="I70" s="117"/>
      <c r="J70" s="117"/>
      <c r="K70" s="117"/>
      <c r="L70" s="117"/>
      <c r="M70" s="27"/>
      <c r="N70" s="1"/>
    </row>
    <row r="71" spans="1:14">
      <c r="A71" s="357"/>
      <c r="B71" s="117"/>
      <c r="C71" s="117"/>
      <c r="D71" s="117"/>
      <c r="E71" s="117"/>
      <c r="F71" s="117"/>
      <c r="G71" s="117"/>
      <c r="H71" s="117"/>
      <c r="I71" s="117"/>
      <c r="J71" s="117"/>
      <c r="K71" s="117"/>
      <c r="L71" s="117"/>
      <c r="M71" s="27"/>
      <c r="N71" s="1"/>
    </row>
    <row r="72" spans="1:14">
      <c r="A72" s="381"/>
      <c r="B72" s="117"/>
      <c r="C72" s="117"/>
      <c r="D72" s="117"/>
      <c r="E72" s="117"/>
      <c r="F72" s="117"/>
      <c r="G72" s="117"/>
      <c r="H72" s="117"/>
      <c r="I72" s="117"/>
      <c r="J72" s="117"/>
      <c r="K72" s="117"/>
      <c r="L72" s="117"/>
      <c r="M72" s="27"/>
      <c r="N72" s="1"/>
    </row>
    <row r="73" spans="1:14">
      <c r="A73" s="381"/>
      <c r="B73" s="117"/>
      <c r="C73" s="117"/>
      <c r="D73" s="117"/>
      <c r="E73" s="117"/>
      <c r="F73" s="117"/>
      <c r="G73" s="117"/>
      <c r="H73" s="117"/>
      <c r="I73" s="117"/>
      <c r="J73" s="117"/>
      <c r="K73" s="117"/>
      <c r="L73" s="117"/>
      <c r="M73" s="27"/>
      <c r="N73" s="1"/>
    </row>
    <row r="74" spans="1:14">
      <c r="A74" s="381"/>
      <c r="B74" s="117"/>
      <c r="C74" s="117"/>
      <c r="D74" s="117"/>
      <c r="E74" s="117"/>
      <c r="F74" s="117"/>
      <c r="G74" s="117"/>
      <c r="H74" s="117"/>
      <c r="I74" s="117"/>
      <c r="J74" s="117"/>
      <c r="K74" s="117"/>
      <c r="L74" s="117"/>
      <c r="M74" s="27"/>
      <c r="N74" s="1"/>
    </row>
    <row r="75" spans="1:14">
      <c r="A75" s="359"/>
      <c r="B75" s="117"/>
      <c r="C75" s="117"/>
      <c r="D75" s="117"/>
      <c r="E75" s="117"/>
      <c r="F75" s="117"/>
      <c r="G75" s="117"/>
      <c r="H75" s="117"/>
      <c r="I75" s="117"/>
      <c r="J75" s="117"/>
      <c r="K75" s="117"/>
      <c r="L75" s="117"/>
      <c r="M75" s="27"/>
      <c r="N75" s="1"/>
    </row>
    <row r="76" spans="1:14">
      <c r="A76" s="357"/>
      <c r="B76" s="117"/>
      <c r="C76" s="117"/>
      <c r="D76" s="117"/>
      <c r="E76" s="117"/>
      <c r="F76" s="117"/>
      <c r="G76" s="117"/>
      <c r="H76" s="117"/>
      <c r="I76" s="117"/>
      <c r="J76" s="117"/>
      <c r="K76" s="117"/>
      <c r="L76" s="117"/>
      <c r="M76" s="27"/>
      <c r="N76" s="1"/>
    </row>
    <row r="77" spans="1:14">
      <c r="A77" s="163"/>
      <c r="B77" s="117"/>
      <c r="C77" s="117"/>
      <c r="D77" s="117"/>
      <c r="E77" s="117"/>
      <c r="F77" s="117"/>
      <c r="G77" s="117"/>
      <c r="H77" s="117"/>
      <c r="I77" s="117"/>
      <c r="J77" s="117"/>
      <c r="K77" s="117"/>
      <c r="L77" s="117"/>
      <c r="M77" s="27"/>
      <c r="N77" s="1"/>
    </row>
    <row r="78" spans="1:14">
      <c r="A78" s="163"/>
      <c r="B78" s="117"/>
      <c r="C78" s="117"/>
      <c r="D78" s="117"/>
      <c r="E78" s="117"/>
      <c r="F78" s="117"/>
      <c r="G78" s="117"/>
      <c r="H78" s="117"/>
      <c r="I78" s="117"/>
      <c r="J78" s="117"/>
      <c r="K78" s="117"/>
      <c r="L78" s="117"/>
      <c r="M78" s="27"/>
      <c r="N78" s="1"/>
    </row>
    <row r="79" spans="1:14">
      <c r="A79" s="163"/>
      <c r="B79" s="373"/>
      <c r="C79" s="373"/>
      <c r="D79" s="373"/>
      <c r="E79" s="373"/>
      <c r="F79" s="373"/>
      <c r="G79" s="373"/>
      <c r="H79" s="373"/>
      <c r="I79" s="373"/>
      <c r="J79" s="373"/>
      <c r="K79" s="373"/>
      <c r="L79" s="373"/>
      <c r="M79" s="27"/>
      <c r="N79" s="1"/>
    </row>
    <row r="80" spans="1:14">
      <c r="A80" s="163"/>
      <c r="B80" s="159"/>
      <c r="C80" s="159"/>
      <c r="D80" s="159"/>
      <c r="E80" s="159"/>
      <c r="F80" s="159"/>
      <c r="G80" s="159"/>
      <c r="H80" s="159"/>
      <c r="I80" s="159"/>
      <c r="J80" s="159"/>
      <c r="K80" s="159"/>
      <c r="L80" s="159"/>
      <c r="M80" s="27"/>
      <c r="N80" s="1"/>
    </row>
    <row r="81" spans="1:14">
      <c r="A81" s="163"/>
      <c r="B81" s="163"/>
      <c r="C81" s="163"/>
      <c r="D81" s="163"/>
      <c r="E81" s="163"/>
      <c r="F81" s="163"/>
      <c r="G81" s="163"/>
      <c r="H81" s="163"/>
      <c r="I81" s="163"/>
      <c r="J81" s="163"/>
      <c r="K81" s="163"/>
      <c r="L81" s="163"/>
      <c r="M81" s="27"/>
      <c r="N81" s="1"/>
    </row>
    <row r="82" spans="1:14">
      <c r="A82" s="163"/>
      <c r="B82" s="163"/>
      <c r="C82" s="163"/>
      <c r="D82" s="163"/>
      <c r="E82" s="163"/>
      <c r="F82" s="163"/>
      <c r="G82" s="163"/>
      <c r="H82" s="163"/>
      <c r="I82" s="163"/>
      <c r="J82" s="163"/>
      <c r="K82" s="163"/>
      <c r="L82" s="163"/>
      <c r="M82" s="27"/>
      <c r="N82" s="1"/>
    </row>
    <row r="83" spans="1:14">
      <c r="A83" s="163"/>
      <c r="B83" s="163"/>
      <c r="C83" s="163"/>
      <c r="D83" s="163"/>
      <c r="E83" s="163"/>
      <c r="F83" s="163"/>
      <c r="G83" s="163"/>
      <c r="H83" s="163"/>
      <c r="I83" s="163"/>
      <c r="J83" s="163"/>
      <c r="K83" s="163"/>
      <c r="L83" s="163"/>
      <c r="M83" s="19"/>
    </row>
    <row r="84" spans="1:14">
      <c r="A84" s="163"/>
      <c r="B84" s="163"/>
      <c r="C84" s="163"/>
      <c r="D84" s="163"/>
      <c r="E84" s="163"/>
      <c r="F84" s="163"/>
      <c r="G84" s="163"/>
      <c r="H84" s="163"/>
      <c r="I84" s="163"/>
      <c r="J84" s="163"/>
      <c r="K84" s="163"/>
      <c r="L84" s="163"/>
      <c r="M84" s="19"/>
    </row>
    <row r="85" spans="1:14">
      <c r="A85" s="163"/>
      <c r="B85" s="163"/>
      <c r="C85" s="163"/>
      <c r="D85" s="163"/>
      <c r="E85" s="163"/>
      <c r="F85" s="163"/>
      <c r="G85" s="163"/>
      <c r="H85" s="163"/>
      <c r="I85" s="163"/>
      <c r="J85" s="163"/>
      <c r="K85" s="163"/>
      <c r="L85" s="163"/>
      <c r="M85" s="19"/>
    </row>
    <row r="86" spans="1:14">
      <c r="A86" s="163"/>
      <c r="B86" s="163"/>
      <c r="C86" s="163"/>
      <c r="D86" s="163"/>
      <c r="E86" s="163"/>
      <c r="F86" s="163"/>
      <c r="G86" s="163"/>
      <c r="H86" s="163"/>
      <c r="I86" s="163"/>
      <c r="J86" s="163"/>
      <c r="K86" s="163"/>
      <c r="L86" s="163"/>
      <c r="M86" s="19"/>
    </row>
    <row r="87" spans="1:14">
      <c r="A87" s="163"/>
      <c r="B87" s="163"/>
      <c r="C87" s="163"/>
      <c r="D87" s="163"/>
      <c r="E87" s="163"/>
      <c r="F87" s="163"/>
      <c r="G87" s="163"/>
      <c r="H87" s="163"/>
      <c r="I87" s="163"/>
      <c r="J87" s="163"/>
      <c r="K87" s="163"/>
      <c r="L87" s="163"/>
      <c r="M87" s="19"/>
    </row>
    <row r="88" spans="1:14">
      <c r="A88" s="163"/>
      <c r="B88" s="163"/>
      <c r="C88" s="163"/>
      <c r="D88" s="163"/>
      <c r="E88" s="163"/>
      <c r="F88" s="163"/>
      <c r="G88" s="163"/>
      <c r="H88" s="163"/>
      <c r="I88" s="163"/>
      <c r="J88" s="163"/>
      <c r="K88" s="163"/>
      <c r="L88" s="163"/>
      <c r="M88" s="19"/>
    </row>
    <row r="89" spans="1:14">
      <c r="A89" s="163"/>
      <c r="B89" s="163"/>
      <c r="C89" s="163"/>
      <c r="D89" s="163"/>
      <c r="E89" s="163"/>
      <c r="F89" s="163"/>
      <c r="G89" s="163"/>
      <c r="H89" s="163"/>
      <c r="I89" s="163"/>
      <c r="J89" s="163"/>
      <c r="K89" s="163"/>
      <c r="L89" s="163"/>
      <c r="M89" s="19"/>
    </row>
    <row r="90" spans="1:14">
      <c r="A90" s="163"/>
      <c r="B90" s="163"/>
      <c r="C90" s="163"/>
      <c r="D90" s="163"/>
      <c r="E90" s="163"/>
      <c r="F90" s="163"/>
      <c r="G90" s="163"/>
      <c r="H90" s="163"/>
      <c r="I90" s="163"/>
      <c r="J90" s="163"/>
      <c r="K90" s="163"/>
      <c r="L90" s="163"/>
      <c r="M90" s="19"/>
    </row>
    <row r="91" spans="1:14">
      <c r="A91" s="163"/>
      <c r="B91" s="163"/>
      <c r="C91" s="163"/>
      <c r="D91" s="163"/>
      <c r="E91" s="163"/>
      <c r="F91" s="163"/>
      <c r="G91" s="163"/>
      <c r="H91" s="163"/>
      <c r="I91" s="163"/>
      <c r="J91" s="163"/>
      <c r="K91" s="163"/>
      <c r="L91" s="163"/>
      <c r="M91" s="19"/>
    </row>
    <row r="92" spans="1:14">
      <c r="A92" s="163"/>
      <c r="B92" s="163"/>
      <c r="C92" s="163"/>
      <c r="D92" s="163"/>
      <c r="E92" s="163"/>
      <c r="F92" s="163"/>
      <c r="G92" s="163"/>
      <c r="H92" s="163"/>
      <c r="I92" s="163"/>
      <c r="J92" s="163"/>
      <c r="K92" s="163"/>
      <c r="L92" s="163"/>
      <c r="M92" s="19"/>
    </row>
    <row r="93" spans="1:14">
      <c r="M93" s="19"/>
    </row>
    <row r="94" spans="1:14">
      <c r="M94" s="19"/>
    </row>
    <row r="95" spans="1:14">
      <c r="M95" s="19"/>
    </row>
    <row r="96" spans="1:14">
      <c r="M96" s="19"/>
    </row>
    <row r="97" spans="13:13">
      <c r="M97" s="19"/>
    </row>
    <row r="98" spans="13:13">
      <c r="M98" s="19"/>
    </row>
    <row r="99" spans="13:13">
      <c r="M99" s="19"/>
    </row>
    <row r="100" spans="13:13">
      <c r="M100" s="19"/>
    </row>
    <row r="101" spans="13:13">
      <c r="M101" s="19"/>
    </row>
    <row r="102" spans="13:13">
      <c r="M102" s="19"/>
    </row>
    <row r="103" spans="13:13">
      <c r="M103" s="19"/>
    </row>
    <row r="104" spans="13:13">
      <c r="M104" s="19"/>
    </row>
    <row r="105" spans="13:13">
      <c r="M105" s="19"/>
    </row>
    <row r="106" spans="13:13">
      <c r="M106" s="19"/>
    </row>
    <row r="107" spans="13:13">
      <c r="M107" s="19"/>
    </row>
    <row r="108" spans="13:13">
      <c r="M108" s="19"/>
    </row>
    <row r="109" spans="13:13">
      <c r="M109" s="19"/>
    </row>
    <row r="110" spans="13:13">
      <c r="M110" s="19"/>
    </row>
    <row r="111" spans="13:13">
      <c r="M111" s="19"/>
    </row>
    <row r="112" spans="13:13">
      <c r="M112" s="19"/>
    </row>
    <row r="113" spans="13:13">
      <c r="M113" s="19"/>
    </row>
    <row r="114" spans="13:13">
      <c r="M114" s="19"/>
    </row>
    <row r="115" spans="13:13">
      <c r="M115" s="19"/>
    </row>
    <row r="116" spans="13:13">
      <c r="M116" s="19"/>
    </row>
    <row r="117" spans="13:13">
      <c r="M117" s="19"/>
    </row>
    <row r="118" spans="13:13">
      <c r="M118" s="19"/>
    </row>
    <row r="119" spans="13:13">
      <c r="M119" s="19"/>
    </row>
    <row r="120" spans="13:13">
      <c r="M120" s="19"/>
    </row>
    <row r="121" spans="13:13">
      <c r="M121" s="19"/>
    </row>
    <row r="122" spans="13:13">
      <c r="M122" s="19"/>
    </row>
    <row r="123" spans="13:13" ht="33.75" customHeight="1">
      <c r="M123" s="19"/>
    </row>
    <row r="124" spans="13:13">
      <c r="M124" s="19"/>
    </row>
    <row r="125" spans="13:13">
      <c r="M125" s="19"/>
    </row>
    <row r="126" spans="13:13">
      <c r="M126" s="19"/>
    </row>
    <row r="127" spans="13:13">
      <c r="M127" s="19"/>
    </row>
    <row r="128" spans="13:13">
      <c r="M128" s="19"/>
    </row>
    <row r="129" spans="13:13">
      <c r="M129" s="19"/>
    </row>
    <row r="130" spans="13:13">
      <c r="M130" s="19"/>
    </row>
    <row r="131" spans="13:13">
      <c r="M131" s="19"/>
    </row>
    <row r="132" spans="13:13">
      <c r="M132" s="19"/>
    </row>
    <row r="133" spans="13:13">
      <c r="M133" s="19"/>
    </row>
    <row r="134" spans="13:13">
      <c r="M134" s="19"/>
    </row>
    <row r="135" spans="13:13">
      <c r="M135" s="19"/>
    </row>
    <row r="136" spans="13:13">
      <c r="M136" s="19"/>
    </row>
    <row r="137" spans="13:13">
      <c r="M137" s="19"/>
    </row>
    <row r="138" spans="13:13">
      <c r="M138" s="19"/>
    </row>
    <row r="139" spans="13:13">
      <c r="M139" s="19"/>
    </row>
    <row r="140" spans="13:13">
      <c r="M140" s="19"/>
    </row>
    <row r="141" spans="13:13">
      <c r="M141" s="19"/>
    </row>
    <row r="142" spans="13:13">
      <c r="M142" s="19"/>
    </row>
    <row r="143" spans="13:13">
      <c r="M143" s="19"/>
    </row>
    <row r="144" spans="13:13">
      <c r="M144" s="19"/>
    </row>
    <row r="145" spans="13:13">
      <c r="M145" s="19"/>
    </row>
    <row r="146" spans="13:13">
      <c r="M146" s="19"/>
    </row>
    <row r="147" spans="13:13">
      <c r="M147" s="19"/>
    </row>
    <row r="148" spans="13:13">
      <c r="M148" s="19"/>
    </row>
    <row r="149" spans="13:13">
      <c r="M149" s="19"/>
    </row>
    <row r="150" spans="13:13">
      <c r="M150" s="19"/>
    </row>
    <row r="151" spans="13:13">
      <c r="M151" s="19"/>
    </row>
    <row r="152" spans="13:13">
      <c r="M152" s="19"/>
    </row>
    <row r="153" spans="13:13">
      <c r="M153" s="19"/>
    </row>
    <row r="154" spans="13:13">
      <c r="M154" s="19"/>
    </row>
    <row r="155" spans="13:13">
      <c r="M155" s="19"/>
    </row>
    <row r="156" spans="13:13">
      <c r="M156" s="19"/>
    </row>
    <row r="157" spans="13:13">
      <c r="M157" s="19"/>
    </row>
    <row r="158" spans="13:13">
      <c r="M158" s="19"/>
    </row>
    <row r="159" spans="13:13">
      <c r="M159" s="19"/>
    </row>
    <row r="160" spans="13:13">
      <c r="M160" s="19"/>
    </row>
    <row r="161" spans="13:13">
      <c r="M161" s="19"/>
    </row>
    <row r="162" spans="13:13">
      <c r="M162" s="19"/>
    </row>
    <row r="163" spans="13:13">
      <c r="M163" s="19"/>
    </row>
    <row r="164" spans="13:13">
      <c r="M164" s="19"/>
    </row>
    <row r="165" spans="13:13">
      <c r="M165" s="19"/>
    </row>
    <row r="166" spans="13:13">
      <c r="M166" s="19"/>
    </row>
    <row r="167" spans="13:13">
      <c r="M167" s="19"/>
    </row>
    <row r="168" spans="13:13">
      <c r="M168" s="19"/>
    </row>
    <row r="169" spans="13:13">
      <c r="M169" s="19"/>
    </row>
    <row r="170" spans="13:13">
      <c r="M170" s="19"/>
    </row>
    <row r="171" spans="13:13">
      <c r="M171" s="19"/>
    </row>
    <row r="172" spans="13:13">
      <c r="M172" s="19"/>
    </row>
    <row r="173" spans="13:13">
      <c r="M173" s="19"/>
    </row>
    <row r="174" spans="13:13">
      <c r="M174" s="19"/>
    </row>
    <row r="175" spans="13:13">
      <c r="M175" s="19"/>
    </row>
    <row r="176" spans="13:13">
      <c r="M176" s="19"/>
    </row>
    <row r="177" spans="13:13">
      <c r="M177" s="19"/>
    </row>
    <row r="178" spans="13:13">
      <c r="M178" s="19"/>
    </row>
    <row r="179" spans="13:13">
      <c r="M179" s="19"/>
    </row>
    <row r="180" spans="13:13">
      <c r="M180" s="19"/>
    </row>
    <row r="181" spans="13:13">
      <c r="M181" s="19"/>
    </row>
    <row r="182" spans="13:13">
      <c r="M182" s="19"/>
    </row>
    <row r="183" spans="13:13">
      <c r="M183" s="19"/>
    </row>
    <row r="184" spans="13:13">
      <c r="M184" s="19"/>
    </row>
    <row r="185" spans="13:13">
      <c r="M185" s="19"/>
    </row>
    <row r="186" spans="13:13">
      <c r="M186" s="19"/>
    </row>
    <row r="187" spans="13:13">
      <c r="M187" s="19"/>
    </row>
    <row r="188" spans="13:13">
      <c r="M188" s="19"/>
    </row>
    <row r="189" spans="13:13">
      <c r="M189" s="19"/>
    </row>
    <row r="190" spans="13:13">
      <c r="M190" s="19"/>
    </row>
    <row r="191" spans="13:13">
      <c r="M191" s="19"/>
    </row>
    <row r="192" spans="13:13">
      <c r="M192" s="19"/>
    </row>
    <row r="193" spans="13:13">
      <c r="M193" s="19"/>
    </row>
    <row r="194" spans="13:13">
      <c r="M194" s="19"/>
    </row>
    <row r="195" spans="13:13">
      <c r="M195" s="19"/>
    </row>
    <row r="196" spans="13:13">
      <c r="M196" s="19"/>
    </row>
    <row r="197" spans="13:13">
      <c r="M197" s="19"/>
    </row>
    <row r="198" spans="13:13">
      <c r="M198" s="19"/>
    </row>
    <row r="199" spans="13:13">
      <c r="M199" s="19"/>
    </row>
    <row r="200" spans="13:13">
      <c r="M200" s="19"/>
    </row>
    <row r="201" spans="13:13">
      <c r="M201" s="19"/>
    </row>
    <row r="202" spans="13:13">
      <c r="M202" s="19"/>
    </row>
    <row r="203" spans="13:13">
      <c r="M203" s="19"/>
    </row>
    <row r="204" spans="13:13">
      <c r="M204" s="19"/>
    </row>
    <row r="205" spans="13:13">
      <c r="M205" s="19"/>
    </row>
    <row r="206" spans="13:13">
      <c r="M206" s="19"/>
    </row>
    <row r="207" spans="13:13">
      <c r="M207" s="19"/>
    </row>
    <row r="208" spans="13:13">
      <c r="M208" s="19"/>
    </row>
    <row r="209" spans="13:13">
      <c r="M209" s="19"/>
    </row>
    <row r="210" spans="13:13">
      <c r="M210" s="19"/>
    </row>
    <row r="211" spans="13:13">
      <c r="M211" s="19"/>
    </row>
    <row r="212" spans="13:13">
      <c r="M212" s="19"/>
    </row>
    <row r="213" spans="13:13">
      <c r="M213" s="19"/>
    </row>
    <row r="214" spans="13:13">
      <c r="M214" s="19"/>
    </row>
    <row r="215" spans="13:13">
      <c r="M215" s="19"/>
    </row>
    <row r="216" spans="13:13">
      <c r="M216" s="19"/>
    </row>
    <row r="217" spans="13:13">
      <c r="M217" s="19"/>
    </row>
    <row r="218" spans="13:13">
      <c r="M218" s="19"/>
    </row>
    <row r="219" spans="13:13">
      <c r="M219" s="19"/>
    </row>
    <row r="220" spans="13:13">
      <c r="M220" s="19"/>
    </row>
    <row r="221" spans="13:13">
      <c r="M221" s="19"/>
    </row>
    <row r="222" spans="13:13">
      <c r="M222" s="19"/>
    </row>
    <row r="223" spans="13:13">
      <c r="M223" s="19"/>
    </row>
    <row r="224" spans="13:13">
      <c r="M224" s="19"/>
    </row>
    <row r="225" spans="13:13">
      <c r="M225" s="19"/>
    </row>
    <row r="226" spans="13:13">
      <c r="M226" s="19"/>
    </row>
    <row r="227" spans="13:13">
      <c r="M227" s="19"/>
    </row>
    <row r="228" spans="13:13">
      <c r="M228" s="19"/>
    </row>
    <row r="229" spans="13:13">
      <c r="M229" s="19"/>
    </row>
    <row r="230" spans="13:13">
      <c r="M230" s="19"/>
    </row>
    <row r="231" spans="13:13">
      <c r="M231" s="19"/>
    </row>
    <row r="232" spans="13:13">
      <c r="M232" s="19"/>
    </row>
    <row r="233" spans="13:13">
      <c r="M233" s="19"/>
    </row>
    <row r="234" spans="13:13">
      <c r="M234" s="19"/>
    </row>
    <row r="235" spans="13:13">
      <c r="M235" s="19"/>
    </row>
    <row r="236" spans="13:13">
      <c r="M236" s="19"/>
    </row>
    <row r="237" spans="13:13">
      <c r="M237" s="19"/>
    </row>
    <row r="238" spans="13:13">
      <c r="M238" s="19"/>
    </row>
    <row r="239" spans="13:13">
      <c r="M239" s="19"/>
    </row>
    <row r="240" spans="13:13">
      <c r="M240" s="19"/>
    </row>
    <row r="241" spans="13:13">
      <c r="M241" s="19"/>
    </row>
    <row r="242" spans="13:13">
      <c r="M242" s="19"/>
    </row>
    <row r="243" spans="13:13">
      <c r="M243" s="19"/>
    </row>
    <row r="244" spans="13:13">
      <c r="M244" s="19"/>
    </row>
    <row r="245" spans="13:13">
      <c r="M245" s="19"/>
    </row>
    <row r="246" spans="13:13">
      <c r="M246" s="19"/>
    </row>
    <row r="247" spans="13:13">
      <c r="M247" s="19"/>
    </row>
    <row r="248" spans="13:13">
      <c r="M248" s="19"/>
    </row>
    <row r="249" spans="13:13">
      <c r="M249" s="19"/>
    </row>
    <row r="250" spans="13:13">
      <c r="M250" s="19"/>
    </row>
    <row r="251" spans="13:13">
      <c r="M251" s="19"/>
    </row>
    <row r="252" spans="13:13">
      <c r="M252" s="19"/>
    </row>
    <row r="253" spans="13:13">
      <c r="M253" s="19"/>
    </row>
    <row r="254" spans="13:13">
      <c r="M254" s="19"/>
    </row>
    <row r="255" spans="13:13">
      <c r="M255" s="19"/>
    </row>
    <row r="256" spans="13:13">
      <c r="M256" s="19"/>
    </row>
    <row r="257" spans="13:13">
      <c r="M257" s="19"/>
    </row>
    <row r="258" spans="13:13">
      <c r="M258" s="19"/>
    </row>
    <row r="259" spans="13:13">
      <c r="M259" s="19"/>
    </row>
    <row r="260" spans="13:13">
      <c r="M260" s="19"/>
    </row>
    <row r="261" spans="13:13">
      <c r="M261" s="19"/>
    </row>
    <row r="262" spans="13:13">
      <c r="M262" s="19"/>
    </row>
    <row r="263" spans="13:13">
      <c r="M263" s="19"/>
    </row>
    <row r="264" spans="13:13">
      <c r="M264" s="19"/>
    </row>
    <row r="265" spans="13:13">
      <c r="M265" s="19"/>
    </row>
    <row r="266" spans="13:13">
      <c r="M266" s="19"/>
    </row>
    <row r="267" spans="13:13">
      <c r="M267" s="19"/>
    </row>
    <row r="268" spans="13:13">
      <c r="M268" s="19"/>
    </row>
    <row r="269" spans="13:13">
      <c r="M269" s="19"/>
    </row>
    <row r="270" spans="13:13">
      <c r="M270" s="19"/>
    </row>
    <row r="271" spans="13:13">
      <c r="M271" s="19"/>
    </row>
    <row r="272" spans="13:13">
      <c r="M272" s="19"/>
    </row>
    <row r="273" spans="13:13">
      <c r="M273" s="19"/>
    </row>
    <row r="274" spans="13:13">
      <c r="M274" s="19"/>
    </row>
    <row r="275" spans="13:13">
      <c r="M275" s="19"/>
    </row>
    <row r="276" spans="13:13">
      <c r="M276" s="19"/>
    </row>
    <row r="277" spans="13:13">
      <c r="M277" s="19"/>
    </row>
    <row r="278" spans="13:13">
      <c r="M278" s="19"/>
    </row>
    <row r="279" spans="13:13">
      <c r="M279" s="19"/>
    </row>
    <row r="280" spans="13:13">
      <c r="M280" s="19"/>
    </row>
    <row r="281" spans="13:13">
      <c r="M281" s="19"/>
    </row>
    <row r="282" spans="13:13">
      <c r="M282" s="19"/>
    </row>
    <row r="283" spans="13:13">
      <c r="M283" s="19"/>
    </row>
    <row r="284" spans="13:13">
      <c r="M284" s="19"/>
    </row>
    <row r="285" spans="13:13">
      <c r="M285" s="19"/>
    </row>
    <row r="286" spans="13:13">
      <c r="M286" s="19"/>
    </row>
    <row r="287" spans="13:13">
      <c r="M287" s="19"/>
    </row>
    <row r="288" spans="13:13">
      <c r="M288" s="19"/>
    </row>
    <row r="289" spans="13:13">
      <c r="M289" s="19"/>
    </row>
    <row r="290" spans="13:13">
      <c r="M290" s="19"/>
    </row>
    <row r="291" spans="13:13">
      <c r="M291" s="19"/>
    </row>
    <row r="292" spans="13:13">
      <c r="M292" s="19"/>
    </row>
    <row r="293" spans="13:13">
      <c r="M293" s="19"/>
    </row>
    <row r="294" spans="13:13">
      <c r="M294" s="19"/>
    </row>
    <row r="295" spans="13:13">
      <c r="M295" s="19"/>
    </row>
    <row r="296" spans="13:13">
      <c r="M296" s="19"/>
    </row>
    <row r="297" spans="13:13">
      <c r="M297" s="19"/>
    </row>
    <row r="298" spans="13:13">
      <c r="M298" s="19"/>
    </row>
    <row r="299" spans="13:13">
      <c r="M299" s="19"/>
    </row>
    <row r="300" spans="13:13">
      <c r="M300" s="19"/>
    </row>
    <row r="301" spans="13:13">
      <c r="M301" s="19"/>
    </row>
    <row r="302" spans="13:13">
      <c r="M302" s="19"/>
    </row>
    <row r="303" spans="13:13">
      <c r="M303" s="19"/>
    </row>
    <row r="304" spans="13:13">
      <c r="M304" s="19"/>
    </row>
    <row r="305" spans="13:13">
      <c r="M305" s="19"/>
    </row>
    <row r="306" spans="13:13">
      <c r="M306" s="19"/>
    </row>
    <row r="307" spans="13:13">
      <c r="M307" s="19"/>
    </row>
    <row r="308" spans="13:13">
      <c r="M308" s="19"/>
    </row>
    <row r="309" spans="13:13">
      <c r="M309" s="19"/>
    </row>
    <row r="310" spans="13:13">
      <c r="M310" s="19"/>
    </row>
    <row r="311" spans="13:13">
      <c r="M311" s="19"/>
    </row>
    <row r="312" spans="13:13">
      <c r="M312" s="19"/>
    </row>
    <row r="313" spans="13:13">
      <c r="M313" s="19"/>
    </row>
    <row r="314" spans="13:13">
      <c r="M314" s="19"/>
    </row>
    <row r="315" spans="13:13">
      <c r="M315" s="19"/>
    </row>
    <row r="316" spans="13:13">
      <c r="M316" s="19"/>
    </row>
    <row r="317" spans="13:13">
      <c r="M317" s="19"/>
    </row>
    <row r="318" spans="13:13">
      <c r="M318" s="19"/>
    </row>
    <row r="319" spans="13:13">
      <c r="M319" s="19"/>
    </row>
    <row r="320" spans="13:13">
      <c r="M320" s="19"/>
    </row>
    <row r="321" spans="13:13">
      <c r="M321" s="19"/>
    </row>
    <row r="322" spans="13:13">
      <c r="M322" s="19"/>
    </row>
    <row r="323" spans="13:13">
      <c r="M323" s="19"/>
    </row>
    <row r="324" spans="13:13">
      <c r="M324" s="19"/>
    </row>
    <row r="325" spans="13:13">
      <c r="M325" s="19"/>
    </row>
    <row r="326" spans="13:13">
      <c r="M326" s="19"/>
    </row>
    <row r="327" spans="13:13">
      <c r="M327" s="19"/>
    </row>
    <row r="328" spans="13:13">
      <c r="M328" s="19"/>
    </row>
    <row r="329" spans="13:13">
      <c r="M329" s="19"/>
    </row>
    <row r="330" spans="13:13">
      <c r="M330" s="19"/>
    </row>
    <row r="331" spans="13:13">
      <c r="M331" s="19"/>
    </row>
    <row r="332" spans="13:13">
      <c r="M332" s="19"/>
    </row>
    <row r="333" spans="13:13">
      <c r="M333" s="19"/>
    </row>
    <row r="334" spans="13:13">
      <c r="M334" s="19"/>
    </row>
    <row r="335" spans="13:13">
      <c r="M335" s="19"/>
    </row>
    <row r="336" spans="13:13">
      <c r="M336" s="19"/>
    </row>
    <row r="337" spans="13:13">
      <c r="M337" s="19"/>
    </row>
    <row r="338" spans="13:13">
      <c r="M338" s="19"/>
    </row>
    <row r="339" spans="13:13">
      <c r="M339" s="19"/>
    </row>
    <row r="340" spans="13:13">
      <c r="M340" s="19"/>
    </row>
    <row r="341" spans="13:13">
      <c r="M341" s="19"/>
    </row>
    <row r="342" spans="13:13">
      <c r="M342" s="19"/>
    </row>
    <row r="343" spans="13:13">
      <c r="M343" s="19"/>
    </row>
    <row r="344" spans="13:13">
      <c r="M344" s="19"/>
    </row>
    <row r="345" spans="13:13">
      <c r="M345" s="19"/>
    </row>
    <row r="346" spans="13:13">
      <c r="M346" s="19"/>
    </row>
    <row r="347" spans="13:13">
      <c r="M347" s="19"/>
    </row>
    <row r="348" spans="13:13">
      <c r="M348" s="19"/>
    </row>
    <row r="349" spans="13:13">
      <c r="M349" s="19"/>
    </row>
    <row r="350" spans="13:13">
      <c r="M350" s="19"/>
    </row>
    <row r="351" spans="13:13">
      <c r="M351" s="19"/>
    </row>
    <row r="352" spans="13:13">
      <c r="M352" s="19"/>
    </row>
    <row r="353" spans="13:13">
      <c r="M353" s="19"/>
    </row>
    <row r="354" spans="13:13">
      <c r="M354" s="19"/>
    </row>
    <row r="355" spans="13:13">
      <c r="M355" s="19"/>
    </row>
    <row r="356" spans="13:13">
      <c r="M356" s="19"/>
    </row>
    <row r="357" spans="13:13">
      <c r="M357" s="19"/>
    </row>
    <row r="358" spans="13:13">
      <c r="M358" s="19"/>
    </row>
    <row r="359" spans="13:13">
      <c r="M359" s="19"/>
    </row>
    <row r="360" spans="13:13">
      <c r="M360" s="19"/>
    </row>
    <row r="361" spans="13:13">
      <c r="M361" s="19"/>
    </row>
    <row r="362" spans="13:13">
      <c r="M362" s="19"/>
    </row>
    <row r="363" spans="13:13">
      <c r="M363" s="19"/>
    </row>
    <row r="364" spans="13:13">
      <c r="M364" s="19"/>
    </row>
    <row r="365" spans="13:13">
      <c r="M365" s="19"/>
    </row>
    <row r="366" spans="13:13">
      <c r="M366" s="19"/>
    </row>
    <row r="367" spans="13:13">
      <c r="M367" s="19"/>
    </row>
    <row r="368" spans="13:13">
      <c r="M368" s="19"/>
    </row>
    <row r="369" spans="13:13">
      <c r="M369" s="19"/>
    </row>
    <row r="370" spans="13:13">
      <c r="M370" s="19"/>
    </row>
    <row r="371" spans="13:13">
      <c r="M371" s="19"/>
    </row>
    <row r="372" spans="13:13">
      <c r="M372" s="19"/>
    </row>
    <row r="373" spans="13:13">
      <c r="M373" s="19"/>
    </row>
    <row r="374" spans="13:13">
      <c r="M374" s="19"/>
    </row>
    <row r="375" spans="13:13">
      <c r="M375" s="19"/>
    </row>
    <row r="376" spans="13:13">
      <c r="M376" s="19"/>
    </row>
    <row r="377" spans="13:13">
      <c r="M377" s="19"/>
    </row>
    <row r="378" spans="13:13">
      <c r="M378" s="19"/>
    </row>
    <row r="379" spans="13:13">
      <c r="M379" s="19"/>
    </row>
    <row r="380" spans="13:13">
      <c r="M380" s="19"/>
    </row>
    <row r="381" spans="13:13">
      <c r="M381" s="19"/>
    </row>
    <row r="382" spans="13:13">
      <c r="M382" s="19"/>
    </row>
    <row r="383" spans="13:13">
      <c r="M383" s="19"/>
    </row>
    <row r="384" spans="13:13">
      <c r="M384" s="19"/>
    </row>
    <row r="385" spans="13:13">
      <c r="M385" s="19"/>
    </row>
    <row r="386" spans="13:13">
      <c r="M386" s="19"/>
    </row>
    <row r="387" spans="13:13">
      <c r="M387" s="19"/>
    </row>
    <row r="388" spans="13:13">
      <c r="M388" s="19"/>
    </row>
    <row r="389" spans="13:13">
      <c r="M389" s="19"/>
    </row>
    <row r="390" spans="13:13">
      <c r="M390" s="19"/>
    </row>
    <row r="391" spans="13:13">
      <c r="M391" s="19"/>
    </row>
    <row r="392" spans="13:13">
      <c r="M392" s="19"/>
    </row>
    <row r="393" spans="13:13">
      <c r="M393" s="19"/>
    </row>
    <row r="394" spans="13:13">
      <c r="M394" s="19"/>
    </row>
    <row r="395" spans="13:13">
      <c r="M395" s="19"/>
    </row>
    <row r="396" spans="13:13">
      <c r="M396" s="19"/>
    </row>
    <row r="397" spans="13:13">
      <c r="M397" s="19"/>
    </row>
    <row r="398" spans="13:13">
      <c r="M398" s="19"/>
    </row>
    <row r="399" spans="13:13">
      <c r="M399" s="19"/>
    </row>
    <row r="400" spans="13:13">
      <c r="M400" s="19"/>
    </row>
    <row r="401" spans="13:13">
      <c r="M401" s="19"/>
    </row>
    <row r="402" spans="13:13">
      <c r="M402" s="19"/>
    </row>
    <row r="403" spans="13:13">
      <c r="M403" s="19"/>
    </row>
    <row r="404" spans="13:13">
      <c r="M404" s="19"/>
    </row>
    <row r="405" spans="13:13">
      <c r="M405" s="19"/>
    </row>
    <row r="406" spans="13:13">
      <c r="M406" s="19"/>
    </row>
    <row r="407" spans="13:13">
      <c r="M407" s="19"/>
    </row>
    <row r="408" spans="13:13">
      <c r="M408" s="19"/>
    </row>
    <row r="409" spans="13:13">
      <c r="M409" s="19"/>
    </row>
    <row r="410" spans="13:13">
      <c r="M410" s="19"/>
    </row>
    <row r="411" spans="13:13">
      <c r="M411" s="19"/>
    </row>
    <row r="412" spans="13:13">
      <c r="M412" s="19"/>
    </row>
    <row r="413" spans="13:13">
      <c r="M413" s="19"/>
    </row>
    <row r="414" spans="13:13">
      <c r="M414" s="19"/>
    </row>
    <row r="415" spans="13:13">
      <c r="M415" s="19"/>
    </row>
    <row r="416" spans="13:13">
      <c r="M416" s="19"/>
    </row>
    <row r="417" spans="13:13">
      <c r="M417" s="19"/>
    </row>
    <row r="418" spans="13:13">
      <c r="M418" s="19"/>
    </row>
    <row r="419" spans="13:13">
      <c r="M419" s="19"/>
    </row>
    <row r="420" spans="13:13">
      <c r="M420" s="19"/>
    </row>
    <row r="421" spans="13:13">
      <c r="M421" s="19"/>
    </row>
    <row r="422" spans="13:13">
      <c r="M422" s="19"/>
    </row>
    <row r="423" spans="13:13">
      <c r="M423" s="19"/>
    </row>
    <row r="424" spans="13:13">
      <c r="M424" s="19"/>
    </row>
    <row r="425" spans="13:13">
      <c r="M425" s="19"/>
    </row>
    <row r="426" spans="13:13">
      <c r="M426" s="19"/>
    </row>
    <row r="427" spans="13:13">
      <c r="M427" s="19"/>
    </row>
    <row r="428" spans="13:13">
      <c r="M428" s="19"/>
    </row>
    <row r="429" spans="13:13">
      <c r="M429" s="19"/>
    </row>
    <row r="430" spans="13:13">
      <c r="M430" s="19"/>
    </row>
    <row r="431" spans="13:13">
      <c r="M431" s="19"/>
    </row>
    <row r="432" spans="13:13">
      <c r="M432" s="19"/>
    </row>
    <row r="433" spans="13:13">
      <c r="M433" s="19"/>
    </row>
    <row r="434" spans="13:13">
      <c r="M434" s="19"/>
    </row>
    <row r="435" spans="13:13">
      <c r="M435" s="19"/>
    </row>
    <row r="436" spans="13:13">
      <c r="M436" s="19"/>
    </row>
    <row r="437" spans="13:13">
      <c r="M437" s="19"/>
    </row>
    <row r="438" spans="13:13">
      <c r="M438" s="19"/>
    </row>
    <row r="439" spans="13:13">
      <c r="M439" s="19"/>
    </row>
    <row r="440" spans="13:13">
      <c r="M440" s="19"/>
    </row>
    <row r="441" spans="13:13">
      <c r="M441" s="19"/>
    </row>
    <row r="442" spans="13:13">
      <c r="M442" s="19"/>
    </row>
    <row r="443" spans="13:13">
      <c r="M443" s="19"/>
    </row>
    <row r="444" spans="13:13">
      <c r="M444" s="19"/>
    </row>
    <row r="445" spans="13:13">
      <c r="M445" s="19"/>
    </row>
    <row r="446" spans="13:13">
      <c r="M446" s="19"/>
    </row>
    <row r="447" spans="13:13">
      <c r="M447" s="19"/>
    </row>
    <row r="448" spans="13:13">
      <c r="M448" s="19"/>
    </row>
    <row r="449" spans="13:13">
      <c r="M449" s="19"/>
    </row>
    <row r="450" spans="13:13">
      <c r="M450" s="19"/>
    </row>
    <row r="451" spans="13:13">
      <c r="M451" s="19"/>
    </row>
    <row r="452" spans="13:13">
      <c r="M452" s="19"/>
    </row>
    <row r="453" spans="13:13">
      <c r="M453" s="19"/>
    </row>
    <row r="454" spans="13:13">
      <c r="M454" s="19"/>
    </row>
    <row r="455" spans="13:13">
      <c r="M455" s="19"/>
    </row>
    <row r="456" spans="13:13">
      <c r="M456" s="19"/>
    </row>
    <row r="457" spans="13:13">
      <c r="M457" s="19"/>
    </row>
    <row r="458" spans="13:13">
      <c r="M458" s="19"/>
    </row>
    <row r="459" spans="13:13">
      <c r="M459" s="19"/>
    </row>
    <row r="460" spans="13:13">
      <c r="M460" s="19"/>
    </row>
    <row r="461" spans="13:13">
      <c r="M461" s="19"/>
    </row>
    <row r="462" spans="13:13">
      <c r="M462" s="19"/>
    </row>
    <row r="463" spans="13:13">
      <c r="M463" s="19"/>
    </row>
    <row r="464" spans="13:13">
      <c r="M464" s="19"/>
    </row>
    <row r="465" spans="13:13">
      <c r="M465" s="19"/>
    </row>
    <row r="466" spans="13:13">
      <c r="M466" s="19"/>
    </row>
    <row r="467" spans="13:13">
      <c r="M467" s="19"/>
    </row>
    <row r="468" spans="13:13">
      <c r="M468" s="19"/>
    </row>
    <row r="469" spans="13:13">
      <c r="M469" s="19"/>
    </row>
    <row r="470" spans="13:13">
      <c r="M470" s="19"/>
    </row>
    <row r="471" spans="13:13">
      <c r="M471" s="19"/>
    </row>
    <row r="472" spans="13:13">
      <c r="M472" s="19"/>
    </row>
    <row r="473" spans="13:13">
      <c r="M473" s="19"/>
    </row>
    <row r="474" spans="13:13">
      <c r="M474" s="19"/>
    </row>
    <row r="475" spans="13:13">
      <c r="M475" s="19"/>
    </row>
    <row r="476" spans="13:13">
      <c r="M476" s="19"/>
    </row>
    <row r="477" spans="13:13">
      <c r="M477" s="19"/>
    </row>
    <row r="478" spans="13:13">
      <c r="M478" s="19"/>
    </row>
    <row r="479" spans="13:13">
      <c r="M479" s="19"/>
    </row>
    <row r="480" spans="13:13">
      <c r="M480" s="19"/>
    </row>
    <row r="481" spans="13:13">
      <c r="M481" s="19"/>
    </row>
    <row r="482" spans="13:13">
      <c r="M482" s="19"/>
    </row>
    <row r="483" spans="13:13">
      <c r="M483" s="19"/>
    </row>
    <row r="484" spans="13:13">
      <c r="M484" s="19"/>
    </row>
    <row r="485" spans="13:13">
      <c r="M485" s="19"/>
    </row>
    <row r="486" spans="13:13">
      <c r="M486" s="19"/>
    </row>
    <row r="487" spans="13:13">
      <c r="M487" s="19"/>
    </row>
    <row r="488" spans="13:13">
      <c r="M488" s="19"/>
    </row>
    <row r="489" spans="13:13">
      <c r="M489" s="19"/>
    </row>
    <row r="490" spans="13:13">
      <c r="M490" s="19"/>
    </row>
    <row r="491" spans="13:13">
      <c r="M491" s="19"/>
    </row>
    <row r="492" spans="13:13">
      <c r="M492" s="19"/>
    </row>
    <row r="493" spans="13:13">
      <c r="M493" s="19"/>
    </row>
    <row r="494" spans="13:13">
      <c r="M494" s="19"/>
    </row>
    <row r="495" spans="13:13">
      <c r="M495" s="19"/>
    </row>
    <row r="496" spans="13:13">
      <c r="M496" s="19"/>
    </row>
    <row r="497" spans="13:13">
      <c r="M497" s="19"/>
    </row>
    <row r="498" spans="13:13">
      <c r="M498" s="19"/>
    </row>
    <row r="499" spans="13:13">
      <c r="M499" s="19"/>
    </row>
    <row r="500" spans="13:13">
      <c r="M500" s="19"/>
    </row>
    <row r="501" spans="13:13">
      <c r="M501" s="19"/>
    </row>
    <row r="502" spans="13:13">
      <c r="M502" s="19"/>
    </row>
    <row r="503" spans="13:13">
      <c r="M503" s="19"/>
    </row>
    <row r="504" spans="13:13">
      <c r="M504" s="19"/>
    </row>
    <row r="505" spans="13:13">
      <c r="M505" s="19"/>
    </row>
    <row r="506" spans="13:13">
      <c r="M506" s="19"/>
    </row>
    <row r="507" spans="13:13">
      <c r="M507" s="19"/>
    </row>
    <row r="508" spans="13:13">
      <c r="M508" s="19"/>
    </row>
    <row r="509" spans="13:13">
      <c r="M509" s="19"/>
    </row>
    <row r="510" spans="13:13">
      <c r="M510" s="19"/>
    </row>
    <row r="511" spans="13:13">
      <c r="M511" s="19"/>
    </row>
    <row r="512" spans="13:13">
      <c r="M512" s="19"/>
    </row>
    <row r="513" spans="13:13">
      <c r="M513" s="19"/>
    </row>
    <row r="514" spans="13:13">
      <c r="M514" s="19"/>
    </row>
    <row r="515" spans="13:13">
      <c r="M515" s="19"/>
    </row>
    <row r="516" spans="13:13">
      <c r="M516" s="19"/>
    </row>
    <row r="517" spans="13:13">
      <c r="M517" s="19"/>
    </row>
    <row r="518" spans="13:13">
      <c r="M518" s="19"/>
    </row>
    <row r="519" spans="13:13">
      <c r="M519" s="19"/>
    </row>
    <row r="520" spans="13:13">
      <c r="M520" s="19"/>
    </row>
    <row r="521" spans="13:13">
      <c r="M521" s="19"/>
    </row>
    <row r="522" spans="13:13">
      <c r="M522" s="19"/>
    </row>
    <row r="523" spans="13:13">
      <c r="M523" s="19"/>
    </row>
    <row r="524" spans="13:13">
      <c r="M524" s="19"/>
    </row>
    <row r="525" spans="13:13">
      <c r="M525" s="19"/>
    </row>
    <row r="526" spans="13:13">
      <c r="M526" s="19"/>
    </row>
    <row r="527" spans="13:13">
      <c r="M527" s="19"/>
    </row>
    <row r="528" spans="13:13">
      <c r="M528" s="19"/>
    </row>
    <row r="529" spans="13:13">
      <c r="M529" s="19"/>
    </row>
    <row r="530" spans="13:13">
      <c r="M530" s="19"/>
    </row>
    <row r="531" spans="13:13">
      <c r="M531" s="19"/>
    </row>
    <row r="532" spans="13:13">
      <c r="M532" s="19"/>
    </row>
    <row r="533" spans="13:13">
      <c r="M533" s="19"/>
    </row>
    <row r="534" spans="13:13">
      <c r="M534" s="19"/>
    </row>
    <row r="535" spans="13:13">
      <c r="M535" s="19"/>
    </row>
    <row r="536" spans="13:13">
      <c r="M536" s="19"/>
    </row>
    <row r="537" spans="13:13">
      <c r="M537" s="19"/>
    </row>
    <row r="538" spans="13:13">
      <c r="M538" s="19"/>
    </row>
    <row r="539" spans="13:13">
      <c r="M539" s="19"/>
    </row>
    <row r="540" spans="13:13">
      <c r="M540" s="19"/>
    </row>
    <row r="541" spans="13:13">
      <c r="M541" s="19"/>
    </row>
    <row r="542" spans="13:13">
      <c r="M542" s="19"/>
    </row>
    <row r="543" spans="13:13">
      <c r="M543" s="19"/>
    </row>
    <row r="544" spans="13:13">
      <c r="M544" s="19"/>
    </row>
    <row r="545" spans="13:13">
      <c r="M545" s="19"/>
    </row>
    <row r="546" spans="13:13">
      <c r="M546" s="19"/>
    </row>
    <row r="547" spans="13:13">
      <c r="M547" s="19"/>
    </row>
    <row r="548" spans="13:13">
      <c r="M548" s="19"/>
    </row>
    <row r="549" spans="13:13">
      <c r="M549" s="19"/>
    </row>
    <row r="550" spans="13:13">
      <c r="M550" s="19"/>
    </row>
    <row r="551" spans="13:13">
      <c r="M551" s="19"/>
    </row>
    <row r="552" spans="13:13">
      <c r="M552" s="19"/>
    </row>
    <row r="553" spans="13:13">
      <c r="M553" s="19"/>
    </row>
    <row r="554" spans="13:13">
      <c r="M554" s="19"/>
    </row>
    <row r="555" spans="13:13">
      <c r="M555" s="19"/>
    </row>
    <row r="556" spans="13:13">
      <c r="M556" s="19"/>
    </row>
    <row r="557" spans="13:13">
      <c r="M557" s="19"/>
    </row>
    <row r="558" spans="13:13">
      <c r="M558" s="19"/>
    </row>
    <row r="559" spans="13:13">
      <c r="M559" s="19"/>
    </row>
    <row r="560" spans="13:13">
      <c r="M560" s="19"/>
    </row>
    <row r="561" spans="13:13">
      <c r="M561" s="19"/>
    </row>
    <row r="562" spans="13:13">
      <c r="M562" s="19"/>
    </row>
    <row r="563" spans="13:13">
      <c r="M563" s="19"/>
    </row>
    <row r="564" spans="13:13">
      <c r="M564" s="19"/>
    </row>
    <row r="565" spans="13:13">
      <c r="M565" s="19"/>
    </row>
    <row r="566" spans="13:13">
      <c r="M566" s="19"/>
    </row>
    <row r="567" spans="13:13">
      <c r="M567" s="19"/>
    </row>
    <row r="568" spans="13:13">
      <c r="M568" s="19"/>
    </row>
    <row r="569" spans="13:13">
      <c r="M569" s="19"/>
    </row>
    <row r="570" spans="13:13">
      <c r="M570" s="19"/>
    </row>
    <row r="571" spans="13:13">
      <c r="M571" s="19"/>
    </row>
    <row r="572" spans="13:13">
      <c r="M572" s="19"/>
    </row>
    <row r="573" spans="13:13">
      <c r="M573" s="19"/>
    </row>
    <row r="574" spans="13:13">
      <c r="M574" s="19"/>
    </row>
    <row r="575" spans="13:13">
      <c r="M575" s="19"/>
    </row>
    <row r="576" spans="13:13">
      <c r="M576" s="19"/>
    </row>
    <row r="577" spans="13:13">
      <c r="M577" s="19"/>
    </row>
    <row r="578" spans="13:13">
      <c r="M578" s="19"/>
    </row>
    <row r="579" spans="13:13">
      <c r="M579" s="19"/>
    </row>
    <row r="580" spans="13:13">
      <c r="M580" s="19"/>
    </row>
    <row r="581" spans="13:13">
      <c r="M581" s="19"/>
    </row>
    <row r="582" spans="13:13">
      <c r="M582" s="19"/>
    </row>
    <row r="583" spans="13:13">
      <c r="M583" s="19"/>
    </row>
    <row r="584" spans="13:13">
      <c r="M584" s="19"/>
    </row>
    <row r="585" spans="13:13">
      <c r="M585" s="19"/>
    </row>
    <row r="586" spans="13:13">
      <c r="M586" s="19"/>
    </row>
    <row r="587" spans="13:13">
      <c r="M587" s="19"/>
    </row>
    <row r="588" spans="13:13">
      <c r="M588" s="19"/>
    </row>
    <row r="589" spans="13:13">
      <c r="M589" s="19"/>
    </row>
    <row r="590" spans="13:13">
      <c r="M590" s="19"/>
    </row>
    <row r="591" spans="13:13">
      <c r="M591" s="19"/>
    </row>
    <row r="592" spans="13:13">
      <c r="M592" s="19"/>
    </row>
    <row r="593" spans="13:13">
      <c r="M593" s="19"/>
    </row>
    <row r="594" spans="13:13">
      <c r="M594" s="19"/>
    </row>
    <row r="595" spans="13:13">
      <c r="M595" s="19"/>
    </row>
    <row r="596" spans="13:13">
      <c r="M596" s="19"/>
    </row>
    <row r="597" spans="13:13">
      <c r="M597" s="19"/>
    </row>
    <row r="598" spans="13:13">
      <c r="M598" s="19"/>
    </row>
    <row r="599" spans="13:13">
      <c r="M599" s="19"/>
    </row>
    <row r="600" spans="13:13">
      <c r="M600" s="19"/>
    </row>
    <row r="601" spans="13:13">
      <c r="M601" s="19"/>
    </row>
    <row r="602" spans="13:13">
      <c r="M602" s="19"/>
    </row>
    <row r="603" spans="13:13">
      <c r="M603" s="19"/>
    </row>
    <row r="604" spans="13:13">
      <c r="M604" s="19"/>
    </row>
    <row r="605" spans="13:13">
      <c r="M605" s="19"/>
    </row>
    <row r="606" spans="13:13">
      <c r="M606" s="19"/>
    </row>
    <row r="607" spans="13:13">
      <c r="M607" s="19"/>
    </row>
    <row r="608" spans="13:13">
      <c r="M608" s="19"/>
    </row>
    <row r="609" spans="13:13">
      <c r="M609" s="19"/>
    </row>
    <row r="610" spans="13:13">
      <c r="M610" s="19"/>
    </row>
    <row r="611" spans="13:13">
      <c r="M611" s="19"/>
    </row>
    <row r="612" spans="13:13">
      <c r="M612" s="19"/>
    </row>
    <row r="613" spans="13:13">
      <c r="M613" s="19"/>
    </row>
    <row r="614" spans="13:13">
      <c r="M614" s="19"/>
    </row>
    <row r="615" spans="13:13">
      <c r="M615" s="19"/>
    </row>
    <row r="616" spans="13:13">
      <c r="M616" s="19"/>
    </row>
    <row r="617" spans="13:13">
      <c r="M617" s="19"/>
    </row>
    <row r="618" spans="13:13">
      <c r="M618" s="19"/>
    </row>
    <row r="619" spans="13:13">
      <c r="M619" s="19"/>
    </row>
    <row r="620" spans="13:13">
      <c r="M620" s="19"/>
    </row>
    <row r="621" spans="13:13">
      <c r="M621" s="19"/>
    </row>
    <row r="622" spans="13:13">
      <c r="M622" s="19"/>
    </row>
    <row r="623" spans="13:13">
      <c r="M623" s="19"/>
    </row>
    <row r="624" spans="13:13">
      <c r="M624" s="19"/>
    </row>
    <row r="625" spans="13:13">
      <c r="M625" s="19"/>
    </row>
    <row r="626" spans="13:13">
      <c r="M626" s="19"/>
    </row>
    <row r="627" spans="13:13">
      <c r="M627" s="19"/>
    </row>
    <row r="628" spans="13:13">
      <c r="M628" s="19"/>
    </row>
    <row r="629" spans="13:13">
      <c r="M629" s="19"/>
    </row>
    <row r="630" spans="13:13">
      <c r="M630" s="19"/>
    </row>
    <row r="631" spans="13:13">
      <c r="M631" s="19"/>
    </row>
    <row r="632" spans="13:13">
      <c r="M632" s="19"/>
    </row>
    <row r="633" spans="13:13">
      <c r="M633" s="19"/>
    </row>
    <row r="634" spans="13:13">
      <c r="M634" s="19"/>
    </row>
    <row r="635" spans="13:13">
      <c r="M635" s="19"/>
    </row>
    <row r="636" spans="13:13">
      <c r="M636" s="19"/>
    </row>
    <row r="637" spans="13:13">
      <c r="M637" s="19"/>
    </row>
    <row r="638" spans="13:13">
      <c r="M638" s="19"/>
    </row>
    <row r="639" spans="13:13">
      <c r="M639" s="19"/>
    </row>
    <row r="640" spans="13:13">
      <c r="M640" s="19"/>
    </row>
    <row r="641" spans="13:13">
      <c r="M641" s="19"/>
    </row>
    <row r="642" spans="13:13">
      <c r="M642" s="19"/>
    </row>
    <row r="643" spans="13:13">
      <c r="M643" s="19"/>
    </row>
    <row r="644" spans="13:13">
      <c r="M644" s="19"/>
    </row>
    <row r="645" spans="13:13">
      <c r="M645" s="19"/>
    </row>
    <row r="646" spans="13:13">
      <c r="M646" s="19"/>
    </row>
    <row r="647" spans="13:13">
      <c r="M647" s="19"/>
    </row>
    <row r="648" spans="13:13">
      <c r="M648" s="19"/>
    </row>
    <row r="649" spans="13:13">
      <c r="M649" s="19"/>
    </row>
    <row r="650" spans="13:13">
      <c r="M650" s="19"/>
    </row>
    <row r="651" spans="13:13">
      <c r="M651" s="19"/>
    </row>
    <row r="652" spans="13:13">
      <c r="M652" s="19"/>
    </row>
    <row r="653" spans="13:13">
      <c r="M653" s="19"/>
    </row>
    <row r="654" spans="13:13">
      <c r="M654" s="19"/>
    </row>
    <row r="655" spans="13:13">
      <c r="M655" s="19"/>
    </row>
    <row r="656" spans="13:13">
      <c r="M656" s="19"/>
    </row>
    <row r="657" spans="13:13">
      <c r="M657" s="19"/>
    </row>
    <row r="658" spans="13:13">
      <c r="M658" s="19"/>
    </row>
    <row r="659" spans="13:13">
      <c r="M659" s="19"/>
    </row>
    <row r="660" spans="13:13">
      <c r="M660" s="19"/>
    </row>
    <row r="661" spans="13:13">
      <c r="M661" s="19"/>
    </row>
    <row r="662" spans="13:13">
      <c r="M662" s="19"/>
    </row>
    <row r="663" spans="13:13">
      <c r="M663" s="19"/>
    </row>
    <row r="664" spans="13:13">
      <c r="M664" s="19"/>
    </row>
    <row r="665" spans="13:13">
      <c r="M665" s="19"/>
    </row>
    <row r="666" spans="13:13">
      <c r="M666" s="19"/>
    </row>
    <row r="667" spans="13:13">
      <c r="M667" s="19"/>
    </row>
    <row r="668" spans="13:13">
      <c r="M668" s="19"/>
    </row>
    <row r="669" spans="13:13">
      <c r="M669" s="19"/>
    </row>
    <row r="670" spans="13:13">
      <c r="M670" s="19"/>
    </row>
    <row r="671" spans="13:13">
      <c r="M671" s="19"/>
    </row>
    <row r="672" spans="13:13">
      <c r="M672" s="19"/>
    </row>
    <row r="673" spans="13:13">
      <c r="M673" s="19"/>
    </row>
    <row r="674" spans="13:13">
      <c r="M674" s="19"/>
    </row>
    <row r="675" spans="13:13">
      <c r="M675" s="19"/>
    </row>
    <row r="676" spans="13:13">
      <c r="M676" s="19"/>
    </row>
    <row r="677" spans="13:13">
      <c r="M677" s="19"/>
    </row>
    <row r="678" spans="13:13">
      <c r="M678" s="19"/>
    </row>
    <row r="679" spans="13:13">
      <c r="M679" s="19"/>
    </row>
    <row r="680" spans="13:13">
      <c r="M680" s="19"/>
    </row>
    <row r="681" spans="13:13">
      <c r="M681" s="19"/>
    </row>
    <row r="682" spans="13:13">
      <c r="M682" s="19"/>
    </row>
    <row r="683" spans="13:13">
      <c r="M683" s="19"/>
    </row>
    <row r="684" spans="13:13">
      <c r="M684" s="19"/>
    </row>
    <row r="685" spans="13:13">
      <c r="M685" s="19"/>
    </row>
    <row r="686" spans="13:13">
      <c r="M686" s="19"/>
    </row>
    <row r="687" spans="13:13">
      <c r="M687" s="19"/>
    </row>
    <row r="688" spans="13:13">
      <c r="M688" s="19"/>
    </row>
    <row r="689" spans="13:13">
      <c r="M689" s="19"/>
    </row>
    <row r="690" spans="13:13">
      <c r="M690" s="19"/>
    </row>
    <row r="691" spans="13:13">
      <c r="M691" s="19"/>
    </row>
    <row r="692" spans="13:13">
      <c r="M692" s="19"/>
    </row>
    <row r="693" spans="13:13">
      <c r="M693" s="19"/>
    </row>
    <row r="694" spans="13:13">
      <c r="M694" s="19"/>
    </row>
    <row r="695" spans="13:13">
      <c r="M695" s="19"/>
    </row>
    <row r="696" spans="13:13">
      <c r="M696" s="19"/>
    </row>
    <row r="697" spans="13:13">
      <c r="M697" s="19"/>
    </row>
    <row r="698" spans="13:13">
      <c r="M698" s="19"/>
    </row>
    <row r="699" spans="13:13">
      <c r="M699" s="19"/>
    </row>
    <row r="700" spans="13:13">
      <c r="M700" s="19"/>
    </row>
    <row r="701" spans="13:13">
      <c r="M701" s="19"/>
    </row>
    <row r="702" spans="13:13">
      <c r="M702" s="19"/>
    </row>
    <row r="703" spans="13:13">
      <c r="M703" s="19"/>
    </row>
    <row r="704" spans="13:13">
      <c r="M704" s="19"/>
    </row>
    <row r="705" spans="13:13">
      <c r="M705" s="19"/>
    </row>
    <row r="706" spans="13:13">
      <c r="M706" s="19"/>
    </row>
    <row r="707" spans="13:13">
      <c r="M707" s="19"/>
    </row>
    <row r="708" spans="13:13">
      <c r="M708" s="19"/>
    </row>
    <row r="709" spans="13:13">
      <c r="M709" s="19"/>
    </row>
    <row r="710" spans="13:13">
      <c r="M710" s="19"/>
    </row>
    <row r="711" spans="13:13">
      <c r="M711" s="19"/>
    </row>
    <row r="712" spans="13:13">
      <c r="M712" s="19"/>
    </row>
    <row r="713" spans="13:13">
      <c r="M713" s="19"/>
    </row>
    <row r="714" spans="13:13">
      <c r="M714" s="19"/>
    </row>
    <row r="715" spans="13:13">
      <c r="M715" s="19"/>
    </row>
    <row r="716" spans="13:13">
      <c r="M716" s="19"/>
    </row>
    <row r="717" spans="13:13">
      <c r="M717" s="19"/>
    </row>
    <row r="718" spans="13:13">
      <c r="M718" s="19"/>
    </row>
    <row r="719" spans="13:13">
      <c r="M719" s="19"/>
    </row>
    <row r="720" spans="13:13">
      <c r="M720" s="19"/>
    </row>
    <row r="721" spans="13:13">
      <c r="M721" s="19"/>
    </row>
    <row r="722" spans="13:13">
      <c r="M722" s="19"/>
    </row>
    <row r="723" spans="13:13">
      <c r="M723" s="19"/>
    </row>
    <row r="724" spans="13:13">
      <c r="M724" s="19"/>
    </row>
    <row r="725" spans="13:13">
      <c r="M725" s="19"/>
    </row>
    <row r="726" spans="13:13">
      <c r="M726" s="19"/>
    </row>
    <row r="727" spans="13:13">
      <c r="M727" s="19"/>
    </row>
    <row r="728" spans="13:13">
      <c r="M728" s="19"/>
    </row>
    <row r="729" spans="13:13">
      <c r="M729" s="19"/>
    </row>
    <row r="730" spans="13:13">
      <c r="M730" s="19"/>
    </row>
    <row r="731" spans="13:13">
      <c r="M731" s="19"/>
    </row>
    <row r="732" spans="13:13">
      <c r="M732" s="19"/>
    </row>
    <row r="733" spans="13:13">
      <c r="M733" s="19"/>
    </row>
    <row r="734" spans="13:13">
      <c r="M734" s="19"/>
    </row>
    <row r="735" spans="13:13">
      <c r="M735" s="19"/>
    </row>
    <row r="736" spans="13:13">
      <c r="M736" s="19"/>
    </row>
    <row r="737" spans="13:13">
      <c r="M737" s="19"/>
    </row>
    <row r="738" spans="13:13">
      <c r="M738" s="19"/>
    </row>
    <row r="739" spans="13:13">
      <c r="M739" s="19"/>
    </row>
    <row r="740" spans="13:13">
      <c r="M740" s="19"/>
    </row>
    <row r="741" spans="13:13">
      <c r="M741" s="19"/>
    </row>
  </sheetData>
  <sheetProtection algorithmName="SHA-512" hashValue="38PVJq8bRsX2FY1mUlwara3IYaC8Nk61woalBOQjpwW2zE605dFv6fT6M6M9KVgiXPIcm9VWH8zvvfsu2u2ZsQ==" saltValue="PtPqyW8EYi6LuFAACwXfaA==" spinCount="100000" sheet="1" objects="1" scenarios="1"/>
  <mergeCells count="1">
    <mergeCell ref="J1:L1"/>
  </mergeCells>
  <pageMargins left="0.75" right="0.75" top="1" bottom="1" header="0.5" footer="0.5"/>
  <pageSetup orientation="portrait" horizontalDpi="4294967292" verticalDpi="4294967292"/>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pageSetUpPr fitToPage="1"/>
  </sheetPr>
  <dimension ref="A1:V396"/>
  <sheetViews>
    <sheetView topLeftCell="M1" workbookViewId="0">
      <selection activeCell="V24" sqref="V24"/>
    </sheetView>
  </sheetViews>
  <sheetFormatPr defaultColWidth="11" defaultRowHeight="15.75"/>
  <cols>
    <col min="1" max="1" width="25.625" customWidth="1"/>
    <col min="2" max="2" width="15.125" bestFit="1" customWidth="1"/>
    <col min="3" max="9" width="12.5" bestFit="1" customWidth="1"/>
    <col min="10" max="12" width="13.875" customWidth="1"/>
    <col min="13" max="13" width="11" style="190"/>
    <col min="22" max="22" width="78.5" customWidth="1"/>
    <col min="24" max="24" width="47.375" customWidth="1"/>
  </cols>
  <sheetData>
    <row r="1" spans="1:14" ht="18.75">
      <c r="A1" s="37" t="s">
        <v>94</v>
      </c>
      <c r="J1" s="494" t="s">
        <v>215</v>
      </c>
      <c r="K1" s="494"/>
      <c r="L1" s="494"/>
    </row>
    <row r="2" spans="1:14">
      <c r="A2" s="2"/>
    </row>
    <row r="3" spans="1:14">
      <c r="A3" s="2"/>
      <c r="B3" s="82" t="s">
        <v>61</v>
      </c>
      <c r="C3" s="82" t="s">
        <v>61</v>
      </c>
      <c r="D3" s="82" t="s">
        <v>61</v>
      </c>
      <c r="E3" s="82" t="s">
        <v>61</v>
      </c>
      <c r="F3" s="82" t="s">
        <v>61</v>
      </c>
      <c r="G3" s="82" t="s">
        <v>61</v>
      </c>
      <c r="H3" s="82" t="s">
        <v>61</v>
      </c>
      <c r="I3" s="82" t="s">
        <v>61</v>
      </c>
      <c r="J3" s="82" t="s">
        <v>61</v>
      </c>
      <c r="K3" s="82" t="s">
        <v>61</v>
      </c>
      <c r="L3" s="82" t="s">
        <v>61</v>
      </c>
    </row>
    <row r="4" spans="1:14">
      <c r="A4" s="2"/>
      <c r="B4" s="30" t="s">
        <v>57</v>
      </c>
      <c r="C4" s="30" t="s">
        <v>57</v>
      </c>
      <c r="D4" s="30" t="s">
        <v>57</v>
      </c>
      <c r="E4" s="30" t="s">
        <v>57</v>
      </c>
      <c r="F4" s="30" t="s">
        <v>57</v>
      </c>
      <c r="G4" s="30" t="s">
        <v>57</v>
      </c>
      <c r="H4" s="30" t="s">
        <v>57</v>
      </c>
      <c r="I4" s="30" t="s">
        <v>57</v>
      </c>
      <c r="J4" s="30" t="s">
        <v>57</v>
      </c>
      <c r="K4" s="30" t="s">
        <v>202</v>
      </c>
      <c r="L4" s="30" t="s">
        <v>58</v>
      </c>
    </row>
    <row r="5" spans="1:14" ht="18.75">
      <c r="A5" s="93" t="s">
        <v>98</v>
      </c>
      <c r="B5" s="254">
        <v>2009</v>
      </c>
      <c r="C5" s="254">
        <v>2010</v>
      </c>
      <c r="D5" s="254">
        <v>2011</v>
      </c>
      <c r="E5" s="254">
        <v>2012</v>
      </c>
      <c r="F5" s="254">
        <v>2013</v>
      </c>
      <c r="G5" s="254">
        <v>2014</v>
      </c>
      <c r="H5" s="254">
        <v>2015</v>
      </c>
      <c r="I5" s="254">
        <v>2016</v>
      </c>
      <c r="J5" s="254">
        <v>2017</v>
      </c>
      <c r="K5" s="254">
        <v>2018</v>
      </c>
      <c r="L5" s="254">
        <v>2019</v>
      </c>
      <c r="M5" s="195"/>
      <c r="N5" s="2"/>
    </row>
    <row r="6" spans="1:14">
      <c r="A6" s="10" t="s">
        <v>100</v>
      </c>
      <c r="B6" s="32">
        <v>394398</v>
      </c>
      <c r="C6" s="32">
        <v>2163129</v>
      </c>
      <c r="D6" s="32">
        <v>3607144</v>
      </c>
      <c r="E6" s="32">
        <v>3728933</v>
      </c>
      <c r="F6" s="32">
        <v>4221458</v>
      </c>
      <c r="G6" s="32">
        <v>4730495</v>
      </c>
      <c r="H6" s="32">
        <v>4677191</v>
      </c>
      <c r="I6" s="32">
        <v>5095808</v>
      </c>
      <c r="J6" s="32">
        <v>5350158</v>
      </c>
      <c r="K6" s="32">
        <v>5736967</v>
      </c>
      <c r="L6" s="32">
        <v>570937</v>
      </c>
      <c r="M6" s="174"/>
      <c r="N6" s="3"/>
    </row>
    <row r="7" spans="1:14">
      <c r="A7" s="96" t="s">
        <v>93</v>
      </c>
      <c r="B7" s="32">
        <v>2327974</v>
      </c>
      <c r="C7" s="32">
        <v>2626405</v>
      </c>
      <c r="D7" s="32">
        <v>0</v>
      </c>
      <c r="E7" s="32">
        <v>0</v>
      </c>
      <c r="F7" s="32">
        <v>0</v>
      </c>
      <c r="G7" s="32">
        <v>0</v>
      </c>
      <c r="H7" s="32">
        <v>0</v>
      </c>
      <c r="I7" s="32">
        <v>0</v>
      </c>
      <c r="J7" s="32">
        <v>0</v>
      </c>
      <c r="K7" s="32">
        <v>0</v>
      </c>
      <c r="L7" s="32">
        <v>0</v>
      </c>
      <c r="M7" s="174"/>
      <c r="N7" s="3"/>
    </row>
    <row r="8" spans="1:14">
      <c r="A8" s="94" t="s">
        <v>101</v>
      </c>
      <c r="B8" s="32">
        <v>0</v>
      </c>
      <c r="C8" s="32">
        <v>0</v>
      </c>
      <c r="D8" s="32">
        <v>0</v>
      </c>
      <c r="E8" s="32">
        <v>0</v>
      </c>
      <c r="F8" s="32">
        <v>0</v>
      </c>
      <c r="G8" s="32">
        <v>0</v>
      </c>
      <c r="H8" s="32">
        <v>0</v>
      </c>
      <c r="I8" s="32">
        <v>0</v>
      </c>
      <c r="J8" s="32">
        <v>0</v>
      </c>
      <c r="K8" s="32">
        <v>0</v>
      </c>
      <c r="L8" s="32">
        <v>0</v>
      </c>
      <c r="M8" s="174"/>
      <c r="N8" s="3"/>
    </row>
    <row r="9" spans="1:14">
      <c r="A9" s="73" t="s">
        <v>83</v>
      </c>
      <c r="B9" s="32">
        <v>0</v>
      </c>
      <c r="C9" s="32">
        <v>0</v>
      </c>
      <c r="D9" s="32">
        <v>0</v>
      </c>
      <c r="E9" s="32">
        <v>0</v>
      </c>
      <c r="F9" s="32">
        <v>0</v>
      </c>
      <c r="G9" s="32">
        <v>0</v>
      </c>
      <c r="H9" s="32">
        <v>0</v>
      </c>
      <c r="I9" s="32">
        <v>0</v>
      </c>
      <c r="J9" s="32">
        <v>0</v>
      </c>
      <c r="K9" s="32">
        <v>0</v>
      </c>
      <c r="L9" s="32">
        <v>0</v>
      </c>
      <c r="M9" s="174"/>
      <c r="N9" s="3"/>
    </row>
    <row r="10" spans="1:14" ht="16.5" thickBot="1">
      <c r="A10" s="39"/>
      <c r="B10" s="125">
        <v>0</v>
      </c>
      <c r="C10" s="125">
        <v>0</v>
      </c>
      <c r="D10" s="125">
        <v>0</v>
      </c>
      <c r="E10" s="125">
        <v>0</v>
      </c>
      <c r="F10" s="125">
        <v>0</v>
      </c>
      <c r="G10" s="125">
        <v>0</v>
      </c>
      <c r="H10" s="125">
        <v>0</v>
      </c>
      <c r="I10" s="125">
        <v>0</v>
      </c>
      <c r="J10" s="125">
        <v>0</v>
      </c>
      <c r="K10" s="125">
        <v>0</v>
      </c>
      <c r="L10" s="125">
        <v>0</v>
      </c>
      <c r="M10" s="195"/>
      <c r="N10" s="2"/>
    </row>
    <row r="11" spans="1:14">
      <c r="A11" s="95" t="s">
        <v>108</v>
      </c>
      <c r="B11" s="32">
        <f>SUM(B6:B9)</f>
        <v>2722372</v>
      </c>
      <c r="C11" s="32">
        <f t="shared" ref="C11:L11" si="0">SUM(C6:C9)</f>
        <v>4789534</v>
      </c>
      <c r="D11" s="32">
        <f t="shared" si="0"/>
        <v>3607144</v>
      </c>
      <c r="E11" s="32">
        <f t="shared" si="0"/>
        <v>3728933</v>
      </c>
      <c r="F11" s="32">
        <f t="shared" si="0"/>
        <v>4221458</v>
      </c>
      <c r="G11" s="32">
        <f t="shared" si="0"/>
        <v>4730495</v>
      </c>
      <c r="H11" s="32">
        <f t="shared" si="0"/>
        <v>4677191</v>
      </c>
      <c r="I11" s="32">
        <f t="shared" si="0"/>
        <v>5095808</v>
      </c>
      <c r="J11" s="32">
        <f t="shared" si="0"/>
        <v>5350158</v>
      </c>
      <c r="K11" s="32">
        <f t="shared" si="0"/>
        <v>5736967</v>
      </c>
      <c r="L11" s="32">
        <f t="shared" si="0"/>
        <v>570937</v>
      </c>
      <c r="M11" s="195"/>
      <c r="N11" s="2"/>
    </row>
    <row r="12" spans="1:14">
      <c r="A12" s="2"/>
      <c r="B12" s="31"/>
      <c r="C12" s="31"/>
      <c r="D12" s="31"/>
      <c r="E12" s="31"/>
      <c r="F12" s="31"/>
      <c r="G12" s="31"/>
      <c r="H12" s="31"/>
      <c r="I12" s="31"/>
      <c r="J12" s="31"/>
      <c r="K12" s="31"/>
      <c r="L12" s="31"/>
      <c r="M12" s="195"/>
      <c r="N12" s="2"/>
    </row>
    <row r="13" spans="1:14">
      <c r="A13" s="88"/>
      <c r="B13" s="32"/>
      <c r="C13" s="32"/>
      <c r="D13" s="32"/>
      <c r="E13" s="32"/>
      <c r="F13" s="32"/>
      <c r="G13" s="32"/>
      <c r="H13" s="32"/>
      <c r="I13" s="32"/>
      <c r="J13" s="32"/>
      <c r="K13" s="32"/>
      <c r="L13" s="32"/>
      <c r="M13" s="195"/>
      <c r="N13" s="2"/>
    </row>
    <row r="14" spans="1:14" ht="18.75">
      <c r="A14" s="93" t="s">
        <v>73</v>
      </c>
      <c r="B14" s="254">
        <v>2009</v>
      </c>
      <c r="C14" s="254">
        <v>2010</v>
      </c>
      <c r="D14" s="254">
        <v>2011</v>
      </c>
      <c r="E14" s="254">
        <v>2012</v>
      </c>
      <c r="F14" s="254">
        <v>2013</v>
      </c>
      <c r="G14" s="254">
        <v>2014</v>
      </c>
      <c r="H14" s="254">
        <v>2015</v>
      </c>
      <c r="I14" s="254">
        <v>2016</v>
      </c>
      <c r="J14" s="254">
        <v>2017</v>
      </c>
      <c r="K14" s="254">
        <v>2018</v>
      </c>
      <c r="L14" s="254">
        <v>2019</v>
      </c>
      <c r="M14" s="195"/>
      <c r="N14" s="2"/>
    </row>
    <row r="15" spans="1:14">
      <c r="A15" s="10" t="s">
        <v>100</v>
      </c>
      <c r="B15" s="3">
        <v>1730612</v>
      </c>
      <c r="C15" s="3">
        <v>1311393</v>
      </c>
      <c r="D15" s="3">
        <v>3607144</v>
      </c>
      <c r="E15" s="3">
        <v>3728933</v>
      </c>
      <c r="F15" s="3">
        <v>4221458</v>
      </c>
      <c r="G15" s="3">
        <v>4730495</v>
      </c>
      <c r="H15" s="3">
        <v>4677191</v>
      </c>
      <c r="I15" s="3">
        <v>5095909</v>
      </c>
      <c r="J15" s="3">
        <v>5963225</v>
      </c>
      <c r="K15" s="3">
        <v>6881917</v>
      </c>
      <c r="L15" s="3">
        <v>5795486</v>
      </c>
      <c r="M15" s="196"/>
      <c r="N15" s="10"/>
    </row>
    <row r="16" spans="1:14">
      <c r="A16" s="96" t="s">
        <v>93</v>
      </c>
      <c r="B16" s="3">
        <v>0</v>
      </c>
      <c r="C16" s="3">
        <v>0</v>
      </c>
      <c r="D16" s="3">
        <v>0</v>
      </c>
      <c r="E16" s="3">
        <v>0</v>
      </c>
      <c r="F16" s="3">
        <v>0</v>
      </c>
      <c r="G16" s="3">
        <v>0</v>
      </c>
      <c r="H16" s="3">
        <v>0</v>
      </c>
      <c r="I16" s="3">
        <v>0</v>
      </c>
      <c r="J16" s="3">
        <v>0</v>
      </c>
      <c r="K16" s="3">
        <v>0</v>
      </c>
      <c r="L16" s="3">
        <v>0</v>
      </c>
    </row>
    <row r="17" spans="1:22">
      <c r="A17" s="94" t="s">
        <v>101</v>
      </c>
      <c r="B17" s="3">
        <v>1969044</v>
      </c>
      <c r="C17" s="3">
        <v>1851784</v>
      </c>
      <c r="D17" s="3">
        <v>0</v>
      </c>
      <c r="E17" s="3">
        <v>0</v>
      </c>
      <c r="F17" s="3">
        <v>0</v>
      </c>
      <c r="G17" s="3">
        <v>0</v>
      </c>
      <c r="H17" s="3">
        <v>0</v>
      </c>
      <c r="I17" s="3">
        <v>0</v>
      </c>
      <c r="J17" s="3">
        <v>0</v>
      </c>
      <c r="K17" s="3">
        <v>0</v>
      </c>
      <c r="L17" s="3">
        <v>0</v>
      </c>
    </row>
    <row r="18" spans="1:22">
      <c r="A18" s="73" t="s">
        <v>83</v>
      </c>
      <c r="B18" s="1">
        <v>0</v>
      </c>
      <c r="C18" s="1">
        <v>0</v>
      </c>
      <c r="D18" s="1">
        <v>0</v>
      </c>
      <c r="E18" s="1">
        <v>0</v>
      </c>
      <c r="F18" s="1">
        <v>0</v>
      </c>
      <c r="G18" s="1">
        <v>0</v>
      </c>
      <c r="H18" s="1">
        <v>0</v>
      </c>
      <c r="I18" s="1">
        <v>0</v>
      </c>
      <c r="J18" s="1">
        <v>0</v>
      </c>
      <c r="K18" s="1">
        <v>0</v>
      </c>
      <c r="L18" s="1">
        <v>0</v>
      </c>
      <c r="M18" s="173"/>
      <c r="N18" s="1"/>
    </row>
    <row r="19" spans="1:22" ht="16.5" thickBot="1">
      <c r="A19" s="153" t="s">
        <v>157</v>
      </c>
      <c r="B19" s="69"/>
      <c r="C19" s="69"/>
      <c r="D19" s="69"/>
      <c r="E19" s="69"/>
      <c r="F19" s="69"/>
      <c r="G19" s="69"/>
      <c r="H19" s="69"/>
      <c r="I19" s="69"/>
      <c r="J19" s="69"/>
      <c r="K19" s="69"/>
      <c r="L19" s="69"/>
      <c r="M19" s="173"/>
      <c r="N19" s="1"/>
    </row>
    <row r="20" spans="1:22">
      <c r="A20" s="95" t="s">
        <v>119</v>
      </c>
      <c r="B20" s="1">
        <f t="shared" ref="B20:L20" si="1">SUM(B15:B18)</f>
        <v>3699656</v>
      </c>
      <c r="C20" s="1">
        <f t="shared" si="1"/>
        <v>3163177</v>
      </c>
      <c r="D20" s="1">
        <f t="shared" si="1"/>
        <v>3607144</v>
      </c>
      <c r="E20" s="1">
        <f t="shared" si="1"/>
        <v>3728933</v>
      </c>
      <c r="F20" s="1">
        <f t="shared" si="1"/>
        <v>4221458</v>
      </c>
      <c r="G20" s="1">
        <f t="shared" si="1"/>
        <v>4730495</v>
      </c>
      <c r="H20" s="1">
        <f t="shared" si="1"/>
        <v>4677191</v>
      </c>
      <c r="I20" s="1">
        <f t="shared" si="1"/>
        <v>5095909</v>
      </c>
      <c r="J20" s="1">
        <f t="shared" si="1"/>
        <v>5963225</v>
      </c>
      <c r="K20" s="1">
        <f t="shared" si="1"/>
        <v>6881917</v>
      </c>
      <c r="L20" s="1">
        <f t="shared" si="1"/>
        <v>5795486</v>
      </c>
      <c r="M20" s="173"/>
      <c r="N20" s="1"/>
    </row>
    <row r="21" spans="1:22" ht="18.75">
      <c r="A21" s="223"/>
      <c r="B21" s="173"/>
      <c r="C21" s="173"/>
      <c r="D21" s="173"/>
      <c r="E21" s="173"/>
      <c r="F21" s="173"/>
      <c r="G21" s="173"/>
      <c r="H21" s="173"/>
      <c r="I21" s="173"/>
      <c r="J21" s="173"/>
      <c r="K21" s="173"/>
      <c r="L21" s="173"/>
      <c r="M21" s="173"/>
      <c r="N21" s="1"/>
    </row>
    <row r="22" spans="1:22">
      <c r="M22" s="173"/>
      <c r="N22" s="1"/>
      <c r="V22" s="250"/>
    </row>
    <row r="23" spans="1:22">
      <c r="M23" s="173"/>
      <c r="N23" s="1"/>
      <c r="V23" s="250"/>
    </row>
    <row r="24" spans="1:22">
      <c r="B24" s="254">
        <v>2009</v>
      </c>
      <c r="C24" s="254">
        <v>2010</v>
      </c>
      <c r="D24" s="254">
        <v>2011</v>
      </c>
      <c r="E24" s="254">
        <v>2012</v>
      </c>
      <c r="F24" s="254">
        <v>2013</v>
      </c>
      <c r="G24" s="254">
        <v>2014</v>
      </c>
      <c r="H24" s="254">
        <v>2015</v>
      </c>
      <c r="I24" s="254">
        <v>2016</v>
      </c>
      <c r="J24" s="254">
        <v>2017</v>
      </c>
      <c r="K24" s="254">
        <v>2018</v>
      </c>
      <c r="L24" s="254">
        <v>2019</v>
      </c>
      <c r="M24" s="173"/>
      <c r="N24" s="1"/>
      <c r="V24" s="250"/>
    </row>
    <row r="25" spans="1:22">
      <c r="A25" s="2" t="s">
        <v>203</v>
      </c>
      <c r="B25" s="8">
        <f t="shared" ref="B25:L25" si="2">+B15/B26</f>
        <v>27.39957569424654</v>
      </c>
      <c r="C25" s="8">
        <f t="shared" si="2"/>
        <v>19.358640134628445</v>
      </c>
      <c r="D25" s="8">
        <f t="shared" si="2"/>
        <v>52.459155626008929</v>
      </c>
      <c r="E25" s="8">
        <f t="shared" si="2"/>
        <v>53.776741033443415</v>
      </c>
      <c r="F25" s="8">
        <f t="shared" si="2"/>
        <v>59.98945573397755</v>
      </c>
      <c r="G25" s="8">
        <f t="shared" si="2"/>
        <v>66.60136286201022</v>
      </c>
      <c r="H25" s="8">
        <f t="shared" si="2"/>
        <v>63.704590029964585</v>
      </c>
      <c r="I25" s="8">
        <f t="shared" si="2"/>
        <v>68.507212475633523</v>
      </c>
      <c r="J25" s="8">
        <f t="shared" si="2"/>
        <v>78.629021624472571</v>
      </c>
      <c r="K25" s="8">
        <f t="shared" si="2"/>
        <v>89.072467707281717</v>
      </c>
      <c r="L25" s="8">
        <f t="shared" si="2"/>
        <v>73.379159280830592</v>
      </c>
      <c r="M25" s="173"/>
      <c r="N25" s="1"/>
      <c r="V25" s="250"/>
    </row>
    <row r="26" spans="1:22">
      <c r="A26" s="9" t="s">
        <v>21</v>
      </c>
      <c r="B26" s="12">
        <f>Stats!D4</f>
        <v>63162</v>
      </c>
      <c r="C26" s="12">
        <f>Stats!E4</f>
        <v>67742</v>
      </c>
      <c r="D26" s="12">
        <f>Stats!F4</f>
        <v>68761</v>
      </c>
      <c r="E26" s="12">
        <f>Stats!G4</f>
        <v>69341</v>
      </c>
      <c r="F26" s="12">
        <f>Stats!H4</f>
        <v>70370</v>
      </c>
      <c r="G26" s="12">
        <f>Stats!I4</f>
        <v>71027</v>
      </c>
      <c r="H26" s="12">
        <f>Stats!J4</f>
        <v>73420</v>
      </c>
      <c r="I26" s="12">
        <f>Stats!K4</f>
        <v>74385</v>
      </c>
      <c r="J26" s="12">
        <f>Stats!L4</f>
        <v>75840</v>
      </c>
      <c r="K26" s="12">
        <f>Stats!M4</f>
        <v>77262</v>
      </c>
      <c r="L26" s="12">
        <f>Stats!N4</f>
        <v>78980</v>
      </c>
      <c r="M26" s="173"/>
      <c r="N26" s="1"/>
    </row>
    <row r="27" spans="1:22">
      <c r="M27" s="173"/>
      <c r="N27" s="1"/>
    </row>
    <row r="28" spans="1:22">
      <c r="B28" s="254"/>
      <c r="C28" s="254"/>
      <c r="D28" s="254"/>
      <c r="E28" s="254"/>
      <c r="F28" s="254"/>
      <c r="G28" s="254"/>
      <c r="H28" s="254"/>
      <c r="I28" s="254"/>
      <c r="J28" s="254"/>
      <c r="K28" s="254"/>
      <c r="L28" s="254"/>
      <c r="M28" s="173"/>
      <c r="N28" s="1"/>
    </row>
    <row r="29" spans="1:22">
      <c r="A29" s="253" t="s">
        <v>159</v>
      </c>
      <c r="B29" s="1">
        <f t="shared" ref="B29:L29" si="3">+B15/B30</f>
        <v>39198.459796149495</v>
      </c>
      <c r="C29" s="1">
        <f t="shared" si="3"/>
        <v>29703.12570781427</v>
      </c>
      <c r="D29" s="1">
        <f t="shared" si="3"/>
        <v>82637.892325315013</v>
      </c>
      <c r="E29" s="1">
        <f t="shared" si="3"/>
        <v>84941.526195899773</v>
      </c>
      <c r="F29" s="1">
        <f t="shared" si="3"/>
        <v>94376.436396154706</v>
      </c>
      <c r="G29" s="1">
        <f t="shared" si="3"/>
        <v>105356.23608017818</v>
      </c>
      <c r="H29" s="1">
        <f t="shared" si="3"/>
        <v>104448.21348816436</v>
      </c>
      <c r="I29" s="1">
        <f t="shared" si="3"/>
        <v>111312.99694189602</v>
      </c>
      <c r="J29" s="1">
        <f t="shared" si="3"/>
        <v>146336.80981595092</v>
      </c>
      <c r="K29" s="1">
        <f t="shared" si="3"/>
        <v>160980.51461988303</v>
      </c>
      <c r="L29" s="1">
        <f t="shared" si="3"/>
        <v>135566.92397660817</v>
      </c>
      <c r="M29" s="173"/>
      <c r="N29" s="1"/>
    </row>
    <row r="30" spans="1:22">
      <c r="A30" s="46" t="s">
        <v>64</v>
      </c>
      <c r="B30" s="41">
        <f>+B41</f>
        <v>44.15</v>
      </c>
      <c r="C30" s="41">
        <f t="shared" ref="C30:L30" si="4">+C41</f>
        <v>44.15</v>
      </c>
      <c r="D30" s="41">
        <f t="shared" si="4"/>
        <v>43.65</v>
      </c>
      <c r="E30" s="41">
        <f t="shared" si="4"/>
        <v>43.9</v>
      </c>
      <c r="F30" s="41">
        <f t="shared" si="4"/>
        <v>44.73</v>
      </c>
      <c r="G30" s="41">
        <f t="shared" si="4"/>
        <v>44.9</v>
      </c>
      <c r="H30" s="41">
        <f t="shared" si="4"/>
        <v>44.78</v>
      </c>
      <c r="I30" s="41">
        <f t="shared" si="4"/>
        <v>45.78</v>
      </c>
      <c r="J30" s="41">
        <f t="shared" si="4"/>
        <v>40.75</v>
      </c>
      <c r="K30" s="41">
        <f t="shared" si="4"/>
        <v>42.75</v>
      </c>
      <c r="L30" s="41">
        <f t="shared" si="4"/>
        <v>42.75</v>
      </c>
      <c r="M30" s="173"/>
      <c r="N30" s="1"/>
    </row>
    <row r="31" spans="1:22">
      <c r="A31" s="190"/>
      <c r="B31" s="190"/>
      <c r="C31" s="190"/>
      <c r="D31" s="190"/>
      <c r="E31" s="190"/>
      <c r="F31" s="190"/>
      <c r="G31" s="190"/>
      <c r="H31" s="190"/>
      <c r="I31" s="190"/>
      <c r="J31" s="190"/>
      <c r="K31" s="190"/>
      <c r="L31" s="190"/>
      <c r="M31" s="173"/>
      <c r="N31" s="1"/>
      <c r="V31" s="19"/>
    </row>
    <row r="32" spans="1:22">
      <c r="A32" s="190"/>
      <c r="B32" s="190"/>
      <c r="C32" s="190"/>
      <c r="D32" s="190"/>
      <c r="E32" s="190"/>
      <c r="F32" s="190"/>
      <c r="G32" s="190"/>
      <c r="H32" s="190"/>
      <c r="I32" s="190"/>
      <c r="J32" s="190"/>
      <c r="K32" s="190"/>
      <c r="L32" s="190"/>
      <c r="M32" s="173"/>
      <c r="N32" s="1"/>
    </row>
    <row r="33" spans="1:14">
      <c r="A33" s="366"/>
      <c r="B33" s="373"/>
      <c r="C33" s="373"/>
      <c r="D33" s="373"/>
      <c r="E33" s="373"/>
      <c r="F33" s="373"/>
      <c r="G33" s="373"/>
      <c r="H33" s="373"/>
      <c r="I33" s="373"/>
      <c r="J33" s="373"/>
      <c r="K33" s="373"/>
      <c r="L33" s="373"/>
      <c r="M33" s="173"/>
      <c r="N33" s="1"/>
    </row>
    <row r="34" spans="1:14">
      <c r="A34" s="9" t="s">
        <v>63</v>
      </c>
      <c r="B34" s="15"/>
      <c r="C34" s="15"/>
      <c r="D34" s="15"/>
      <c r="E34" s="15"/>
      <c r="F34" s="15"/>
      <c r="G34" s="15"/>
      <c r="H34" s="15"/>
      <c r="I34" s="15"/>
      <c r="J34" s="15"/>
      <c r="K34" s="15"/>
      <c r="L34" s="15"/>
      <c r="M34" s="173"/>
      <c r="N34" s="1"/>
    </row>
    <row r="35" spans="1:14">
      <c r="A35" s="40" t="s">
        <v>19</v>
      </c>
      <c r="B35" s="22">
        <v>2.75</v>
      </c>
      <c r="C35" s="22">
        <v>2.75</v>
      </c>
      <c r="D35" s="22">
        <v>2.75</v>
      </c>
      <c r="E35" s="22">
        <v>2.15</v>
      </c>
      <c r="F35" s="22">
        <v>2</v>
      </c>
      <c r="G35" s="22">
        <v>2</v>
      </c>
      <c r="H35" s="22">
        <v>2</v>
      </c>
      <c r="I35" s="22">
        <v>3</v>
      </c>
      <c r="J35" s="22">
        <v>2</v>
      </c>
      <c r="K35" s="22">
        <v>2</v>
      </c>
      <c r="L35" s="22">
        <v>2</v>
      </c>
      <c r="M35" s="173"/>
      <c r="N35" s="1"/>
    </row>
    <row r="36" spans="1:14">
      <c r="A36" s="40" t="s">
        <v>231</v>
      </c>
      <c r="B36" s="22">
        <v>10</v>
      </c>
      <c r="C36" s="22">
        <v>10</v>
      </c>
      <c r="D36" s="22">
        <v>10</v>
      </c>
      <c r="E36" s="22">
        <v>9.85</v>
      </c>
      <c r="F36" s="22">
        <v>9.85</v>
      </c>
      <c r="G36" s="22">
        <v>9.65</v>
      </c>
      <c r="H36" s="22">
        <v>9.1999999999999993</v>
      </c>
      <c r="I36" s="22">
        <v>9.5</v>
      </c>
      <c r="J36" s="22">
        <v>14</v>
      </c>
      <c r="K36" s="22">
        <v>14</v>
      </c>
      <c r="L36" s="22">
        <v>14</v>
      </c>
      <c r="M36" s="173"/>
      <c r="N36" s="1"/>
    </row>
    <row r="37" spans="1:14">
      <c r="A37" s="40" t="s">
        <v>232</v>
      </c>
      <c r="B37" s="22">
        <v>0</v>
      </c>
      <c r="C37" s="22"/>
      <c r="D37" s="22">
        <v>0</v>
      </c>
      <c r="E37" s="22">
        <v>1</v>
      </c>
      <c r="F37" s="22">
        <v>1</v>
      </c>
      <c r="G37" s="22">
        <v>1.35</v>
      </c>
      <c r="H37" s="22">
        <v>1.8</v>
      </c>
      <c r="I37" s="22">
        <v>1.5</v>
      </c>
      <c r="J37" s="22">
        <v>0</v>
      </c>
      <c r="K37" s="22">
        <v>0</v>
      </c>
      <c r="L37" s="22">
        <v>0</v>
      </c>
      <c r="M37" s="173"/>
      <c r="N37" s="1"/>
    </row>
    <row r="38" spans="1:14">
      <c r="A38" s="40" t="s">
        <v>233</v>
      </c>
      <c r="B38" s="22">
        <v>2</v>
      </c>
      <c r="C38" s="22">
        <v>1</v>
      </c>
      <c r="D38" s="22">
        <v>1</v>
      </c>
      <c r="E38" s="22">
        <v>1</v>
      </c>
      <c r="F38" s="22">
        <v>2</v>
      </c>
      <c r="G38" s="22">
        <v>2</v>
      </c>
      <c r="H38" s="22">
        <v>2</v>
      </c>
      <c r="I38" s="22">
        <v>2</v>
      </c>
      <c r="J38" s="22">
        <v>2</v>
      </c>
      <c r="K38" s="22">
        <v>3</v>
      </c>
      <c r="L38" s="22">
        <v>3</v>
      </c>
      <c r="M38" s="173"/>
      <c r="N38" s="1"/>
    </row>
    <row r="39" spans="1:14">
      <c r="A39" s="40" t="s">
        <v>234</v>
      </c>
      <c r="B39" s="461">
        <f>4+25.4</f>
        <v>29.4</v>
      </c>
      <c r="C39" s="461">
        <f>5+25.4</f>
        <v>30.4</v>
      </c>
      <c r="D39" s="461">
        <v>29.9</v>
      </c>
      <c r="E39" s="461">
        <v>29.9</v>
      </c>
      <c r="F39" s="461">
        <v>29.88</v>
      </c>
      <c r="G39" s="461">
        <v>29.9</v>
      </c>
      <c r="H39" s="461">
        <v>29.78</v>
      </c>
      <c r="I39" s="461">
        <v>29.78</v>
      </c>
      <c r="J39" s="461">
        <f>5.5+17.25</f>
        <v>22.75</v>
      </c>
      <c r="K39" s="461">
        <f>5.5+18.25</f>
        <v>23.75</v>
      </c>
      <c r="L39" s="461">
        <f>18.25+5.5</f>
        <v>23.75</v>
      </c>
      <c r="M39" s="173"/>
      <c r="N39" s="1"/>
    </row>
    <row r="40" spans="1:14" ht="16.5" thickBot="1">
      <c r="A40" s="40"/>
      <c r="B40" s="35">
        <v>0</v>
      </c>
      <c r="C40" s="35"/>
      <c r="D40" s="35">
        <v>0</v>
      </c>
      <c r="E40" s="35">
        <v>0</v>
      </c>
      <c r="F40" s="35">
        <v>0</v>
      </c>
      <c r="G40" s="35">
        <v>0</v>
      </c>
      <c r="H40" s="35">
        <v>0</v>
      </c>
      <c r="I40" s="35">
        <v>0</v>
      </c>
      <c r="J40" s="35">
        <v>0</v>
      </c>
      <c r="K40" s="35">
        <v>0</v>
      </c>
      <c r="L40" s="35">
        <v>0</v>
      </c>
      <c r="M40" s="173"/>
      <c r="N40" s="1"/>
    </row>
    <row r="41" spans="1:14">
      <c r="A41" s="46" t="s">
        <v>64</v>
      </c>
      <c r="B41" s="41">
        <f t="shared" ref="B41:L41" si="5">SUM(B35:B39)</f>
        <v>44.15</v>
      </c>
      <c r="C41" s="41">
        <f t="shared" si="5"/>
        <v>44.15</v>
      </c>
      <c r="D41" s="41">
        <f t="shared" si="5"/>
        <v>43.65</v>
      </c>
      <c r="E41" s="41">
        <f t="shared" si="5"/>
        <v>43.9</v>
      </c>
      <c r="F41" s="41">
        <f t="shared" si="5"/>
        <v>44.73</v>
      </c>
      <c r="G41" s="41">
        <f t="shared" si="5"/>
        <v>44.9</v>
      </c>
      <c r="H41" s="41">
        <f t="shared" si="5"/>
        <v>44.78</v>
      </c>
      <c r="I41" s="41">
        <f t="shared" si="5"/>
        <v>45.78</v>
      </c>
      <c r="J41" s="41">
        <f t="shared" si="5"/>
        <v>40.75</v>
      </c>
      <c r="K41" s="41">
        <f t="shared" si="5"/>
        <v>42.75</v>
      </c>
      <c r="L41" s="41">
        <f t="shared" si="5"/>
        <v>42.75</v>
      </c>
      <c r="M41" s="173"/>
      <c r="N41" s="1"/>
    </row>
    <row r="42" spans="1:14">
      <c r="A42" s="392"/>
      <c r="B42" s="117"/>
      <c r="C42" s="117"/>
      <c r="D42" s="117"/>
      <c r="E42" s="117"/>
      <c r="F42" s="117"/>
      <c r="G42" s="117"/>
      <c r="H42" s="163"/>
      <c r="I42" s="163"/>
      <c r="J42" s="163"/>
      <c r="K42" s="163"/>
      <c r="L42" s="163"/>
      <c r="M42" s="173"/>
      <c r="N42" s="1"/>
    </row>
    <row r="43" spans="1:14">
      <c r="A43" s="393"/>
      <c r="B43" s="117"/>
      <c r="C43" s="117"/>
      <c r="D43" s="117"/>
      <c r="E43" s="117"/>
      <c r="F43" s="117"/>
      <c r="G43" s="117"/>
      <c r="H43" s="117"/>
      <c r="I43" s="117"/>
      <c r="J43" s="117"/>
      <c r="K43" s="117"/>
      <c r="L43" s="117"/>
      <c r="M43" s="173"/>
      <c r="N43" s="1"/>
    </row>
    <row r="44" spans="1:14">
      <c r="A44" s="363"/>
      <c r="B44" s="117"/>
      <c r="C44" s="339"/>
      <c r="D44" s="339"/>
      <c r="E44" s="339"/>
      <c r="F44" s="339"/>
      <c r="G44" s="339"/>
      <c r="H44" s="339"/>
      <c r="I44" s="339"/>
      <c r="J44" s="339"/>
      <c r="K44" s="339"/>
      <c r="L44" s="339"/>
      <c r="M44" s="173"/>
      <c r="N44" s="1"/>
    </row>
    <row r="45" spans="1:14">
      <c r="A45" s="368"/>
      <c r="B45" s="117"/>
      <c r="C45" s="117"/>
      <c r="D45" s="117"/>
      <c r="E45" s="117"/>
      <c r="F45" s="117"/>
      <c r="G45" s="117"/>
      <c r="H45" s="117"/>
      <c r="I45" s="117"/>
      <c r="J45" s="117"/>
      <c r="K45" s="117"/>
      <c r="L45" s="339"/>
      <c r="M45" s="173"/>
      <c r="N45" s="1"/>
    </row>
    <row r="46" spans="1:14">
      <c r="A46" s="163"/>
      <c r="B46" s="117"/>
      <c r="C46" s="117"/>
      <c r="D46" s="117"/>
      <c r="E46" s="117"/>
      <c r="F46" s="117"/>
      <c r="G46" s="117"/>
      <c r="H46" s="117"/>
      <c r="I46" s="117"/>
      <c r="J46" s="117"/>
      <c r="K46" s="117"/>
      <c r="L46" s="117"/>
      <c r="M46" s="173"/>
      <c r="N46" s="1"/>
    </row>
    <row r="47" spans="1:14">
      <c r="A47" s="394"/>
      <c r="B47" s="117"/>
      <c r="C47" s="117"/>
      <c r="D47" s="117"/>
      <c r="E47" s="117"/>
      <c r="F47" s="117"/>
      <c r="G47" s="117"/>
      <c r="H47" s="117"/>
      <c r="I47" s="117"/>
      <c r="J47" s="117"/>
      <c r="K47" s="117"/>
      <c r="L47" s="117"/>
      <c r="M47" s="173"/>
      <c r="N47" s="1"/>
    </row>
    <row r="48" spans="1:14">
      <c r="A48" s="359"/>
      <c r="B48" s="117"/>
      <c r="C48" s="117"/>
      <c r="D48" s="117"/>
      <c r="E48" s="117"/>
      <c r="F48" s="117"/>
      <c r="G48" s="117"/>
      <c r="H48" s="117"/>
      <c r="I48" s="117"/>
      <c r="J48" s="117"/>
      <c r="K48" s="117"/>
      <c r="L48" s="117"/>
      <c r="M48" s="173"/>
      <c r="N48" s="1"/>
    </row>
    <row r="49" spans="1:14">
      <c r="A49" s="359"/>
      <c r="B49" s="117"/>
      <c r="C49" s="117"/>
      <c r="D49" s="117"/>
      <c r="E49" s="117"/>
      <c r="F49" s="117"/>
      <c r="G49" s="117"/>
      <c r="H49" s="117"/>
      <c r="I49" s="117"/>
      <c r="J49" s="117"/>
      <c r="K49" s="117"/>
      <c r="L49" s="117"/>
      <c r="M49" s="173"/>
      <c r="N49" s="1"/>
    </row>
    <row r="50" spans="1:14">
      <c r="A50" s="163"/>
      <c r="B50" s="117"/>
      <c r="C50" s="117"/>
      <c r="D50" s="117"/>
      <c r="E50" s="117"/>
      <c r="F50" s="117"/>
      <c r="G50" s="117"/>
      <c r="H50" s="117"/>
      <c r="I50" s="117"/>
      <c r="J50" s="117"/>
      <c r="K50" s="117"/>
      <c r="L50" s="117"/>
      <c r="M50" s="173"/>
      <c r="N50" s="1"/>
    </row>
    <row r="51" spans="1:14">
      <c r="A51" s="163"/>
      <c r="B51" s="117"/>
      <c r="C51" s="117"/>
      <c r="D51" s="117"/>
      <c r="E51" s="117"/>
      <c r="F51" s="117"/>
      <c r="G51" s="117"/>
      <c r="H51" s="117"/>
      <c r="I51" s="117"/>
      <c r="J51" s="117"/>
      <c r="K51" s="117"/>
      <c r="L51" s="117"/>
      <c r="M51" s="173"/>
      <c r="N51" s="1"/>
    </row>
    <row r="52" spans="1:14">
      <c r="A52" s="357"/>
      <c r="B52" s="117"/>
      <c r="C52" s="117"/>
      <c r="D52" s="117"/>
      <c r="E52" s="117"/>
      <c r="F52" s="117"/>
      <c r="G52" s="117"/>
      <c r="H52" s="117"/>
      <c r="I52" s="117"/>
      <c r="J52" s="117"/>
      <c r="K52" s="117"/>
      <c r="L52" s="117"/>
      <c r="M52" s="173"/>
      <c r="N52" s="1"/>
    </row>
    <row r="53" spans="1:14">
      <c r="A53" s="359"/>
      <c r="B53" s="117"/>
      <c r="C53" s="117"/>
      <c r="D53" s="117"/>
      <c r="E53" s="117"/>
      <c r="F53" s="117"/>
      <c r="G53" s="117"/>
      <c r="H53" s="117"/>
      <c r="I53" s="117"/>
      <c r="J53" s="117"/>
      <c r="K53" s="117"/>
      <c r="L53" s="117"/>
      <c r="M53" s="173"/>
      <c r="N53" s="1"/>
    </row>
    <row r="54" spans="1:14">
      <c r="A54" s="359"/>
      <c r="B54" s="117"/>
      <c r="C54" s="117"/>
      <c r="D54" s="117"/>
      <c r="E54" s="117"/>
      <c r="F54" s="117"/>
      <c r="G54" s="117"/>
      <c r="H54" s="117"/>
      <c r="I54" s="117"/>
      <c r="J54" s="117"/>
      <c r="K54" s="117"/>
      <c r="L54" s="117"/>
      <c r="M54" s="173"/>
      <c r="N54" s="1"/>
    </row>
    <row r="55" spans="1:14">
      <c r="A55" s="359"/>
      <c r="B55" s="117"/>
      <c r="C55" s="117"/>
      <c r="D55" s="117"/>
      <c r="E55" s="117"/>
      <c r="F55" s="117"/>
      <c r="G55" s="117"/>
      <c r="H55" s="117"/>
      <c r="I55" s="117"/>
      <c r="J55" s="117"/>
      <c r="K55" s="117"/>
      <c r="L55" s="117"/>
      <c r="M55" s="173"/>
      <c r="N55" s="1"/>
    </row>
    <row r="56" spans="1:14">
      <c r="A56" s="163"/>
      <c r="B56" s="117"/>
      <c r="C56" s="117"/>
      <c r="D56" s="117"/>
      <c r="E56" s="117"/>
      <c r="F56" s="117"/>
      <c r="G56" s="117"/>
      <c r="H56" s="117"/>
      <c r="I56" s="117"/>
      <c r="J56" s="117"/>
      <c r="K56" s="117"/>
      <c r="L56" s="117"/>
      <c r="M56" s="173"/>
      <c r="N56" s="1"/>
    </row>
    <row r="57" spans="1:14">
      <c r="A57" s="163"/>
      <c r="B57" s="117"/>
      <c r="C57" s="117"/>
      <c r="D57" s="117"/>
      <c r="E57" s="117"/>
      <c r="F57" s="117"/>
      <c r="G57" s="117"/>
      <c r="H57" s="117"/>
      <c r="I57" s="117"/>
      <c r="J57" s="117"/>
      <c r="K57" s="117"/>
      <c r="L57" s="117"/>
      <c r="M57" s="173"/>
      <c r="N57" s="1"/>
    </row>
    <row r="58" spans="1:14">
      <c r="A58" s="356"/>
      <c r="B58" s="145"/>
      <c r="C58" s="145"/>
      <c r="D58" s="145"/>
      <c r="E58" s="145"/>
      <c r="F58" s="145"/>
      <c r="G58" s="145"/>
      <c r="H58" s="145"/>
      <c r="I58" s="145"/>
      <c r="J58" s="145"/>
      <c r="K58" s="145"/>
      <c r="L58" s="145"/>
      <c r="M58" s="173"/>
      <c r="N58" s="1"/>
    </row>
    <row r="59" spans="1:14">
      <c r="A59" s="356"/>
      <c r="B59" s="165"/>
      <c r="C59" s="165"/>
      <c r="D59" s="165"/>
      <c r="E59" s="165"/>
      <c r="F59" s="165"/>
      <c r="G59" s="165"/>
      <c r="H59" s="165"/>
      <c r="I59" s="165"/>
      <c r="J59" s="165"/>
      <c r="K59" s="165"/>
      <c r="L59" s="165"/>
      <c r="M59" s="173"/>
      <c r="N59" s="1"/>
    </row>
    <row r="60" spans="1:14">
      <c r="A60" s="371"/>
      <c r="B60" s="144"/>
      <c r="C60" s="144"/>
      <c r="D60" s="144"/>
      <c r="E60" s="144"/>
      <c r="F60" s="144"/>
      <c r="G60" s="144"/>
      <c r="H60" s="144"/>
      <c r="I60" s="144"/>
      <c r="J60" s="144"/>
      <c r="K60" s="144"/>
      <c r="L60" s="144"/>
      <c r="M60" s="173"/>
      <c r="N60" s="1"/>
    </row>
    <row r="61" spans="1:14">
      <c r="A61" s="371"/>
      <c r="B61" s="144"/>
      <c r="C61" s="144"/>
      <c r="D61" s="144"/>
      <c r="E61" s="144"/>
      <c r="F61" s="144"/>
      <c r="G61" s="144"/>
      <c r="H61" s="144"/>
      <c r="I61" s="144"/>
      <c r="J61" s="144"/>
      <c r="K61" s="144"/>
      <c r="L61" s="144"/>
      <c r="M61" s="173"/>
      <c r="N61" s="1"/>
    </row>
    <row r="62" spans="1:14">
      <c r="A62" s="371"/>
      <c r="B62" s="373"/>
      <c r="C62" s="373"/>
      <c r="D62" s="373"/>
      <c r="E62" s="373"/>
      <c r="F62" s="373"/>
      <c r="G62" s="373"/>
      <c r="H62" s="373"/>
      <c r="I62" s="373"/>
      <c r="J62" s="373"/>
      <c r="K62" s="373"/>
      <c r="L62" s="373"/>
      <c r="M62" s="173"/>
      <c r="N62" s="1"/>
    </row>
    <row r="63" spans="1:14">
      <c r="A63" s="356"/>
      <c r="B63" s="144"/>
      <c r="C63" s="144"/>
      <c r="D63" s="144"/>
      <c r="E63" s="144"/>
      <c r="F63" s="144"/>
      <c r="G63" s="144"/>
      <c r="H63" s="144"/>
      <c r="I63" s="144"/>
      <c r="J63" s="144"/>
      <c r="K63" s="144"/>
      <c r="L63" s="144"/>
      <c r="M63" s="173"/>
      <c r="N63" s="1"/>
    </row>
    <row r="64" spans="1:14">
      <c r="A64" s="356"/>
      <c r="B64" s="145"/>
      <c r="C64" s="145"/>
      <c r="D64" s="145"/>
      <c r="E64" s="145"/>
      <c r="F64" s="145"/>
      <c r="G64" s="145"/>
      <c r="H64" s="145"/>
      <c r="I64" s="145"/>
      <c r="J64" s="145"/>
      <c r="K64" s="145"/>
      <c r="L64" s="145"/>
      <c r="M64" s="173"/>
      <c r="N64" s="1"/>
    </row>
    <row r="65" spans="1:14">
      <c r="A65" s="163"/>
      <c r="B65" s="117"/>
      <c r="C65" s="117"/>
      <c r="D65" s="117"/>
      <c r="E65" s="117"/>
      <c r="F65" s="117"/>
      <c r="G65" s="117"/>
      <c r="H65" s="117"/>
      <c r="I65" s="117"/>
      <c r="J65" s="117"/>
      <c r="K65" s="117"/>
      <c r="L65" s="117"/>
      <c r="M65" s="173"/>
      <c r="N65" s="1"/>
    </row>
    <row r="66" spans="1:14">
      <c r="A66" s="163"/>
      <c r="B66" s="117"/>
      <c r="C66" s="117"/>
      <c r="D66" s="117"/>
      <c r="E66" s="117"/>
      <c r="F66" s="117"/>
      <c r="G66" s="117"/>
      <c r="H66" s="117"/>
      <c r="I66" s="117"/>
      <c r="J66" s="117"/>
      <c r="K66" s="117"/>
      <c r="L66" s="117"/>
      <c r="M66" s="173"/>
      <c r="N66" s="1"/>
    </row>
    <row r="67" spans="1:14">
      <c r="A67" s="163"/>
      <c r="B67" s="163"/>
      <c r="C67" s="163"/>
      <c r="D67" s="163"/>
      <c r="E67" s="163"/>
      <c r="F67" s="163"/>
      <c r="G67" s="163"/>
      <c r="H67" s="163"/>
      <c r="I67" s="163"/>
      <c r="J67" s="163"/>
      <c r="K67" s="163"/>
      <c r="L67" s="163"/>
      <c r="M67" s="27"/>
      <c r="N67" s="1"/>
    </row>
    <row r="68" spans="1:14">
      <c r="A68" s="357"/>
      <c r="B68" s="163"/>
      <c r="C68" s="163"/>
      <c r="D68" s="163"/>
      <c r="E68" s="163"/>
      <c r="F68" s="163"/>
      <c r="G68" s="163"/>
      <c r="H68" s="163"/>
      <c r="I68" s="163"/>
      <c r="J68" s="163"/>
      <c r="K68" s="163"/>
      <c r="L68" s="163"/>
      <c r="M68" s="27"/>
      <c r="N68" s="1"/>
    </row>
    <row r="69" spans="1:14">
      <c r="A69" s="357"/>
      <c r="B69" s="117"/>
      <c r="C69" s="117"/>
      <c r="D69" s="117"/>
      <c r="E69" s="117"/>
      <c r="F69" s="117"/>
      <c r="G69" s="117"/>
      <c r="H69" s="117"/>
      <c r="I69" s="117"/>
      <c r="J69" s="117"/>
      <c r="K69" s="117"/>
      <c r="L69" s="117"/>
      <c r="M69" s="27"/>
      <c r="N69" s="1"/>
    </row>
    <row r="70" spans="1:14">
      <c r="A70" s="357"/>
      <c r="B70" s="358"/>
      <c r="C70" s="358"/>
      <c r="D70" s="358"/>
      <c r="E70" s="358"/>
      <c r="F70" s="358"/>
      <c r="G70" s="358"/>
      <c r="H70" s="358"/>
      <c r="I70" s="358"/>
      <c r="J70" s="358"/>
      <c r="K70" s="358"/>
      <c r="L70" s="358"/>
      <c r="M70" s="27"/>
      <c r="N70" s="1"/>
    </row>
    <row r="71" spans="1:14">
      <c r="A71" s="359"/>
      <c r="B71" s="360"/>
      <c r="C71" s="360"/>
      <c r="D71" s="360"/>
      <c r="E71" s="360"/>
      <c r="F71" s="360"/>
      <c r="G71" s="360"/>
      <c r="H71" s="360"/>
      <c r="I71" s="360"/>
      <c r="J71" s="360"/>
      <c r="K71" s="360"/>
      <c r="L71" s="360"/>
      <c r="M71" s="27"/>
      <c r="N71" s="1"/>
    </row>
    <row r="72" spans="1:14">
      <c r="A72" s="359"/>
      <c r="B72" s="360"/>
      <c r="C72" s="360"/>
      <c r="D72" s="360"/>
      <c r="E72" s="360"/>
      <c r="F72" s="360"/>
      <c r="G72" s="360"/>
      <c r="H72" s="360"/>
      <c r="I72" s="360"/>
      <c r="J72" s="360"/>
      <c r="K72" s="360"/>
      <c r="L72" s="360"/>
      <c r="M72" s="19"/>
    </row>
    <row r="73" spans="1:14">
      <c r="A73" s="359"/>
      <c r="B73" s="360"/>
      <c r="C73" s="360"/>
      <c r="D73" s="360"/>
      <c r="E73" s="360"/>
      <c r="F73" s="360"/>
      <c r="G73" s="360"/>
      <c r="H73" s="360"/>
      <c r="I73" s="360"/>
      <c r="J73" s="360"/>
      <c r="K73" s="360"/>
      <c r="L73" s="360"/>
      <c r="M73" s="27"/>
      <c r="N73" s="1"/>
    </row>
    <row r="74" spans="1:14">
      <c r="A74" s="359"/>
      <c r="B74" s="360"/>
      <c r="C74" s="360"/>
      <c r="D74" s="360"/>
      <c r="E74" s="360"/>
      <c r="F74" s="360"/>
      <c r="G74" s="360"/>
      <c r="H74" s="360"/>
      <c r="I74" s="360"/>
      <c r="J74" s="360"/>
      <c r="K74" s="360"/>
      <c r="L74" s="360"/>
      <c r="M74" s="27"/>
      <c r="N74" s="1"/>
    </row>
    <row r="75" spans="1:14">
      <c r="A75" s="359"/>
      <c r="B75" s="360"/>
      <c r="C75" s="360"/>
      <c r="D75" s="360"/>
      <c r="E75" s="360"/>
      <c r="F75" s="360"/>
      <c r="G75" s="360"/>
      <c r="H75" s="360"/>
      <c r="I75" s="360"/>
      <c r="J75" s="360"/>
      <c r="K75" s="360"/>
      <c r="L75" s="360"/>
      <c r="M75" s="27"/>
      <c r="N75" s="1"/>
    </row>
    <row r="76" spans="1:14">
      <c r="A76" s="359"/>
      <c r="B76" s="360"/>
      <c r="C76" s="360"/>
      <c r="D76" s="360"/>
      <c r="E76" s="360"/>
      <c r="F76" s="360"/>
      <c r="G76" s="360"/>
      <c r="H76" s="360"/>
      <c r="I76" s="360"/>
      <c r="J76" s="360"/>
      <c r="K76" s="360"/>
      <c r="L76" s="360"/>
      <c r="M76" s="27"/>
      <c r="N76" s="1"/>
    </row>
    <row r="77" spans="1:14">
      <c r="A77" s="163"/>
      <c r="B77" s="163"/>
      <c r="C77" s="163"/>
      <c r="D77" s="163"/>
      <c r="E77" s="163"/>
      <c r="F77" s="163"/>
      <c r="G77" s="163"/>
      <c r="H77" s="163"/>
      <c r="I77" s="163"/>
      <c r="J77" s="163"/>
      <c r="K77" s="163"/>
      <c r="L77" s="163"/>
      <c r="M77" s="27"/>
      <c r="N77" s="1"/>
    </row>
    <row r="78" spans="1:14">
      <c r="A78" s="363"/>
      <c r="B78" s="358"/>
      <c r="C78" s="237"/>
      <c r="D78" s="237"/>
      <c r="E78" s="237"/>
      <c r="F78" s="237"/>
      <c r="G78" s="237"/>
      <c r="H78" s="237"/>
      <c r="I78" s="237"/>
      <c r="J78" s="237"/>
      <c r="K78" s="237"/>
      <c r="L78" s="237"/>
      <c r="M78" s="27"/>
      <c r="N78" s="1"/>
    </row>
    <row r="79" spans="1:14">
      <c r="A79" s="242"/>
      <c r="B79" s="358"/>
      <c r="C79" s="237"/>
      <c r="D79" s="237"/>
      <c r="E79" s="237"/>
      <c r="F79" s="237"/>
      <c r="G79" s="237"/>
      <c r="H79" s="237"/>
      <c r="I79" s="237"/>
      <c r="J79" s="237"/>
      <c r="K79" s="237"/>
      <c r="L79" s="237"/>
      <c r="M79" s="27"/>
      <c r="N79" s="1"/>
    </row>
    <row r="80" spans="1:14">
      <c r="A80" s="163"/>
      <c r="B80" s="117"/>
      <c r="C80" s="117"/>
      <c r="D80" s="117"/>
      <c r="E80" s="117"/>
      <c r="F80" s="117"/>
      <c r="G80" s="117"/>
      <c r="H80" s="117"/>
      <c r="I80" s="117"/>
      <c r="J80" s="117"/>
      <c r="K80" s="117"/>
      <c r="L80" s="117"/>
      <c r="M80" s="27"/>
      <c r="N80" s="1"/>
    </row>
    <row r="81" spans="1:14" s="17" customFormat="1" ht="18.75">
      <c r="A81" s="364"/>
      <c r="B81" s="373"/>
      <c r="C81" s="373"/>
      <c r="D81" s="373"/>
      <c r="E81" s="373"/>
      <c r="F81" s="373"/>
      <c r="G81" s="373"/>
      <c r="H81" s="373"/>
      <c r="I81" s="373"/>
      <c r="J81" s="373"/>
      <c r="K81" s="373"/>
      <c r="L81" s="373"/>
      <c r="M81" s="79"/>
      <c r="N81" s="33"/>
    </row>
    <row r="82" spans="1:14">
      <c r="A82" s="165"/>
      <c r="B82" s="365"/>
      <c r="C82" s="365"/>
      <c r="D82" s="365"/>
      <c r="E82" s="365"/>
      <c r="F82" s="365"/>
      <c r="G82" s="365"/>
      <c r="H82" s="365"/>
      <c r="I82" s="365"/>
      <c r="J82" s="365"/>
      <c r="K82" s="365"/>
      <c r="L82" s="365"/>
      <c r="M82" s="27"/>
      <c r="N82" s="1"/>
    </row>
    <row r="83" spans="1:14">
      <c r="A83" s="163"/>
      <c r="B83" s="117"/>
      <c r="C83" s="117"/>
      <c r="D83" s="117"/>
      <c r="E83" s="117"/>
      <c r="F83" s="117"/>
      <c r="G83" s="117"/>
      <c r="H83" s="117"/>
      <c r="I83" s="117"/>
      <c r="J83" s="117"/>
      <c r="K83" s="117"/>
      <c r="L83" s="117"/>
      <c r="M83" s="27"/>
      <c r="N83" s="1"/>
    </row>
    <row r="84" spans="1:14">
      <c r="A84" s="163"/>
      <c r="B84" s="373"/>
      <c r="C84" s="373"/>
      <c r="D84" s="373"/>
      <c r="E84" s="373"/>
      <c r="F84" s="373"/>
      <c r="G84" s="373"/>
      <c r="H84" s="373"/>
      <c r="I84" s="373"/>
      <c r="J84" s="373"/>
      <c r="K84" s="373"/>
      <c r="L84" s="373"/>
      <c r="M84" s="27"/>
      <c r="N84" s="1"/>
    </row>
    <row r="85" spans="1:14">
      <c r="A85" s="359"/>
      <c r="B85" s="117"/>
      <c r="C85" s="117"/>
      <c r="D85" s="117"/>
      <c r="E85" s="117"/>
      <c r="F85" s="117"/>
      <c r="G85" s="117"/>
      <c r="H85" s="117"/>
      <c r="I85" s="117"/>
      <c r="J85" s="117"/>
      <c r="K85" s="117"/>
      <c r="L85" s="117"/>
      <c r="M85" s="27"/>
      <c r="N85" s="1"/>
    </row>
    <row r="86" spans="1:14">
      <c r="A86" s="359"/>
      <c r="B86" s="117"/>
      <c r="C86" s="117"/>
      <c r="D86" s="117"/>
      <c r="E86" s="117"/>
      <c r="F86" s="117"/>
      <c r="G86" s="117"/>
      <c r="H86" s="117"/>
      <c r="I86" s="117"/>
      <c r="J86" s="117"/>
      <c r="K86" s="117"/>
      <c r="L86" s="117"/>
      <c r="M86" s="27"/>
      <c r="N86" s="1"/>
    </row>
    <row r="87" spans="1:14">
      <c r="A87" s="359"/>
      <c r="B87" s="117"/>
      <c r="C87" s="117"/>
      <c r="D87" s="117"/>
      <c r="E87" s="117"/>
      <c r="F87" s="117"/>
      <c r="G87" s="117"/>
      <c r="H87" s="117"/>
      <c r="I87" s="117"/>
      <c r="J87" s="117"/>
      <c r="K87" s="117"/>
      <c r="L87" s="117"/>
      <c r="M87" s="27"/>
      <c r="N87" s="1"/>
    </row>
    <row r="88" spans="1:14">
      <c r="A88" s="359"/>
      <c r="B88" s="117"/>
      <c r="C88" s="117"/>
      <c r="D88" s="117"/>
      <c r="E88" s="117"/>
      <c r="F88" s="117"/>
      <c r="G88" s="117"/>
      <c r="H88" s="117"/>
      <c r="I88" s="117"/>
      <c r="J88" s="117"/>
      <c r="K88" s="117"/>
      <c r="L88" s="117"/>
      <c r="M88" s="27"/>
      <c r="N88" s="1"/>
    </row>
    <row r="89" spans="1:14">
      <c r="A89" s="359"/>
      <c r="B89" s="117"/>
      <c r="C89" s="117"/>
      <c r="D89" s="117"/>
      <c r="E89" s="117"/>
      <c r="F89" s="117"/>
      <c r="G89" s="117"/>
      <c r="H89" s="117"/>
      <c r="I89" s="117"/>
      <c r="J89" s="117"/>
      <c r="K89" s="117"/>
      <c r="L89" s="117"/>
      <c r="M89" s="27"/>
      <c r="N89" s="1"/>
    </row>
    <row r="90" spans="1:14">
      <c r="A90" s="359"/>
      <c r="B90" s="117"/>
      <c r="C90" s="117"/>
      <c r="D90" s="117"/>
      <c r="E90" s="117"/>
      <c r="F90" s="117"/>
      <c r="G90" s="117"/>
      <c r="H90" s="117"/>
      <c r="I90" s="117"/>
      <c r="J90" s="117"/>
      <c r="K90" s="117"/>
      <c r="L90" s="117"/>
      <c r="M90" s="27"/>
      <c r="N90" s="1"/>
    </row>
    <row r="91" spans="1:14">
      <c r="A91" s="357"/>
      <c r="B91" s="117"/>
      <c r="C91" s="117"/>
      <c r="D91" s="117"/>
      <c r="E91" s="117"/>
      <c r="F91" s="117"/>
      <c r="G91" s="117"/>
      <c r="H91" s="117"/>
      <c r="I91" s="117"/>
      <c r="J91" s="117"/>
      <c r="K91" s="117"/>
      <c r="L91" s="117"/>
      <c r="M91" s="27"/>
      <c r="N91" s="1"/>
    </row>
    <row r="92" spans="1:14">
      <c r="A92" s="163"/>
      <c r="B92" s="117"/>
      <c r="C92" s="117"/>
      <c r="D92" s="117"/>
      <c r="E92" s="117"/>
      <c r="F92" s="117"/>
      <c r="G92" s="117"/>
      <c r="H92" s="117"/>
      <c r="I92" s="117"/>
      <c r="J92" s="117"/>
      <c r="K92" s="117"/>
      <c r="L92" s="117"/>
      <c r="M92" s="27"/>
      <c r="N92" s="1"/>
    </row>
    <row r="93" spans="1:14">
      <c r="A93" s="163"/>
      <c r="B93" s="373"/>
      <c r="C93" s="373"/>
      <c r="D93" s="373"/>
      <c r="E93" s="373"/>
      <c r="F93" s="373"/>
      <c r="G93" s="373"/>
      <c r="H93" s="373"/>
      <c r="I93" s="373"/>
      <c r="J93" s="373"/>
      <c r="K93" s="373"/>
      <c r="L93" s="373"/>
      <c r="M93" s="27"/>
      <c r="N93" s="1"/>
    </row>
    <row r="94" spans="1:14">
      <c r="A94" s="163"/>
      <c r="B94" s="159"/>
      <c r="C94" s="159"/>
      <c r="D94" s="159"/>
      <c r="E94" s="159"/>
      <c r="F94" s="159"/>
      <c r="G94" s="159"/>
      <c r="H94" s="159"/>
      <c r="I94" s="159"/>
      <c r="J94" s="159"/>
      <c r="K94" s="159"/>
      <c r="L94" s="159"/>
      <c r="M94" s="27"/>
      <c r="N94" s="1"/>
    </row>
    <row r="95" spans="1:14">
      <c r="A95" s="163"/>
      <c r="B95" s="159"/>
      <c r="C95" s="159"/>
      <c r="D95" s="159"/>
      <c r="E95" s="159"/>
      <c r="F95" s="159"/>
      <c r="G95" s="159"/>
      <c r="H95" s="159"/>
      <c r="I95" s="159"/>
      <c r="J95" s="159"/>
      <c r="K95" s="159"/>
      <c r="L95" s="159"/>
      <c r="M95" s="27"/>
      <c r="N95" s="1"/>
    </row>
    <row r="96" spans="1:14">
      <c r="A96" s="163"/>
      <c r="B96" s="117"/>
      <c r="C96" s="117"/>
      <c r="D96" s="117"/>
      <c r="E96" s="117"/>
      <c r="F96" s="117"/>
      <c r="G96" s="117"/>
      <c r="H96" s="117"/>
      <c r="I96" s="117"/>
      <c r="J96" s="117"/>
      <c r="K96" s="117"/>
      <c r="L96" s="117"/>
      <c r="M96" s="27"/>
      <c r="N96" s="1"/>
    </row>
    <row r="97" spans="1:14">
      <c r="A97" s="163"/>
      <c r="B97" s="117"/>
      <c r="C97" s="117"/>
      <c r="D97" s="117"/>
      <c r="E97" s="117"/>
      <c r="F97" s="117"/>
      <c r="G97" s="117"/>
      <c r="H97" s="117"/>
      <c r="I97" s="117"/>
      <c r="J97" s="117"/>
      <c r="K97" s="117"/>
      <c r="L97" s="117"/>
      <c r="M97" s="27"/>
      <c r="N97" s="1"/>
    </row>
    <row r="98" spans="1:14">
      <c r="A98" s="163"/>
      <c r="B98" s="117"/>
      <c r="C98" s="117"/>
      <c r="D98" s="117"/>
      <c r="E98" s="117"/>
      <c r="F98" s="117"/>
      <c r="G98" s="117"/>
      <c r="H98" s="117"/>
      <c r="I98" s="117"/>
      <c r="J98" s="117"/>
      <c r="K98" s="117"/>
      <c r="L98" s="117"/>
      <c r="M98" s="27"/>
      <c r="N98" s="1"/>
    </row>
    <row r="99" spans="1:14">
      <c r="A99" s="163"/>
      <c r="B99" s="117"/>
      <c r="C99" s="117"/>
      <c r="D99" s="117"/>
      <c r="E99" s="117"/>
      <c r="F99" s="117"/>
      <c r="G99" s="117"/>
      <c r="H99" s="117"/>
      <c r="I99" s="117"/>
      <c r="J99" s="117"/>
      <c r="K99" s="117"/>
      <c r="L99" s="117"/>
      <c r="M99" s="27"/>
      <c r="N99" s="1"/>
    </row>
    <row r="100" spans="1:14">
      <c r="A100" s="163"/>
      <c r="B100" s="117"/>
      <c r="C100" s="117"/>
      <c r="D100" s="117"/>
      <c r="E100" s="117"/>
      <c r="F100" s="117"/>
      <c r="G100" s="117"/>
      <c r="H100" s="117"/>
      <c r="I100" s="117"/>
      <c r="J100" s="117"/>
      <c r="K100" s="117"/>
      <c r="L100" s="117"/>
      <c r="M100" s="27"/>
      <c r="N100" s="1"/>
    </row>
    <row r="101" spans="1:14">
      <c r="A101" s="163"/>
      <c r="B101" s="117"/>
      <c r="C101" s="117"/>
      <c r="D101" s="117"/>
      <c r="E101" s="117"/>
      <c r="F101" s="117"/>
      <c r="G101" s="117"/>
      <c r="H101" s="117"/>
      <c r="I101" s="117"/>
      <c r="J101" s="117"/>
      <c r="K101" s="117"/>
      <c r="L101" s="117"/>
      <c r="M101" s="27"/>
      <c r="N101" s="1"/>
    </row>
    <row r="102" spans="1:14">
      <c r="A102" s="163"/>
      <c r="B102" s="117"/>
      <c r="C102" s="117"/>
      <c r="D102" s="117"/>
      <c r="E102" s="117"/>
      <c r="F102" s="117"/>
      <c r="G102" s="117"/>
      <c r="H102" s="117"/>
      <c r="I102" s="117"/>
      <c r="J102" s="117"/>
      <c r="K102" s="117"/>
      <c r="L102" s="117"/>
      <c r="M102" s="27"/>
      <c r="N102" s="1"/>
    </row>
    <row r="103" spans="1:14">
      <c r="A103" s="163"/>
      <c r="B103" s="117"/>
      <c r="C103" s="117"/>
      <c r="D103" s="117"/>
      <c r="E103" s="117"/>
      <c r="F103" s="117"/>
      <c r="G103" s="117"/>
      <c r="H103" s="117"/>
      <c r="I103" s="117"/>
      <c r="J103" s="117"/>
      <c r="K103" s="117"/>
      <c r="L103" s="117"/>
      <c r="M103" s="27"/>
      <c r="N103" s="1"/>
    </row>
    <row r="104" spans="1:14">
      <c r="A104" s="163"/>
      <c r="B104" s="117"/>
      <c r="C104" s="117"/>
      <c r="D104" s="117"/>
      <c r="E104" s="117"/>
      <c r="F104" s="117"/>
      <c r="G104" s="117"/>
      <c r="H104" s="117"/>
      <c r="I104" s="117"/>
      <c r="J104" s="117"/>
      <c r="K104" s="117"/>
      <c r="L104" s="117"/>
      <c r="M104" s="27"/>
      <c r="N104" s="1"/>
    </row>
    <row r="105" spans="1:14">
      <c r="A105" s="163"/>
      <c r="B105" s="117"/>
      <c r="C105" s="117"/>
      <c r="D105" s="117"/>
      <c r="E105" s="117"/>
      <c r="F105" s="117"/>
      <c r="G105" s="117"/>
      <c r="H105" s="117"/>
      <c r="I105" s="117"/>
      <c r="J105" s="117"/>
      <c r="K105" s="117"/>
      <c r="L105" s="117"/>
      <c r="M105" s="27"/>
      <c r="N105" s="1"/>
    </row>
    <row r="106" spans="1:14">
      <c r="A106" s="163"/>
      <c r="B106" s="117"/>
      <c r="C106" s="117"/>
      <c r="D106" s="117"/>
      <c r="E106" s="117"/>
      <c r="F106" s="117"/>
      <c r="G106" s="117"/>
      <c r="H106" s="117"/>
      <c r="I106" s="117"/>
      <c r="J106" s="117"/>
      <c r="K106" s="117"/>
      <c r="L106" s="117"/>
      <c r="M106" s="27"/>
      <c r="N106" s="1"/>
    </row>
    <row r="107" spans="1:14">
      <c r="B107" s="1"/>
      <c r="C107" s="1"/>
      <c r="D107" s="1"/>
      <c r="E107" s="1"/>
      <c r="F107" s="1"/>
      <c r="G107" s="1"/>
      <c r="H107" s="1"/>
      <c r="I107" s="1"/>
      <c r="J107" s="1"/>
      <c r="K107" s="1"/>
      <c r="L107" s="1"/>
      <c r="M107" s="27"/>
      <c r="N107" s="1"/>
    </row>
    <row r="108" spans="1:14">
      <c r="B108" s="1"/>
      <c r="C108" s="1"/>
      <c r="D108" s="1"/>
      <c r="E108" s="1"/>
      <c r="F108" s="1"/>
      <c r="G108" s="1"/>
      <c r="H108" s="1"/>
      <c r="I108" s="1"/>
      <c r="J108" s="1"/>
      <c r="K108" s="1"/>
      <c r="L108" s="1"/>
      <c r="M108" s="27"/>
      <c r="N108" s="1"/>
    </row>
    <row r="109" spans="1:14">
      <c r="B109" s="1"/>
      <c r="C109" s="1"/>
      <c r="D109" s="1"/>
      <c r="E109" s="1"/>
      <c r="F109" s="1"/>
      <c r="G109" s="1"/>
      <c r="H109" s="1"/>
      <c r="I109" s="1"/>
      <c r="J109" s="1"/>
      <c r="K109" s="1"/>
      <c r="L109" s="1"/>
      <c r="M109" s="27"/>
      <c r="N109" s="1"/>
    </row>
    <row r="110" spans="1:14">
      <c r="M110" s="27"/>
      <c r="N110" s="1"/>
    </row>
    <row r="111" spans="1:14">
      <c r="M111" s="27"/>
      <c r="N111" s="1"/>
    </row>
    <row r="112" spans="1:14">
      <c r="M112" s="27"/>
      <c r="N112" s="1"/>
    </row>
    <row r="113" spans="2:14">
      <c r="M113" s="27"/>
      <c r="N113" s="1"/>
    </row>
    <row r="114" spans="2:14">
      <c r="M114" s="27"/>
      <c r="N114" s="1"/>
    </row>
    <row r="115" spans="2:14">
      <c r="M115" s="27"/>
      <c r="N115" s="1"/>
    </row>
    <row r="116" spans="2:14">
      <c r="M116" s="27"/>
      <c r="N116" s="1"/>
    </row>
    <row r="117" spans="2:14">
      <c r="M117" s="27"/>
      <c r="N117" s="1"/>
    </row>
    <row r="118" spans="2:14">
      <c r="B118" s="1"/>
      <c r="C118" s="1"/>
      <c r="D118" s="1"/>
      <c r="E118" s="1"/>
      <c r="F118" s="1"/>
      <c r="G118" s="1"/>
      <c r="H118" s="1"/>
      <c r="I118" s="1"/>
      <c r="J118" s="1"/>
      <c r="K118" s="1"/>
      <c r="L118" s="1"/>
      <c r="M118" s="27"/>
      <c r="N118" s="1"/>
    </row>
    <row r="119" spans="2:14">
      <c r="B119" s="1"/>
      <c r="C119" s="1"/>
      <c r="D119" s="1"/>
      <c r="E119" s="1"/>
      <c r="F119" s="1"/>
      <c r="G119" s="1"/>
      <c r="H119" s="1"/>
      <c r="I119" s="1"/>
      <c r="J119" s="1"/>
      <c r="K119" s="1"/>
      <c r="L119" s="1"/>
      <c r="M119" s="27"/>
      <c r="N119" s="1"/>
    </row>
    <row r="120" spans="2:14">
      <c r="B120" s="1"/>
      <c r="C120" s="1"/>
      <c r="D120" s="1"/>
      <c r="E120" s="1"/>
      <c r="F120" s="1"/>
      <c r="G120" s="1"/>
      <c r="H120" s="1"/>
      <c r="I120" s="1"/>
      <c r="J120" s="1"/>
      <c r="K120" s="1"/>
      <c r="L120" s="1"/>
      <c r="M120" s="27"/>
      <c r="N120" s="1"/>
    </row>
    <row r="121" spans="2:14">
      <c r="M121" s="27"/>
      <c r="N121" s="1"/>
    </row>
    <row r="122" spans="2:14">
      <c r="M122" s="27"/>
      <c r="N122" s="1"/>
    </row>
    <row r="123" spans="2:14">
      <c r="M123" s="27"/>
      <c r="N123" s="1"/>
    </row>
    <row r="124" spans="2:14">
      <c r="M124" s="27"/>
      <c r="N124" s="1"/>
    </row>
    <row r="125" spans="2:14">
      <c r="M125" s="27"/>
      <c r="N125" s="1"/>
    </row>
    <row r="126" spans="2:14">
      <c r="M126" s="27"/>
      <c r="N126" s="1"/>
    </row>
    <row r="127" spans="2:14">
      <c r="M127" s="27"/>
      <c r="N127" s="1"/>
    </row>
    <row r="128" spans="2:14">
      <c r="M128" s="27"/>
      <c r="N128" s="1"/>
    </row>
    <row r="129" spans="13:14">
      <c r="M129" s="27"/>
      <c r="N129" s="1"/>
    </row>
    <row r="130" spans="13:14">
      <c r="M130" s="27"/>
      <c r="N130" s="1"/>
    </row>
    <row r="131" spans="13:14">
      <c r="M131" s="27"/>
      <c r="N131" s="1"/>
    </row>
    <row r="132" spans="13:14">
      <c r="M132" s="27"/>
      <c r="N132" s="1"/>
    </row>
    <row r="133" spans="13:14">
      <c r="M133" s="27"/>
      <c r="N133" s="1"/>
    </row>
    <row r="134" spans="13:14">
      <c r="M134" s="27"/>
      <c r="N134" s="1"/>
    </row>
    <row r="135" spans="13:14">
      <c r="M135" s="27"/>
      <c r="N135" s="1"/>
    </row>
    <row r="136" spans="13:14">
      <c r="M136" s="27"/>
      <c r="N136" s="1"/>
    </row>
    <row r="137" spans="13:14">
      <c r="M137" s="27"/>
      <c r="N137" s="1"/>
    </row>
    <row r="138" spans="13:14">
      <c r="M138" s="27"/>
      <c r="N138" s="1"/>
    </row>
    <row r="139" spans="13:14">
      <c r="M139" s="27"/>
      <c r="N139" s="1"/>
    </row>
    <row r="140" spans="13:14">
      <c r="M140" s="27"/>
      <c r="N140" s="1"/>
    </row>
    <row r="141" spans="13:14">
      <c r="M141" s="27"/>
      <c r="N141" s="1"/>
    </row>
    <row r="142" spans="13:14">
      <c r="M142" s="27"/>
      <c r="N142" s="1"/>
    </row>
    <row r="143" spans="13:14">
      <c r="M143" s="27"/>
      <c r="N143" s="1"/>
    </row>
    <row r="144" spans="13:14">
      <c r="M144" s="27"/>
      <c r="N144" s="1"/>
    </row>
    <row r="145" spans="13:14">
      <c r="M145" s="27"/>
      <c r="N145" s="1"/>
    </row>
    <row r="146" spans="13:14">
      <c r="M146" s="27"/>
      <c r="N146" s="1"/>
    </row>
    <row r="147" spans="13:14">
      <c r="M147" s="27"/>
      <c r="N147" s="1"/>
    </row>
    <row r="148" spans="13:14">
      <c r="M148" s="27"/>
      <c r="N148" s="1"/>
    </row>
    <row r="149" spans="13:14">
      <c r="M149" s="27"/>
      <c r="N149" s="1"/>
    </row>
    <row r="150" spans="13:14">
      <c r="M150" s="27"/>
      <c r="N150" s="1"/>
    </row>
    <row r="151" spans="13:14">
      <c r="M151" s="27"/>
      <c r="N151" s="1"/>
    </row>
    <row r="152" spans="13:14">
      <c r="M152" s="27"/>
      <c r="N152" s="1"/>
    </row>
    <row r="153" spans="13:14">
      <c r="M153" s="27"/>
      <c r="N153" s="1"/>
    </row>
    <row r="154" spans="13:14">
      <c r="M154" s="27"/>
      <c r="N154" s="1"/>
    </row>
    <row r="155" spans="13:14">
      <c r="M155" s="27"/>
      <c r="N155" s="1"/>
    </row>
    <row r="156" spans="13:14">
      <c r="M156" s="27"/>
      <c r="N156" s="1"/>
    </row>
    <row r="157" spans="13:14">
      <c r="M157" s="27"/>
      <c r="N157" s="1"/>
    </row>
    <row r="158" spans="13:14">
      <c r="M158" s="27"/>
      <c r="N158" s="1"/>
    </row>
    <row r="159" spans="13:14">
      <c r="M159" s="27"/>
      <c r="N159" s="1"/>
    </row>
    <row r="160" spans="13:14">
      <c r="M160" s="27"/>
      <c r="N160" s="1"/>
    </row>
    <row r="161" spans="2:14">
      <c r="M161" s="27"/>
      <c r="N161" s="1"/>
    </row>
    <row r="162" spans="2:14">
      <c r="M162" s="27"/>
      <c r="N162" s="1"/>
    </row>
    <row r="163" spans="2:14">
      <c r="M163" s="27"/>
      <c r="N163" s="1"/>
    </row>
    <row r="164" spans="2:14">
      <c r="M164" s="27"/>
      <c r="N164" s="1"/>
    </row>
    <row r="165" spans="2:14">
      <c r="M165" s="27"/>
      <c r="N165" s="1"/>
    </row>
    <row r="166" spans="2:14">
      <c r="M166" s="27"/>
      <c r="N166" s="1"/>
    </row>
    <row r="167" spans="2:14">
      <c r="M167" s="27"/>
      <c r="N167" s="1"/>
    </row>
    <row r="168" spans="2:14">
      <c r="M168" s="27"/>
      <c r="N168" s="1"/>
    </row>
    <row r="169" spans="2:14">
      <c r="M169" s="27"/>
      <c r="N169" s="1"/>
    </row>
    <row r="170" spans="2:14">
      <c r="M170" s="27"/>
      <c r="N170" s="1"/>
    </row>
    <row r="171" spans="2:14">
      <c r="M171" s="27"/>
      <c r="N171" s="1"/>
    </row>
    <row r="172" spans="2:14">
      <c r="M172" s="27"/>
      <c r="N172" s="1"/>
    </row>
    <row r="173" spans="2:14">
      <c r="M173" s="27"/>
      <c r="N173" s="1"/>
    </row>
    <row r="174" spans="2:14">
      <c r="M174" s="27"/>
      <c r="N174" s="1"/>
    </row>
    <row r="175" spans="2:14">
      <c r="B175" s="1"/>
      <c r="C175" s="1"/>
      <c r="D175" s="1"/>
      <c r="E175" s="1"/>
      <c r="F175" s="1"/>
      <c r="G175" s="1"/>
      <c r="H175" s="1"/>
      <c r="I175" s="1"/>
      <c r="J175" s="1"/>
      <c r="K175" s="1"/>
      <c r="L175" s="1"/>
      <c r="M175" s="27"/>
      <c r="N175" s="1"/>
    </row>
    <row r="176" spans="2:14">
      <c r="B176" s="1"/>
      <c r="C176" s="1"/>
      <c r="D176" s="1"/>
      <c r="E176" s="1"/>
      <c r="F176" s="1"/>
      <c r="G176" s="1"/>
      <c r="H176" s="1"/>
      <c r="I176" s="1"/>
      <c r="J176" s="1"/>
      <c r="K176" s="1"/>
      <c r="L176" s="1"/>
      <c r="M176" s="27"/>
      <c r="N176" s="1"/>
    </row>
    <row r="177" spans="2:14">
      <c r="B177" s="1"/>
      <c r="C177" s="1"/>
      <c r="D177" s="1"/>
      <c r="E177" s="1"/>
      <c r="F177" s="1"/>
      <c r="G177" s="1"/>
      <c r="H177" s="1"/>
      <c r="I177" s="1"/>
      <c r="J177" s="1"/>
      <c r="K177" s="1"/>
      <c r="L177" s="1"/>
      <c r="M177" s="27"/>
      <c r="N177" s="1"/>
    </row>
    <row r="178" spans="2:14">
      <c r="B178" s="1"/>
      <c r="C178" s="1"/>
      <c r="D178" s="1"/>
      <c r="E178" s="1"/>
      <c r="F178" s="1"/>
      <c r="G178" s="1"/>
      <c r="H178" s="1"/>
      <c r="I178" s="1"/>
      <c r="J178" s="1"/>
      <c r="K178" s="1"/>
      <c r="L178" s="1"/>
      <c r="M178" s="27"/>
      <c r="N178" s="1"/>
    </row>
    <row r="179" spans="2:14">
      <c r="B179" s="1"/>
      <c r="C179" s="1"/>
      <c r="D179" s="1"/>
      <c r="E179" s="1"/>
      <c r="F179" s="1"/>
      <c r="G179" s="1"/>
      <c r="H179" s="1"/>
      <c r="I179" s="1"/>
      <c r="J179" s="1"/>
      <c r="K179" s="1"/>
      <c r="L179" s="1"/>
      <c r="M179" s="27"/>
      <c r="N179" s="1"/>
    </row>
    <row r="180" spans="2:14">
      <c r="B180" s="1"/>
      <c r="C180" s="1"/>
      <c r="D180" s="1"/>
      <c r="E180" s="1"/>
      <c r="F180" s="1"/>
      <c r="G180" s="1"/>
      <c r="H180" s="1"/>
      <c r="I180" s="1"/>
      <c r="J180" s="1"/>
      <c r="K180" s="1"/>
      <c r="L180" s="1"/>
      <c r="M180" s="27"/>
      <c r="N180" s="1"/>
    </row>
    <row r="181" spans="2:14">
      <c r="B181" s="1"/>
      <c r="C181" s="1"/>
      <c r="D181" s="1"/>
      <c r="E181" s="1"/>
      <c r="F181" s="1"/>
      <c r="G181" s="1"/>
      <c r="H181" s="1"/>
      <c r="I181" s="1"/>
      <c r="J181" s="1"/>
      <c r="K181" s="1"/>
      <c r="L181" s="1"/>
      <c r="M181" s="27"/>
      <c r="N181" s="1"/>
    </row>
    <row r="182" spans="2:14">
      <c r="B182" s="1"/>
      <c r="C182" s="1"/>
      <c r="D182" s="1"/>
      <c r="E182" s="1"/>
      <c r="F182" s="1"/>
      <c r="G182" s="1"/>
      <c r="H182" s="1"/>
      <c r="I182" s="1"/>
      <c r="J182" s="1"/>
      <c r="K182" s="1"/>
      <c r="L182" s="1"/>
      <c r="M182" s="27"/>
      <c r="N182" s="1"/>
    </row>
    <row r="183" spans="2:14">
      <c r="B183" s="1"/>
      <c r="C183" s="1"/>
      <c r="D183" s="1"/>
      <c r="E183" s="1"/>
      <c r="F183" s="1"/>
      <c r="G183" s="1"/>
      <c r="H183" s="1"/>
      <c r="I183" s="1"/>
      <c r="J183" s="1"/>
      <c r="K183" s="1"/>
      <c r="L183" s="1"/>
      <c r="M183" s="27"/>
      <c r="N183" s="1"/>
    </row>
    <row r="184" spans="2:14">
      <c r="B184" s="1"/>
      <c r="C184" s="1"/>
      <c r="D184" s="1"/>
      <c r="E184" s="1"/>
      <c r="F184" s="1"/>
      <c r="G184" s="1"/>
      <c r="H184" s="1"/>
      <c r="I184" s="1"/>
      <c r="J184" s="1"/>
      <c r="K184" s="1"/>
      <c r="L184" s="1"/>
      <c r="M184" s="27"/>
      <c r="N184" s="1"/>
    </row>
    <row r="185" spans="2:14">
      <c r="B185" s="1"/>
      <c r="C185" s="1"/>
      <c r="D185" s="1"/>
      <c r="E185" s="1"/>
      <c r="F185" s="1"/>
      <c r="G185" s="1"/>
      <c r="H185" s="1"/>
      <c r="I185" s="1"/>
      <c r="J185" s="1"/>
      <c r="K185" s="1"/>
      <c r="L185" s="1"/>
      <c r="M185" s="27"/>
      <c r="N185" s="1"/>
    </row>
    <row r="186" spans="2:14">
      <c r="B186" s="1"/>
      <c r="C186" s="1"/>
      <c r="D186" s="1"/>
      <c r="E186" s="1"/>
      <c r="F186" s="1"/>
      <c r="G186" s="1"/>
      <c r="H186" s="1"/>
      <c r="I186" s="1"/>
      <c r="J186" s="1"/>
      <c r="K186" s="1"/>
      <c r="L186" s="1"/>
      <c r="M186" s="27"/>
      <c r="N186" s="1"/>
    </row>
    <row r="187" spans="2:14">
      <c r="B187" s="1"/>
      <c r="C187" s="1"/>
      <c r="D187" s="1"/>
      <c r="E187" s="1"/>
      <c r="F187" s="1"/>
      <c r="G187" s="1"/>
      <c r="H187" s="1"/>
      <c r="I187" s="1"/>
      <c r="J187" s="1"/>
      <c r="K187" s="1"/>
      <c r="L187" s="1"/>
      <c r="M187" s="27"/>
      <c r="N187" s="1"/>
    </row>
    <row r="188" spans="2:14">
      <c r="B188" s="1"/>
      <c r="C188" s="1"/>
      <c r="D188" s="1"/>
      <c r="E188" s="1"/>
      <c r="F188" s="1"/>
      <c r="G188" s="1"/>
      <c r="H188" s="1"/>
      <c r="I188" s="1"/>
      <c r="J188" s="1"/>
      <c r="K188" s="1"/>
      <c r="L188" s="1"/>
      <c r="M188" s="27"/>
      <c r="N188" s="1"/>
    </row>
    <row r="189" spans="2:14">
      <c r="B189" s="1"/>
      <c r="C189" s="1"/>
      <c r="D189" s="1"/>
      <c r="E189" s="1"/>
      <c r="F189" s="1"/>
      <c r="G189" s="1"/>
      <c r="H189" s="1"/>
      <c r="I189" s="1"/>
      <c r="J189" s="1"/>
      <c r="K189" s="1"/>
      <c r="L189" s="1"/>
      <c r="M189" s="27"/>
      <c r="N189" s="1"/>
    </row>
    <row r="190" spans="2:14">
      <c r="B190" s="1"/>
      <c r="C190" s="1"/>
      <c r="D190" s="1"/>
      <c r="E190" s="1"/>
      <c r="F190" s="1"/>
      <c r="G190" s="1"/>
      <c r="H190" s="1"/>
      <c r="I190" s="1"/>
      <c r="J190" s="1"/>
      <c r="K190" s="1"/>
      <c r="L190" s="1"/>
      <c r="M190" s="27"/>
      <c r="N190" s="1"/>
    </row>
    <row r="191" spans="2:14">
      <c r="M191" s="19"/>
    </row>
    <row r="192" spans="2:14">
      <c r="M192" s="19"/>
    </row>
    <row r="193" spans="13:13">
      <c r="M193" s="19"/>
    </row>
    <row r="194" spans="13:13">
      <c r="M194" s="19"/>
    </row>
    <row r="195" spans="13:13">
      <c r="M195" s="19"/>
    </row>
    <row r="196" spans="13:13">
      <c r="M196" s="19"/>
    </row>
    <row r="197" spans="13:13">
      <c r="M197" s="19"/>
    </row>
    <row r="198" spans="13:13">
      <c r="M198" s="19"/>
    </row>
    <row r="199" spans="13:13">
      <c r="M199" s="19"/>
    </row>
    <row r="200" spans="13:13">
      <c r="M200" s="19"/>
    </row>
    <row r="201" spans="13:13">
      <c r="M201" s="19"/>
    </row>
    <row r="202" spans="13:13">
      <c r="M202" s="19"/>
    </row>
    <row r="203" spans="13:13">
      <c r="M203" s="19"/>
    </row>
    <row r="204" spans="13:13">
      <c r="M204" s="19"/>
    </row>
    <row r="205" spans="13:13">
      <c r="M205" s="19"/>
    </row>
    <row r="206" spans="13:13">
      <c r="M206" s="19"/>
    </row>
    <row r="207" spans="13:13">
      <c r="M207" s="19"/>
    </row>
    <row r="208" spans="13:13">
      <c r="M208" s="19"/>
    </row>
    <row r="209" spans="13:13">
      <c r="M209" s="19"/>
    </row>
    <row r="210" spans="13:13">
      <c r="M210" s="19"/>
    </row>
    <row r="211" spans="13:13">
      <c r="M211" s="19"/>
    </row>
    <row r="212" spans="13:13">
      <c r="M212" s="19"/>
    </row>
    <row r="213" spans="13:13">
      <c r="M213" s="19"/>
    </row>
    <row r="214" spans="13:13">
      <c r="M214" s="19"/>
    </row>
    <row r="215" spans="13:13">
      <c r="M215" s="19"/>
    </row>
    <row r="216" spans="13:13">
      <c r="M216" s="19"/>
    </row>
    <row r="217" spans="13:13">
      <c r="M217" s="19"/>
    </row>
    <row r="218" spans="13:13">
      <c r="M218" s="19"/>
    </row>
    <row r="219" spans="13:13">
      <c r="M219" s="19"/>
    </row>
    <row r="220" spans="13:13">
      <c r="M220" s="19"/>
    </row>
    <row r="221" spans="13:13">
      <c r="M221" s="19"/>
    </row>
    <row r="222" spans="13:13">
      <c r="M222" s="19"/>
    </row>
    <row r="223" spans="13:13">
      <c r="M223" s="19"/>
    </row>
    <row r="224" spans="13:13">
      <c r="M224" s="19"/>
    </row>
    <row r="225" spans="13:13">
      <c r="M225" s="19"/>
    </row>
    <row r="226" spans="13:13">
      <c r="M226" s="19"/>
    </row>
    <row r="227" spans="13:13">
      <c r="M227" s="19"/>
    </row>
    <row r="228" spans="13:13">
      <c r="M228" s="19"/>
    </row>
    <row r="229" spans="13:13">
      <c r="M229" s="19"/>
    </row>
    <row r="230" spans="13:13">
      <c r="M230" s="19"/>
    </row>
    <row r="231" spans="13:13">
      <c r="M231" s="19"/>
    </row>
    <row r="232" spans="13:13">
      <c r="M232" s="19"/>
    </row>
    <row r="233" spans="13:13">
      <c r="M233" s="19"/>
    </row>
    <row r="234" spans="13:13">
      <c r="M234" s="19"/>
    </row>
    <row r="235" spans="13:13">
      <c r="M235" s="19"/>
    </row>
    <row r="236" spans="13:13">
      <c r="M236" s="19"/>
    </row>
    <row r="237" spans="13:13">
      <c r="M237" s="19"/>
    </row>
    <row r="238" spans="13:13">
      <c r="M238" s="19"/>
    </row>
    <row r="239" spans="13:13">
      <c r="M239" s="19"/>
    </row>
    <row r="240" spans="13:13">
      <c r="M240" s="19"/>
    </row>
    <row r="241" spans="1:13">
      <c r="M241" s="19"/>
    </row>
    <row r="242" spans="1:13">
      <c r="M242" s="19"/>
    </row>
    <row r="243" spans="1:13">
      <c r="M243" s="19"/>
    </row>
    <row r="244" spans="1:13">
      <c r="M244" s="19"/>
    </row>
    <row r="245" spans="1:13">
      <c r="M245" s="19"/>
    </row>
    <row r="246" spans="1:13">
      <c r="M246" s="19"/>
    </row>
    <row r="247" spans="1:13">
      <c r="M247" s="19"/>
    </row>
    <row r="248" spans="1:13">
      <c r="M248" s="19"/>
    </row>
    <row r="249" spans="1:13">
      <c r="M249" s="19"/>
    </row>
    <row r="250" spans="1:13" ht="18.75">
      <c r="A250" s="93"/>
      <c r="B250" s="1"/>
      <c r="C250" s="1"/>
      <c r="D250" s="1"/>
      <c r="E250" s="1"/>
      <c r="F250" s="1"/>
      <c r="G250" s="1"/>
      <c r="H250" s="1"/>
      <c r="I250" s="1"/>
      <c r="J250" s="1"/>
      <c r="K250" s="1"/>
      <c r="L250" s="1"/>
      <c r="M250" s="19"/>
    </row>
    <row r="251" spans="1:13">
      <c r="M251" s="19"/>
    </row>
    <row r="252" spans="1:13">
      <c r="M252" s="19"/>
    </row>
    <row r="253" spans="1:13">
      <c r="M253" s="19"/>
    </row>
    <row r="254" spans="1:13">
      <c r="M254" s="19"/>
    </row>
    <row r="255" spans="1:13">
      <c r="M255" s="19"/>
    </row>
    <row r="256" spans="1:13">
      <c r="M256" s="19"/>
    </row>
    <row r="257" spans="13:13">
      <c r="M257" s="19"/>
    </row>
    <row r="258" spans="13:13">
      <c r="M258" s="19"/>
    </row>
    <row r="259" spans="13:13">
      <c r="M259" s="19"/>
    </row>
    <row r="260" spans="13:13">
      <c r="M260" s="19"/>
    </row>
    <row r="261" spans="13:13">
      <c r="M261" s="19"/>
    </row>
    <row r="262" spans="13:13">
      <c r="M262" s="19"/>
    </row>
    <row r="263" spans="13:13">
      <c r="M263" s="19"/>
    </row>
    <row r="264" spans="13:13">
      <c r="M264" s="19"/>
    </row>
    <row r="265" spans="13:13">
      <c r="M265" s="19"/>
    </row>
    <row r="266" spans="13:13">
      <c r="M266" s="19"/>
    </row>
    <row r="267" spans="13:13">
      <c r="M267" s="19"/>
    </row>
    <row r="268" spans="13:13">
      <c r="M268" s="19"/>
    </row>
    <row r="269" spans="13:13">
      <c r="M269" s="19"/>
    </row>
    <row r="339" spans="2:12">
      <c r="B339" s="1"/>
      <c r="C339" s="1"/>
      <c r="D339" s="1"/>
      <c r="E339" s="1"/>
      <c r="F339" s="1"/>
      <c r="G339" s="1"/>
      <c r="H339" s="1"/>
      <c r="I339" s="1"/>
      <c r="J339" s="1"/>
      <c r="K339" s="1"/>
      <c r="L339" s="1"/>
    </row>
    <row r="340" spans="2:12">
      <c r="B340" s="1"/>
      <c r="C340" s="1"/>
      <c r="D340" s="1"/>
      <c r="E340" s="1"/>
      <c r="F340" s="1"/>
      <c r="G340" s="1"/>
      <c r="H340" s="1"/>
      <c r="I340" s="1"/>
      <c r="J340" s="1"/>
      <c r="K340" s="1"/>
      <c r="L340" s="1"/>
    </row>
    <row r="341" spans="2:12">
      <c r="B341" s="1"/>
      <c r="C341" s="1"/>
      <c r="D341" s="1"/>
      <c r="E341" s="1"/>
      <c r="F341" s="1"/>
      <c r="G341" s="1"/>
      <c r="H341" s="1"/>
      <c r="I341" s="1"/>
      <c r="J341" s="1"/>
      <c r="K341" s="1"/>
      <c r="L341" s="1"/>
    </row>
    <row r="342" spans="2:12">
      <c r="B342" s="1"/>
      <c r="C342" s="1"/>
      <c r="D342" s="1"/>
      <c r="E342" s="1"/>
      <c r="F342" s="1"/>
      <c r="G342" s="1"/>
      <c r="H342" s="1"/>
      <c r="I342" s="1"/>
      <c r="J342" s="1"/>
      <c r="K342" s="1"/>
      <c r="L342" s="1"/>
    </row>
    <row r="343" spans="2:12">
      <c r="B343" s="1"/>
      <c r="C343" s="1"/>
      <c r="D343" s="1"/>
      <c r="E343" s="1"/>
      <c r="F343" s="1"/>
      <c r="G343" s="1"/>
      <c r="H343" s="1"/>
      <c r="I343" s="1"/>
      <c r="J343" s="1"/>
      <c r="K343" s="1"/>
      <c r="L343" s="1"/>
    </row>
    <row r="344" spans="2:12">
      <c r="B344" s="1"/>
      <c r="C344" s="1"/>
      <c r="D344" s="1"/>
      <c r="E344" s="1"/>
      <c r="F344" s="1"/>
      <c r="G344" s="1"/>
      <c r="H344" s="1"/>
      <c r="I344" s="1"/>
      <c r="J344" s="1"/>
      <c r="K344" s="1"/>
      <c r="L344" s="1"/>
    </row>
    <row r="345" spans="2:12">
      <c r="B345" s="1"/>
      <c r="C345" s="1"/>
      <c r="D345" s="1"/>
      <c r="E345" s="1"/>
      <c r="F345" s="1"/>
      <c r="G345" s="1"/>
      <c r="H345" s="1"/>
      <c r="I345" s="1"/>
      <c r="J345" s="1"/>
      <c r="K345" s="1"/>
      <c r="L345" s="1"/>
    </row>
    <row r="346" spans="2:12">
      <c r="B346" s="1"/>
      <c r="C346" s="1"/>
      <c r="D346" s="1"/>
      <c r="E346" s="1"/>
      <c r="F346" s="1"/>
      <c r="G346" s="1"/>
      <c r="H346" s="1"/>
      <c r="I346" s="1"/>
      <c r="J346" s="1"/>
      <c r="K346" s="1"/>
      <c r="L346" s="1"/>
    </row>
    <row r="347" spans="2:12">
      <c r="B347" s="1"/>
      <c r="C347" s="1"/>
      <c r="D347" s="1"/>
      <c r="E347" s="1"/>
      <c r="F347" s="1"/>
      <c r="G347" s="1"/>
      <c r="H347" s="1"/>
      <c r="I347" s="1"/>
      <c r="J347" s="1"/>
      <c r="K347" s="1"/>
      <c r="L347" s="1"/>
    </row>
    <row r="348" spans="2:12">
      <c r="B348" s="1"/>
      <c r="C348" s="1"/>
      <c r="D348" s="1"/>
      <c r="E348" s="1"/>
      <c r="F348" s="1"/>
      <c r="G348" s="1"/>
      <c r="H348" s="1"/>
      <c r="I348" s="1"/>
      <c r="J348" s="1"/>
      <c r="K348" s="1"/>
      <c r="L348" s="1"/>
    </row>
    <row r="349" spans="2:12">
      <c r="B349" s="1"/>
      <c r="C349" s="1"/>
      <c r="D349" s="1"/>
      <c r="E349" s="1"/>
      <c r="F349" s="1"/>
      <c r="G349" s="1"/>
      <c r="H349" s="1"/>
      <c r="I349" s="1"/>
      <c r="J349" s="1"/>
      <c r="K349" s="1"/>
      <c r="L349" s="1"/>
    </row>
    <row r="350" spans="2:12">
      <c r="B350" s="1"/>
      <c r="C350" s="1"/>
      <c r="D350" s="1"/>
      <c r="E350" s="1"/>
      <c r="F350" s="1"/>
      <c r="G350" s="1"/>
      <c r="H350" s="1"/>
      <c r="I350" s="1"/>
      <c r="J350" s="1"/>
      <c r="K350" s="1"/>
      <c r="L350" s="1"/>
    </row>
    <row r="351" spans="2:12">
      <c r="B351" s="1"/>
      <c r="C351" s="1"/>
      <c r="D351" s="1"/>
      <c r="E351" s="1"/>
      <c r="F351" s="1"/>
      <c r="G351" s="1"/>
      <c r="H351" s="1"/>
      <c r="I351" s="1"/>
      <c r="J351" s="1"/>
      <c r="K351" s="1"/>
      <c r="L351" s="1"/>
    </row>
    <row r="352" spans="2:12">
      <c r="B352" s="1"/>
      <c r="C352" s="1"/>
      <c r="D352" s="1"/>
      <c r="E352" s="1"/>
      <c r="F352" s="1"/>
      <c r="G352" s="1"/>
      <c r="H352" s="1"/>
      <c r="I352" s="1"/>
      <c r="J352" s="1"/>
      <c r="K352" s="1"/>
      <c r="L352" s="1"/>
    </row>
    <row r="353" spans="1:12">
      <c r="B353" s="1"/>
      <c r="C353" s="1"/>
      <c r="D353" s="1"/>
      <c r="E353" s="1"/>
      <c r="F353" s="1"/>
      <c r="G353" s="1"/>
      <c r="H353" s="1"/>
      <c r="I353" s="1"/>
      <c r="J353" s="1"/>
      <c r="K353" s="1"/>
      <c r="L353" s="1"/>
    </row>
    <row r="354" spans="1:12">
      <c r="B354" s="1"/>
      <c r="C354" s="1"/>
      <c r="D354" s="1"/>
      <c r="E354" s="1"/>
      <c r="F354" s="1"/>
      <c r="G354" s="1"/>
      <c r="H354" s="1"/>
      <c r="I354" s="1"/>
      <c r="J354" s="1"/>
      <c r="K354" s="1"/>
      <c r="L354" s="1"/>
    </row>
    <row r="355" spans="1:12">
      <c r="B355" s="1"/>
      <c r="C355" s="1"/>
      <c r="D355" s="1"/>
      <c r="E355" s="1"/>
      <c r="F355" s="1"/>
      <c r="G355" s="1"/>
      <c r="H355" s="1"/>
      <c r="I355" s="1"/>
      <c r="J355" s="1"/>
      <c r="K355" s="1"/>
      <c r="L355" s="1"/>
    </row>
    <row r="356" spans="1:12">
      <c r="B356" s="254">
        <v>2008</v>
      </c>
      <c r="C356" s="254">
        <v>2009</v>
      </c>
      <c r="D356" s="254">
        <v>2010</v>
      </c>
      <c r="E356" s="254">
        <v>2011</v>
      </c>
      <c r="F356" s="254">
        <v>2012</v>
      </c>
      <c r="G356" s="254">
        <v>2013</v>
      </c>
      <c r="H356" s="254">
        <v>2014</v>
      </c>
      <c r="I356" s="254">
        <v>2015</v>
      </c>
      <c r="J356" s="254">
        <v>2016</v>
      </c>
      <c r="K356" s="254">
        <v>2017</v>
      </c>
      <c r="L356" s="254">
        <v>2018</v>
      </c>
    </row>
    <row r="357" spans="1:12">
      <c r="A357" s="10" t="s">
        <v>100</v>
      </c>
      <c r="B357" s="1">
        <v>3780564</v>
      </c>
      <c r="C357" s="1">
        <v>3699656</v>
      </c>
      <c r="D357" s="1">
        <v>3163177</v>
      </c>
      <c r="E357" s="1">
        <v>3607144</v>
      </c>
      <c r="F357" s="1">
        <v>3728933</v>
      </c>
      <c r="G357" s="1">
        <v>4221458</v>
      </c>
      <c r="H357" s="1">
        <v>4730495</v>
      </c>
      <c r="I357" s="1">
        <v>4677191</v>
      </c>
      <c r="J357" s="1">
        <v>5095909</v>
      </c>
      <c r="K357" s="1">
        <v>6064257</v>
      </c>
      <c r="L357" s="1">
        <v>6913073</v>
      </c>
    </row>
    <row r="358" spans="1:12">
      <c r="B358" s="1"/>
      <c r="C358" s="1"/>
      <c r="D358" s="1"/>
      <c r="E358" s="1"/>
      <c r="F358" s="1"/>
      <c r="G358" s="1"/>
      <c r="H358" s="1"/>
      <c r="I358" s="1"/>
      <c r="J358" s="1"/>
      <c r="K358" s="1"/>
      <c r="L358" s="1"/>
    </row>
    <row r="359" spans="1:12">
      <c r="B359" s="1"/>
      <c r="C359" s="1"/>
      <c r="D359" s="1"/>
      <c r="E359" s="1"/>
      <c r="F359" s="1"/>
      <c r="G359" s="1"/>
      <c r="H359" s="1"/>
      <c r="I359" s="1"/>
      <c r="J359" s="1"/>
      <c r="K359" s="1"/>
      <c r="L359" s="1"/>
    </row>
    <row r="360" spans="1:12">
      <c r="B360" s="1"/>
      <c r="C360" s="1"/>
      <c r="D360" s="1"/>
      <c r="E360" s="1"/>
      <c r="F360" s="1"/>
      <c r="G360" s="1"/>
      <c r="H360" s="1"/>
      <c r="I360" s="1"/>
      <c r="J360" s="1"/>
      <c r="K360" s="1"/>
      <c r="L360" s="1"/>
    </row>
    <row r="361" spans="1:12">
      <c r="B361" s="1"/>
      <c r="C361" s="1"/>
      <c r="D361" s="1"/>
      <c r="E361" s="1"/>
      <c r="F361" s="1"/>
      <c r="G361" s="1"/>
      <c r="H361" s="1"/>
      <c r="I361" s="1"/>
      <c r="J361" s="1"/>
      <c r="K361" s="1"/>
      <c r="L361" s="1"/>
    </row>
    <row r="362" spans="1:12">
      <c r="B362" s="1"/>
      <c r="C362" s="1"/>
      <c r="D362" s="1"/>
      <c r="E362" s="1"/>
      <c r="F362" s="1"/>
      <c r="G362" s="1"/>
      <c r="H362" s="1"/>
      <c r="I362" s="1"/>
      <c r="J362" s="1"/>
      <c r="K362" s="1"/>
      <c r="L362" s="1"/>
    </row>
    <row r="363" spans="1:12">
      <c r="B363" s="1"/>
      <c r="C363" s="1"/>
      <c r="D363" s="1"/>
      <c r="E363" s="1"/>
      <c r="F363" s="1"/>
      <c r="G363" s="1"/>
      <c r="H363" s="1"/>
      <c r="I363" s="1"/>
      <c r="J363" s="1"/>
      <c r="K363" s="1"/>
      <c r="L363" s="1"/>
    </row>
    <row r="364" spans="1:12">
      <c r="B364" s="1"/>
      <c r="C364" s="1"/>
      <c r="D364" s="1"/>
      <c r="E364" s="1"/>
      <c r="F364" s="1"/>
      <c r="G364" s="1"/>
      <c r="H364" s="1"/>
      <c r="I364" s="1"/>
      <c r="J364" s="1"/>
      <c r="K364" s="1"/>
      <c r="L364" s="1"/>
    </row>
    <row r="365" spans="1:12">
      <c r="B365" s="1"/>
      <c r="C365" s="1"/>
      <c r="D365" s="1"/>
      <c r="E365" s="1"/>
      <c r="F365" s="1"/>
      <c r="G365" s="1"/>
      <c r="H365" s="1"/>
      <c r="I365" s="1"/>
      <c r="J365" s="1"/>
      <c r="K365" s="1"/>
      <c r="L365" s="1"/>
    </row>
    <row r="366" spans="1:12">
      <c r="B366" s="1"/>
      <c r="C366" s="1"/>
      <c r="D366" s="1"/>
      <c r="E366" s="1"/>
      <c r="F366" s="1"/>
      <c r="G366" s="1"/>
      <c r="H366" s="1"/>
      <c r="I366" s="1"/>
      <c r="J366" s="1"/>
      <c r="K366" s="1"/>
      <c r="L366" s="1"/>
    </row>
    <row r="367" spans="1:12">
      <c r="B367" s="1"/>
      <c r="C367" s="1"/>
      <c r="D367" s="1"/>
      <c r="E367" s="1"/>
      <c r="F367" s="1"/>
      <c r="G367" s="1"/>
      <c r="H367" s="1"/>
      <c r="I367" s="1"/>
      <c r="J367" s="1"/>
      <c r="K367" s="1"/>
      <c r="L367" s="1"/>
    </row>
    <row r="368" spans="1:12">
      <c r="B368" s="1"/>
      <c r="C368" s="1"/>
      <c r="D368" s="1"/>
      <c r="E368" s="1"/>
      <c r="F368" s="1"/>
      <c r="G368" s="1"/>
      <c r="H368" s="1"/>
      <c r="I368" s="1"/>
      <c r="J368" s="1"/>
      <c r="K368" s="1"/>
      <c r="L368" s="1"/>
    </row>
    <row r="369" spans="2:12">
      <c r="B369" s="1"/>
      <c r="C369" s="1"/>
      <c r="D369" s="1"/>
      <c r="E369" s="1"/>
      <c r="F369" s="1"/>
      <c r="G369" s="1"/>
      <c r="H369" s="1"/>
      <c r="I369" s="1"/>
      <c r="J369" s="1"/>
      <c r="K369" s="1"/>
      <c r="L369" s="1"/>
    </row>
    <row r="370" spans="2:12">
      <c r="B370" s="1"/>
      <c r="C370" s="1"/>
      <c r="D370" s="1"/>
      <c r="E370" s="1"/>
      <c r="F370" s="1"/>
      <c r="G370" s="1"/>
      <c r="H370" s="1"/>
      <c r="I370" s="1"/>
      <c r="J370" s="1"/>
      <c r="K370" s="1"/>
      <c r="L370" s="1"/>
    </row>
    <row r="371" spans="2:12">
      <c r="B371" s="1"/>
      <c r="C371" s="1"/>
      <c r="D371" s="1"/>
      <c r="E371" s="1"/>
      <c r="F371" s="1"/>
      <c r="G371" s="1"/>
      <c r="H371" s="1"/>
      <c r="I371" s="1"/>
      <c r="J371" s="1"/>
      <c r="K371" s="1"/>
      <c r="L371" s="1"/>
    </row>
    <row r="372" spans="2:12">
      <c r="B372" s="1"/>
      <c r="C372" s="1"/>
      <c r="D372" s="1"/>
      <c r="E372" s="1"/>
      <c r="F372" s="1"/>
      <c r="G372" s="1"/>
      <c r="H372" s="1"/>
      <c r="I372" s="1"/>
      <c r="J372" s="1"/>
      <c r="K372" s="1"/>
      <c r="L372" s="1"/>
    </row>
    <row r="373" spans="2:12">
      <c r="B373" s="1"/>
      <c r="C373" s="1"/>
      <c r="D373" s="1"/>
      <c r="E373" s="1"/>
      <c r="F373" s="1"/>
      <c r="G373" s="1"/>
      <c r="H373" s="1"/>
      <c r="I373" s="1"/>
      <c r="J373" s="1"/>
      <c r="K373" s="1"/>
      <c r="L373" s="1"/>
    </row>
    <row r="374" spans="2:12">
      <c r="B374" s="1"/>
      <c r="C374" s="1"/>
      <c r="D374" s="1"/>
      <c r="E374" s="1"/>
      <c r="F374" s="1"/>
      <c r="G374" s="1"/>
      <c r="H374" s="1"/>
      <c r="I374" s="1"/>
      <c r="J374" s="1"/>
      <c r="K374" s="1"/>
      <c r="L374" s="1"/>
    </row>
    <row r="375" spans="2:12">
      <c r="B375" s="1"/>
      <c r="C375" s="1"/>
      <c r="D375" s="1"/>
      <c r="E375" s="1"/>
      <c r="F375" s="1"/>
      <c r="G375" s="1"/>
      <c r="H375" s="1"/>
      <c r="I375" s="1"/>
      <c r="J375" s="1"/>
      <c r="K375" s="1"/>
      <c r="L375" s="1"/>
    </row>
    <row r="376" spans="2:12">
      <c r="B376" s="1"/>
      <c r="C376" s="1"/>
      <c r="D376" s="1"/>
      <c r="E376" s="1"/>
      <c r="F376" s="1"/>
      <c r="G376" s="1"/>
      <c r="H376" s="1"/>
      <c r="I376" s="1"/>
      <c r="J376" s="1"/>
      <c r="K376" s="1"/>
      <c r="L376" s="1"/>
    </row>
    <row r="377" spans="2:12">
      <c r="B377" s="1"/>
      <c r="C377" s="1"/>
      <c r="D377" s="1"/>
      <c r="E377" s="1"/>
      <c r="F377" s="1"/>
      <c r="G377" s="1"/>
      <c r="H377" s="1"/>
      <c r="I377" s="1"/>
      <c r="J377" s="1"/>
      <c r="K377" s="1"/>
      <c r="L377" s="1"/>
    </row>
    <row r="378" spans="2:12">
      <c r="B378" s="1"/>
      <c r="C378" s="1"/>
      <c r="D378" s="1"/>
      <c r="E378" s="1"/>
      <c r="F378" s="1"/>
      <c r="G378" s="1"/>
      <c r="H378" s="1"/>
      <c r="I378" s="1"/>
      <c r="J378" s="1"/>
      <c r="K378" s="1"/>
      <c r="L378" s="1"/>
    </row>
    <row r="379" spans="2:12">
      <c r="B379" s="1"/>
      <c r="C379" s="1"/>
      <c r="D379" s="1"/>
      <c r="E379" s="1"/>
      <c r="F379" s="1"/>
      <c r="G379" s="1"/>
      <c r="H379" s="1"/>
      <c r="I379" s="1"/>
      <c r="J379" s="1"/>
      <c r="K379" s="1"/>
      <c r="L379" s="1"/>
    </row>
    <row r="380" spans="2:12">
      <c r="B380" s="1"/>
      <c r="C380" s="1"/>
      <c r="D380" s="1"/>
      <c r="E380" s="1"/>
      <c r="F380" s="1"/>
      <c r="G380" s="1"/>
      <c r="H380" s="1"/>
      <c r="I380" s="1"/>
      <c r="J380" s="1"/>
      <c r="K380" s="1"/>
      <c r="L380" s="1"/>
    </row>
    <row r="381" spans="2:12">
      <c r="B381" s="1"/>
      <c r="C381" s="1"/>
      <c r="D381" s="1"/>
      <c r="E381" s="1"/>
      <c r="F381" s="1"/>
      <c r="G381" s="1"/>
      <c r="H381" s="1"/>
      <c r="I381" s="1"/>
      <c r="J381" s="1"/>
      <c r="K381" s="1"/>
      <c r="L381" s="1"/>
    </row>
    <row r="382" spans="2:12">
      <c r="B382" s="1"/>
      <c r="C382" s="1"/>
      <c r="D382" s="1"/>
      <c r="E382" s="1"/>
      <c r="F382" s="1"/>
      <c r="G382" s="1"/>
      <c r="H382" s="1"/>
      <c r="I382" s="1"/>
      <c r="J382" s="1"/>
      <c r="K382" s="1"/>
      <c r="L382" s="1"/>
    </row>
    <row r="383" spans="2:12">
      <c r="B383" s="1"/>
      <c r="C383" s="1"/>
      <c r="D383" s="1"/>
      <c r="E383" s="1"/>
      <c r="F383" s="1"/>
      <c r="G383" s="1"/>
      <c r="H383" s="1"/>
      <c r="I383" s="1"/>
      <c r="J383" s="1"/>
      <c r="K383" s="1"/>
      <c r="L383" s="1"/>
    </row>
    <row r="384" spans="2:12">
      <c r="B384" s="1"/>
      <c r="C384" s="1"/>
      <c r="D384" s="1"/>
      <c r="E384" s="1"/>
      <c r="F384" s="1"/>
      <c r="G384" s="1"/>
      <c r="H384" s="1"/>
      <c r="I384" s="1"/>
      <c r="J384" s="1"/>
      <c r="K384" s="1"/>
      <c r="L384" s="1"/>
    </row>
    <row r="385" spans="2:12">
      <c r="B385" s="1"/>
      <c r="C385" s="1"/>
      <c r="D385" s="1"/>
      <c r="E385" s="1"/>
      <c r="F385" s="1"/>
      <c r="G385" s="1"/>
      <c r="H385" s="1"/>
      <c r="I385" s="1"/>
      <c r="J385" s="1"/>
      <c r="K385" s="1"/>
      <c r="L385" s="1"/>
    </row>
    <row r="386" spans="2:12">
      <c r="B386" s="1"/>
      <c r="C386" s="1"/>
      <c r="D386" s="1"/>
      <c r="E386" s="1"/>
      <c r="F386" s="1"/>
      <c r="G386" s="1"/>
      <c r="H386" s="1"/>
      <c r="I386" s="1"/>
      <c r="J386" s="1"/>
      <c r="K386" s="1"/>
      <c r="L386" s="1"/>
    </row>
    <row r="387" spans="2:12">
      <c r="B387" s="1"/>
      <c r="C387" s="1"/>
      <c r="D387" s="1"/>
      <c r="E387" s="1"/>
      <c r="F387" s="1"/>
      <c r="G387" s="1"/>
      <c r="H387" s="1"/>
      <c r="I387" s="1"/>
      <c r="J387" s="1"/>
      <c r="K387" s="1"/>
      <c r="L387" s="1"/>
    </row>
    <row r="388" spans="2:12">
      <c r="B388" s="1"/>
      <c r="C388" s="1"/>
      <c r="D388" s="1"/>
      <c r="E388" s="1"/>
      <c r="F388" s="1"/>
      <c r="G388" s="1"/>
      <c r="H388" s="1"/>
      <c r="I388" s="1"/>
      <c r="J388" s="1"/>
      <c r="K388" s="1"/>
      <c r="L388" s="1"/>
    </row>
    <row r="389" spans="2:12">
      <c r="B389" s="1"/>
      <c r="C389" s="1"/>
      <c r="D389" s="1"/>
      <c r="E389" s="1"/>
      <c r="F389" s="1"/>
      <c r="G389" s="1"/>
      <c r="H389" s="1"/>
      <c r="I389" s="1"/>
      <c r="J389" s="1"/>
      <c r="K389" s="1"/>
      <c r="L389" s="1"/>
    </row>
    <row r="390" spans="2:12">
      <c r="B390" s="1"/>
      <c r="C390" s="1"/>
      <c r="D390" s="1"/>
      <c r="E390" s="1"/>
      <c r="F390" s="1"/>
      <c r="G390" s="1"/>
      <c r="H390" s="1"/>
      <c r="I390" s="1"/>
      <c r="J390" s="1"/>
      <c r="K390" s="1"/>
      <c r="L390" s="1"/>
    </row>
    <row r="391" spans="2:12">
      <c r="B391" s="1"/>
      <c r="C391" s="1"/>
      <c r="D391" s="1"/>
      <c r="E391" s="1"/>
      <c r="F391" s="1"/>
      <c r="G391" s="1"/>
      <c r="H391" s="1"/>
      <c r="I391" s="1"/>
      <c r="J391" s="1"/>
      <c r="K391" s="1"/>
      <c r="L391" s="1"/>
    </row>
    <row r="392" spans="2:12">
      <c r="B392" s="1"/>
      <c r="C392" s="1"/>
      <c r="D392" s="1"/>
      <c r="E392" s="1"/>
      <c r="F392" s="1"/>
      <c r="G392" s="1"/>
      <c r="H392" s="1"/>
      <c r="I392" s="1"/>
      <c r="J392" s="1"/>
      <c r="K392" s="1"/>
      <c r="L392" s="1"/>
    </row>
    <row r="393" spans="2:12">
      <c r="B393" s="1"/>
      <c r="C393" s="1"/>
      <c r="D393" s="1"/>
      <c r="E393" s="1"/>
      <c r="F393" s="1"/>
      <c r="G393" s="1"/>
      <c r="H393" s="1"/>
      <c r="I393" s="1"/>
      <c r="J393" s="1"/>
      <c r="K393" s="1"/>
      <c r="L393" s="1"/>
    </row>
    <row r="394" spans="2:12">
      <c r="B394" s="1"/>
      <c r="C394" s="1"/>
      <c r="D394" s="1"/>
      <c r="E394" s="1"/>
      <c r="F394" s="1"/>
      <c r="G394" s="1"/>
      <c r="H394" s="1"/>
      <c r="I394" s="1"/>
      <c r="J394" s="1"/>
      <c r="K394" s="1"/>
      <c r="L394" s="1"/>
    </row>
    <row r="395" spans="2:12">
      <c r="B395" s="1"/>
      <c r="C395" s="1"/>
      <c r="D395" s="1"/>
      <c r="E395" s="1"/>
      <c r="F395" s="1"/>
      <c r="G395" s="1"/>
      <c r="H395" s="1"/>
      <c r="I395" s="1"/>
      <c r="J395" s="1"/>
      <c r="K395" s="1"/>
      <c r="L395" s="1"/>
    </row>
    <row r="396" spans="2:12">
      <c r="B396" s="1"/>
      <c r="C396" s="1"/>
      <c r="D396" s="1"/>
      <c r="E396" s="1"/>
      <c r="F396" s="1"/>
      <c r="G396" s="1"/>
      <c r="H396" s="1"/>
      <c r="I396" s="1"/>
      <c r="J396" s="1"/>
      <c r="K396" s="1"/>
      <c r="L396" s="1"/>
    </row>
  </sheetData>
  <mergeCells count="1">
    <mergeCell ref="J1:L1"/>
  </mergeCells>
  <phoneticPr fontId="12" type="noConversion"/>
  <printOptions gridLines="1"/>
  <pageMargins left="0.75" right="0.75" top="1" bottom="1" header="0.5" footer="0.5"/>
  <pageSetup scale="67" fitToHeight="0" orientation="landscape" horizontalDpi="4294967292" verticalDpi="4294967292"/>
  <headerFooter>
    <oddHeader>&amp;C&amp;"Calibri,Regular"&amp;14&amp;K000000Finance Department</oddHeader>
  </headerFooter>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sheetPr>
  <dimension ref="A1:W331"/>
  <sheetViews>
    <sheetView topLeftCell="M1" workbookViewId="0">
      <selection activeCell="W13" sqref="W13"/>
    </sheetView>
  </sheetViews>
  <sheetFormatPr defaultColWidth="11" defaultRowHeight="15.75"/>
  <cols>
    <col min="1" max="1" width="25.625" customWidth="1"/>
    <col min="2" max="2" width="15.125" bestFit="1" customWidth="1"/>
    <col min="3" max="9" width="12.5" bestFit="1" customWidth="1"/>
    <col min="10" max="12" width="13.875" customWidth="1"/>
    <col min="13" max="13" width="11" style="190"/>
  </cols>
  <sheetData>
    <row r="1" spans="1:22" ht="18.75">
      <c r="A1" s="37" t="s">
        <v>95</v>
      </c>
      <c r="J1" s="494" t="s">
        <v>215</v>
      </c>
      <c r="K1" s="494"/>
      <c r="L1" s="494"/>
    </row>
    <row r="2" spans="1:22">
      <c r="A2" s="2"/>
    </row>
    <row r="3" spans="1:22">
      <c r="A3" s="2"/>
      <c r="B3" s="19"/>
      <c r="C3" s="19"/>
      <c r="D3" s="19"/>
      <c r="E3" s="19"/>
      <c r="F3" s="19"/>
      <c r="G3" s="19"/>
      <c r="H3" s="19"/>
      <c r="I3" s="19"/>
      <c r="J3" s="496"/>
      <c r="K3" s="496"/>
      <c r="L3" s="496"/>
    </row>
    <row r="4" spans="1:22">
      <c r="A4" s="2"/>
      <c r="B4" s="82" t="s">
        <v>61</v>
      </c>
      <c r="C4" s="82" t="s">
        <v>61</v>
      </c>
      <c r="D4" s="82" t="s">
        <v>61</v>
      </c>
      <c r="E4" s="82" t="s">
        <v>61</v>
      </c>
      <c r="F4" s="82" t="s">
        <v>61</v>
      </c>
      <c r="G4" s="82" t="s">
        <v>61</v>
      </c>
      <c r="H4" s="82" t="s">
        <v>61</v>
      </c>
      <c r="I4" s="82" t="s">
        <v>61</v>
      </c>
      <c r="J4" s="82" t="s">
        <v>61</v>
      </c>
      <c r="K4" s="82" t="s">
        <v>61</v>
      </c>
      <c r="L4" s="82" t="s">
        <v>61</v>
      </c>
    </row>
    <row r="5" spans="1:22">
      <c r="B5" s="30" t="s">
        <v>57</v>
      </c>
      <c r="C5" s="30" t="s">
        <v>57</v>
      </c>
      <c r="D5" s="30" t="s">
        <v>57</v>
      </c>
      <c r="E5" s="30" t="s">
        <v>57</v>
      </c>
      <c r="F5" s="30" t="s">
        <v>57</v>
      </c>
      <c r="G5" s="30" t="s">
        <v>57</v>
      </c>
      <c r="H5" s="30" t="s">
        <v>57</v>
      </c>
      <c r="I5" s="30" t="s">
        <v>57</v>
      </c>
      <c r="J5" s="30" t="s">
        <v>57</v>
      </c>
      <c r="K5" s="30" t="s">
        <v>202</v>
      </c>
      <c r="L5" s="30" t="s">
        <v>58</v>
      </c>
      <c r="M5" s="195"/>
      <c r="N5" s="2"/>
    </row>
    <row r="6" spans="1:22" ht="18.75">
      <c r="A6" s="93" t="s">
        <v>98</v>
      </c>
      <c r="B6" s="254">
        <v>2009</v>
      </c>
      <c r="C6" s="254">
        <v>2010</v>
      </c>
      <c r="D6" s="254">
        <v>2011</v>
      </c>
      <c r="E6" s="254">
        <v>2012</v>
      </c>
      <c r="F6" s="254">
        <v>2013</v>
      </c>
      <c r="G6" s="254">
        <v>2014</v>
      </c>
      <c r="H6" s="254">
        <v>2015</v>
      </c>
      <c r="I6" s="254">
        <v>2016</v>
      </c>
      <c r="J6" s="254">
        <v>2017</v>
      </c>
      <c r="K6" s="254">
        <v>2018</v>
      </c>
      <c r="L6" s="254">
        <v>2019</v>
      </c>
      <c r="M6" s="174"/>
      <c r="N6" s="3"/>
    </row>
    <row r="7" spans="1:22">
      <c r="A7" s="10" t="s">
        <v>100</v>
      </c>
      <c r="B7" s="32">
        <v>994705</v>
      </c>
      <c r="C7" s="32">
        <v>865256</v>
      </c>
      <c r="D7" s="32">
        <v>743474</v>
      </c>
      <c r="E7" s="32">
        <v>859665</v>
      </c>
      <c r="F7" s="32">
        <v>962311</v>
      </c>
      <c r="G7" s="32">
        <v>1108001</v>
      </c>
      <c r="H7" s="32">
        <v>1136292</v>
      </c>
      <c r="I7" s="32">
        <v>1193313</v>
      </c>
      <c r="J7" s="32">
        <v>969214</v>
      </c>
      <c r="K7" s="32">
        <v>1153480</v>
      </c>
      <c r="L7" s="32">
        <v>0</v>
      </c>
      <c r="M7" s="174"/>
      <c r="N7" s="3"/>
    </row>
    <row r="8" spans="1:22">
      <c r="A8" s="96" t="s">
        <v>93</v>
      </c>
      <c r="B8" s="32">
        <v>9540964</v>
      </c>
      <c r="C8" s="32">
        <v>9321056</v>
      </c>
      <c r="D8" s="32">
        <v>12232434</v>
      </c>
      <c r="E8" s="32">
        <v>11566727</v>
      </c>
      <c r="F8" s="32">
        <v>12006502</v>
      </c>
      <c r="G8" s="32">
        <v>12055743</v>
      </c>
      <c r="H8" s="32">
        <v>14171909</v>
      </c>
      <c r="I8" s="32">
        <v>19371826</v>
      </c>
      <c r="J8" s="32">
        <f>2925907+14552428</f>
        <v>17478335</v>
      </c>
      <c r="K8" s="32">
        <f>15902512+3203483</f>
        <v>19105995</v>
      </c>
      <c r="L8" s="32">
        <f>3081930+16520625</f>
        <v>19602555</v>
      </c>
      <c r="M8" s="174"/>
      <c r="N8" s="3"/>
    </row>
    <row r="9" spans="1:22">
      <c r="A9" s="94" t="s">
        <v>101</v>
      </c>
      <c r="B9" s="32">
        <v>0</v>
      </c>
      <c r="C9" s="32">
        <v>0</v>
      </c>
      <c r="D9" s="32">
        <v>0</v>
      </c>
      <c r="E9" s="32">
        <v>0</v>
      </c>
      <c r="F9" s="32">
        <v>0</v>
      </c>
      <c r="G9" s="32">
        <v>0</v>
      </c>
      <c r="H9" s="32">
        <v>0</v>
      </c>
      <c r="I9" s="32">
        <v>0</v>
      </c>
      <c r="J9" s="32">
        <v>0</v>
      </c>
      <c r="K9" s="32">
        <v>0</v>
      </c>
      <c r="L9" s="32">
        <v>0</v>
      </c>
      <c r="M9" s="174"/>
      <c r="N9" s="3"/>
    </row>
    <row r="10" spans="1:22">
      <c r="A10" s="73" t="s">
        <v>83</v>
      </c>
      <c r="B10" s="32">
        <v>0</v>
      </c>
      <c r="C10" s="32">
        <v>0</v>
      </c>
      <c r="D10" s="32">
        <v>0</v>
      </c>
      <c r="E10" s="32">
        <v>0</v>
      </c>
      <c r="F10" s="32">
        <v>0</v>
      </c>
      <c r="G10" s="32">
        <v>0</v>
      </c>
      <c r="H10" s="32">
        <v>0</v>
      </c>
      <c r="I10" s="32">
        <v>0</v>
      </c>
      <c r="J10" s="32">
        <v>0</v>
      </c>
      <c r="K10" s="32">
        <v>0</v>
      </c>
      <c r="L10" s="32">
        <v>0</v>
      </c>
      <c r="M10" s="195"/>
      <c r="N10" s="2"/>
    </row>
    <row r="11" spans="1:22" ht="16.5" thickBot="1">
      <c r="A11" s="39"/>
      <c r="B11" s="125">
        <v>0</v>
      </c>
      <c r="C11" s="125">
        <v>0</v>
      </c>
      <c r="D11" s="125">
        <v>0</v>
      </c>
      <c r="E11" s="125">
        <v>0</v>
      </c>
      <c r="F11" s="125">
        <v>0</v>
      </c>
      <c r="G11" s="125">
        <v>0</v>
      </c>
      <c r="H11" s="125">
        <v>0</v>
      </c>
      <c r="I11" s="125">
        <v>0</v>
      </c>
      <c r="J11" s="125">
        <v>0</v>
      </c>
      <c r="K11" s="125">
        <v>0</v>
      </c>
      <c r="L11" s="125">
        <v>0</v>
      </c>
      <c r="M11" s="195"/>
      <c r="N11" s="2"/>
    </row>
    <row r="12" spans="1:22">
      <c r="A12" s="95" t="s">
        <v>108</v>
      </c>
      <c r="B12" s="32">
        <f t="shared" ref="B12:L12" si="0">SUM(B7:B11)</f>
        <v>10535669</v>
      </c>
      <c r="C12" s="32">
        <f t="shared" si="0"/>
        <v>10186312</v>
      </c>
      <c r="D12" s="32">
        <f t="shared" si="0"/>
        <v>12975908</v>
      </c>
      <c r="E12" s="32">
        <f t="shared" si="0"/>
        <v>12426392</v>
      </c>
      <c r="F12" s="32">
        <f t="shared" si="0"/>
        <v>12968813</v>
      </c>
      <c r="G12" s="32">
        <f t="shared" si="0"/>
        <v>13163744</v>
      </c>
      <c r="H12" s="32">
        <f t="shared" si="0"/>
        <v>15308201</v>
      </c>
      <c r="I12" s="32">
        <f t="shared" si="0"/>
        <v>20565139</v>
      </c>
      <c r="J12" s="32">
        <f t="shared" si="0"/>
        <v>18447549</v>
      </c>
      <c r="K12" s="32">
        <f t="shared" si="0"/>
        <v>20259475</v>
      </c>
      <c r="L12" s="32">
        <f t="shared" si="0"/>
        <v>19602555</v>
      </c>
      <c r="M12" s="195"/>
      <c r="N12" s="2"/>
    </row>
    <row r="13" spans="1:22">
      <c r="A13" s="2"/>
      <c r="B13" s="31"/>
      <c r="C13" s="31"/>
      <c r="D13" s="31"/>
      <c r="E13" s="31"/>
      <c r="F13" s="31"/>
      <c r="G13" s="31"/>
      <c r="H13" s="31"/>
      <c r="I13" s="31"/>
      <c r="J13" s="31"/>
      <c r="K13" s="31"/>
      <c r="L13" s="31"/>
      <c r="M13" s="195"/>
      <c r="N13" s="2"/>
      <c r="V13" s="19"/>
    </row>
    <row r="14" spans="1:22">
      <c r="A14" s="88"/>
      <c r="B14" s="32"/>
      <c r="C14" s="32"/>
      <c r="D14" s="32"/>
      <c r="E14" s="32"/>
      <c r="F14" s="32"/>
      <c r="G14" s="32"/>
      <c r="H14" s="32"/>
      <c r="I14" s="32"/>
      <c r="J14" s="32"/>
      <c r="K14" s="32"/>
      <c r="L14" s="32"/>
      <c r="M14" s="195"/>
      <c r="N14" s="2"/>
    </row>
    <row r="15" spans="1:22" ht="18.75">
      <c r="A15" s="93" t="s">
        <v>73</v>
      </c>
      <c r="B15" s="254">
        <v>2009</v>
      </c>
      <c r="C15" s="254">
        <v>2010</v>
      </c>
      <c r="D15" s="254">
        <v>2011</v>
      </c>
      <c r="E15" s="254">
        <v>2012</v>
      </c>
      <c r="F15" s="254">
        <v>2013</v>
      </c>
      <c r="G15" s="254">
        <v>2014</v>
      </c>
      <c r="H15" s="254">
        <v>2015</v>
      </c>
      <c r="I15" s="254">
        <v>2016</v>
      </c>
      <c r="J15" s="254">
        <v>2017</v>
      </c>
      <c r="K15" s="254">
        <v>2018</v>
      </c>
      <c r="L15" s="254">
        <v>2019</v>
      </c>
      <c r="M15" s="196"/>
      <c r="N15" s="10"/>
    </row>
    <row r="16" spans="1:22">
      <c r="A16" s="10" t="s">
        <v>100</v>
      </c>
      <c r="B16" s="3">
        <v>994705</v>
      </c>
      <c r="C16" s="3">
        <v>865256</v>
      </c>
      <c r="D16" s="3">
        <v>743474</v>
      </c>
      <c r="E16" s="3">
        <v>859665</v>
      </c>
      <c r="F16" s="3">
        <v>962311</v>
      </c>
      <c r="G16" s="3">
        <v>1108001</v>
      </c>
      <c r="H16" s="3">
        <v>1136292</v>
      </c>
      <c r="I16" s="3">
        <v>1193313</v>
      </c>
      <c r="J16" s="3">
        <v>1414939</v>
      </c>
      <c r="K16" s="3">
        <v>1813328</v>
      </c>
      <c r="L16" s="3">
        <v>1839400</v>
      </c>
    </row>
    <row r="17" spans="1:23">
      <c r="A17" s="96" t="s">
        <v>93</v>
      </c>
      <c r="B17" s="3">
        <v>11116066</v>
      </c>
      <c r="C17" s="3">
        <v>11068481</v>
      </c>
      <c r="D17" s="3">
        <v>11778660</v>
      </c>
      <c r="E17" s="3">
        <v>10540253</v>
      </c>
      <c r="F17" s="3">
        <v>12678268</v>
      </c>
      <c r="G17" s="3">
        <v>14080963</v>
      </c>
      <c r="H17" s="3">
        <v>17722974</v>
      </c>
      <c r="I17" s="3">
        <v>15894286</v>
      </c>
      <c r="J17" s="3">
        <v>14351941</v>
      </c>
      <c r="K17" s="3">
        <v>19015038</v>
      </c>
      <c r="L17" s="3">
        <v>20299627</v>
      </c>
    </row>
    <row r="18" spans="1:23">
      <c r="A18" s="94" t="s">
        <v>101</v>
      </c>
      <c r="B18" s="3">
        <v>0</v>
      </c>
      <c r="C18" s="3">
        <v>0</v>
      </c>
      <c r="D18" s="3">
        <v>0</v>
      </c>
      <c r="E18" s="3">
        <v>0</v>
      </c>
      <c r="F18" s="3">
        <v>0</v>
      </c>
      <c r="G18" s="3">
        <v>0</v>
      </c>
      <c r="H18" s="3">
        <v>0</v>
      </c>
      <c r="I18" s="3">
        <v>0</v>
      </c>
      <c r="J18" s="3">
        <v>0</v>
      </c>
      <c r="K18" s="3">
        <v>0</v>
      </c>
      <c r="L18" s="3">
        <v>0</v>
      </c>
      <c r="M18" s="173"/>
      <c r="N18" s="1"/>
    </row>
    <row r="19" spans="1:23">
      <c r="A19" s="73" t="s">
        <v>83</v>
      </c>
      <c r="B19" s="1">
        <v>0</v>
      </c>
      <c r="C19" s="1">
        <v>0</v>
      </c>
      <c r="D19" s="1">
        <v>0</v>
      </c>
      <c r="E19" s="1">
        <v>0</v>
      </c>
      <c r="F19" s="1">
        <v>0</v>
      </c>
      <c r="G19" s="1">
        <v>0</v>
      </c>
      <c r="H19" s="1">
        <v>0</v>
      </c>
      <c r="I19" s="1">
        <v>0</v>
      </c>
      <c r="J19" s="1">
        <v>0</v>
      </c>
      <c r="K19" s="1">
        <v>0</v>
      </c>
      <c r="L19" s="1">
        <v>0</v>
      </c>
      <c r="M19" s="173"/>
      <c r="N19" s="1"/>
      <c r="W19" t="s">
        <v>197</v>
      </c>
    </row>
    <row r="20" spans="1:23" ht="16.5" thickBot="1">
      <c r="A20" s="153" t="s">
        <v>157</v>
      </c>
      <c r="B20" s="69"/>
      <c r="C20" s="69"/>
      <c r="D20" s="69"/>
      <c r="E20" s="69"/>
      <c r="F20" s="69"/>
      <c r="G20" s="69"/>
      <c r="H20" s="69"/>
      <c r="I20" s="69"/>
      <c r="J20" s="69"/>
      <c r="K20" s="69"/>
      <c r="L20" s="69"/>
      <c r="M20" s="173"/>
      <c r="N20" s="1"/>
      <c r="W20" t="s">
        <v>198</v>
      </c>
    </row>
    <row r="21" spans="1:23">
      <c r="A21" s="95" t="s">
        <v>119</v>
      </c>
      <c r="B21" s="1">
        <f t="shared" ref="B21:L21" si="1">SUM(B16:B19)</f>
        <v>12110771</v>
      </c>
      <c r="C21" s="1">
        <f t="shared" si="1"/>
        <v>11933737</v>
      </c>
      <c r="D21" s="1">
        <f t="shared" si="1"/>
        <v>12522134</v>
      </c>
      <c r="E21" s="1">
        <f t="shared" si="1"/>
        <v>11399918</v>
      </c>
      <c r="F21" s="1">
        <f t="shared" si="1"/>
        <v>13640579</v>
      </c>
      <c r="G21" s="1">
        <f t="shared" si="1"/>
        <v>15188964</v>
      </c>
      <c r="H21" s="1">
        <f t="shared" si="1"/>
        <v>18859266</v>
      </c>
      <c r="I21" s="1">
        <f t="shared" si="1"/>
        <v>17087599</v>
      </c>
      <c r="J21" s="1">
        <f t="shared" si="1"/>
        <v>15766880</v>
      </c>
      <c r="K21" s="1">
        <f t="shared" si="1"/>
        <v>20828366</v>
      </c>
      <c r="L21" s="1">
        <f t="shared" si="1"/>
        <v>22139027</v>
      </c>
      <c r="M21" s="173"/>
      <c r="N21" s="1"/>
      <c r="W21" t="s">
        <v>199</v>
      </c>
    </row>
    <row r="22" spans="1:23" ht="18.75">
      <c r="A22" s="223"/>
      <c r="B22" s="173"/>
      <c r="C22" s="173"/>
      <c r="D22" s="173"/>
      <c r="E22" s="173"/>
      <c r="F22" s="173"/>
      <c r="G22" s="173"/>
      <c r="H22" s="173"/>
      <c r="I22" s="173"/>
      <c r="J22" s="173"/>
      <c r="K22" s="173"/>
      <c r="L22" s="173"/>
      <c r="M22" s="173"/>
      <c r="N22" s="1"/>
      <c r="W22" t="s">
        <v>200</v>
      </c>
    </row>
    <row r="23" spans="1:23">
      <c r="M23" s="173"/>
      <c r="N23" s="1"/>
    </row>
    <row r="24" spans="1:23">
      <c r="M24" s="173"/>
      <c r="N24" s="1"/>
    </row>
    <row r="25" spans="1:23" ht="18.75">
      <c r="A25" s="37"/>
      <c r="B25" s="254">
        <v>2009</v>
      </c>
      <c r="C25" s="254">
        <v>2010</v>
      </c>
      <c r="D25" s="254">
        <v>2011</v>
      </c>
      <c r="E25" s="254">
        <v>2012</v>
      </c>
      <c r="F25" s="254">
        <v>2013</v>
      </c>
      <c r="G25" s="254">
        <v>2014</v>
      </c>
      <c r="H25" s="254">
        <v>2015</v>
      </c>
      <c r="I25" s="254">
        <v>2016</v>
      </c>
      <c r="J25" s="254">
        <v>2017</v>
      </c>
      <c r="K25" s="254">
        <v>2018</v>
      </c>
      <c r="L25" s="254">
        <v>2019</v>
      </c>
      <c r="M25" s="173"/>
      <c r="N25" s="1"/>
    </row>
    <row r="26" spans="1:23">
      <c r="A26" s="2" t="s">
        <v>203</v>
      </c>
      <c r="B26" s="8">
        <f t="shared" ref="B26:L26" si="2">+B16/B27</f>
        <v>15.748472182641462</v>
      </c>
      <c r="C26" s="8">
        <f t="shared" si="2"/>
        <v>12.772814502081427</v>
      </c>
      <c r="D26" s="8">
        <f t="shared" si="2"/>
        <v>10.812437282762032</v>
      </c>
      <c r="E26" s="8">
        <f t="shared" si="2"/>
        <v>12.397643529801993</v>
      </c>
      <c r="F26" s="8">
        <f t="shared" si="2"/>
        <v>13.675017763251386</v>
      </c>
      <c r="G26" s="8">
        <f t="shared" si="2"/>
        <v>15.599715601109438</v>
      </c>
      <c r="H26" s="8">
        <f t="shared" si="2"/>
        <v>15.476600381367474</v>
      </c>
      <c r="I26" s="8">
        <f t="shared" si="2"/>
        <v>16.042387578140755</v>
      </c>
      <c r="J26" s="8">
        <f t="shared" si="2"/>
        <v>18.656896097046413</v>
      </c>
      <c r="K26" s="8">
        <f t="shared" si="2"/>
        <v>23.469855815277885</v>
      </c>
      <c r="L26" s="8">
        <f t="shared" si="2"/>
        <v>23.289440364649277</v>
      </c>
      <c r="M26" s="173"/>
      <c r="N26" s="1"/>
    </row>
    <row r="27" spans="1:23">
      <c r="A27" s="45" t="s">
        <v>21</v>
      </c>
      <c r="B27" s="12">
        <f>Stats!D4</f>
        <v>63162</v>
      </c>
      <c r="C27" s="12">
        <f>Stats!E4</f>
        <v>67742</v>
      </c>
      <c r="D27" s="12">
        <f>Stats!F4</f>
        <v>68761</v>
      </c>
      <c r="E27" s="12">
        <f>Stats!G4</f>
        <v>69341</v>
      </c>
      <c r="F27" s="12">
        <f>Stats!H4</f>
        <v>70370</v>
      </c>
      <c r="G27" s="12">
        <f>Stats!I4</f>
        <v>71027</v>
      </c>
      <c r="H27" s="12">
        <f>Stats!J4</f>
        <v>73420</v>
      </c>
      <c r="I27" s="12">
        <f>Stats!K4</f>
        <v>74385</v>
      </c>
      <c r="J27" s="12">
        <f>Stats!L4</f>
        <v>75840</v>
      </c>
      <c r="K27" s="12">
        <f>Stats!M4</f>
        <v>77262</v>
      </c>
      <c r="L27" s="12">
        <f>Stats!N4</f>
        <v>78980</v>
      </c>
      <c r="M27" s="173"/>
      <c r="N27" s="1"/>
    </row>
    <row r="28" spans="1:23">
      <c r="M28" s="173"/>
      <c r="N28" s="1"/>
    </row>
    <row r="29" spans="1:23">
      <c r="B29" s="254"/>
      <c r="C29" s="254"/>
      <c r="D29" s="254"/>
      <c r="E29" s="254"/>
      <c r="F29" s="254"/>
      <c r="G29" s="254"/>
      <c r="H29" s="254"/>
      <c r="I29" s="254"/>
      <c r="J29" s="254"/>
      <c r="K29" s="254"/>
      <c r="L29" s="254"/>
      <c r="M29" s="173"/>
      <c r="N29" s="1"/>
    </row>
    <row r="30" spans="1:23">
      <c r="A30" s="253" t="s">
        <v>159</v>
      </c>
      <c r="B30" s="342">
        <f t="shared" ref="B30:L30" si="3">+B16/B31</f>
        <v>99470.5</v>
      </c>
      <c r="C30" s="342">
        <f t="shared" si="3"/>
        <v>86525.6</v>
      </c>
      <c r="D30" s="342">
        <f t="shared" si="3"/>
        <v>76253.743589743593</v>
      </c>
      <c r="E30" s="342">
        <f t="shared" si="3"/>
        <v>95518.333333333328</v>
      </c>
      <c r="F30" s="342">
        <f t="shared" si="3"/>
        <v>106923.44444444444</v>
      </c>
      <c r="G30" s="342">
        <f t="shared" si="3"/>
        <v>123111.22222222222</v>
      </c>
      <c r="H30" s="342">
        <f t="shared" si="3"/>
        <v>126254.66666666667</v>
      </c>
      <c r="I30" s="342">
        <f t="shared" si="3"/>
        <v>132590.33333333334</v>
      </c>
      <c r="J30" s="342">
        <f t="shared" si="3"/>
        <v>157215.44444444444</v>
      </c>
      <c r="K30" s="342">
        <f t="shared" si="3"/>
        <v>201480.88888888888</v>
      </c>
      <c r="L30" s="342">
        <f t="shared" si="3"/>
        <v>204377.77777777778</v>
      </c>
      <c r="M30" s="173"/>
      <c r="N30" s="1"/>
    </row>
    <row r="31" spans="1:23">
      <c r="A31" s="45" t="s">
        <v>64</v>
      </c>
      <c r="B31" s="34">
        <v>10</v>
      </c>
      <c r="C31" s="34">
        <v>10</v>
      </c>
      <c r="D31" s="34">
        <v>9.75</v>
      </c>
      <c r="E31" s="34">
        <v>9</v>
      </c>
      <c r="F31" s="34">
        <v>9</v>
      </c>
      <c r="G31" s="34">
        <v>9</v>
      </c>
      <c r="H31" s="34">
        <v>9</v>
      </c>
      <c r="I31" s="34">
        <v>9</v>
      </c>
      <c r="J31" s="34">
        <v>9</v>
      </c>
      <c r="K31" s="34">
        <v>9</v>
      </c>
      <c r="L31" s="34">
        <v>9</v>
      </c>
      <c r="M31" s="173"/>
      <c r="N31" s="1"/>
    </row>
    <row r="32" spans="1:23">
      <c r="A32" s="190"/>
      <c r="B32" s="190"/>
      <c r="C32" s="190"/>
      <c r="D32" s="190"/>
      <c r="E32" s="190"/>
      <c r="F32" s="190"/>
      <c r="G32" s="190"/>
      <c r="H32" s="190"/>
      <c r="I32" s="190"/>
      <c r="J32" s="190"/>
      <c r="K32" s="190"/>
      <c r="L32" s="190"/>
      <c r="M32" s="173"/>
      <c r="N32" s="1"/>
    </row>
    <row r="33" spans="1:14">
      <c r="A33" s="190"/>
      <c r="B33" s="190"/>
      <c r="C33" s="190"/>
      <c r="D33" s="190"/>
      <c r="E33" s="190"/>
      <c r="F33" s="190"/>
      <c r="G33" s="190"/>
      <c r="H33" s="190"/>
      <c r="I33" s="190"/>
      <c r="J33" s="190"/>
      <c r="K33" s="190"/>
      <c r="L33" s="190"/>
      <c r="M33" s="173"/>
      <c r="N33" s="1"/>
    </row>
    <row r="34" spans="1:14">
      <c r="A34" s="391"/>
      <c r="B34" s="117"/>
      <c r="C34" s="117"/>
      <c r="D34" s="117"/>
      <c r="E34" s="117"/>
      <c r="F34" s="117"/>
      <c r="G34" s="117"/>
      <c r="H34" s="117"/>
      <c r="I34" s="117"/>
      <c r="J34" s="117"/>
      <c r="K34" s="117"/>
      <c r="L34" s="117"/>
      <c r="M34" s="173"/>
      <c r="N34" s="1"/>
    </row>
    <row r="35" spans="1:14">
      <c r="A35" s="9" t="s">
        <v>63</v>
      </c>
      <c r="B35" s="15"/>
      <c r="C35" s="15"/>
      <c r="D35" s="15"/>
      <c r="E35" s="15"/>
      <c r="F35" s="15"/>
      <c r="G35" s="15"/>
      <c r="H35" s="15"/>
      <c r="I35" s="15"/>
      <c r="J35" s="15"/>
      <c r="K35" s="15"/>
      <c r="L35" s="15"/>
      <c r="M35" s="173"/>
      <c r="N35" s="1"/>
    </row>
    <row r="36" spans="1:14">
      <c r="A36" s="40" t="s">
        <v>235</v>
      </c>
      <c r="B36" s="22">
        <v>10</v>
      </c>
      <c r="C36" s="22">
        <v>10</v>
      </c>
      <c r="D36" s="22">
        <v>8.75</v>
      </c>
      <c r="E36" s="22">
        <v>8</v>
      </c>
      <c r="F36" s="22">
        <v>8</v>
      </c>
      <c r="G36" s="22">
        <v>8</v>
      </c>
      <c r="H36" s="22">
        <v>8</v>
      </c>
      <c r="I36" s="22">
        <v>8</v>
      </c>
      <c r="J36" s="22">
        <v>8</v>
      </c>
      <c r="K36" s="22">
        <v>8</v>
      </c>
      <c r="L36" s="22">
        <v>8</v>
      </c>
      <c r="M36" s="173"/>
      <c r="N36" s="1"/>
    </row>
    <row r="37" spans="1:14">
      <c r="A37" s="40" t="s">
        <v>236</v>
      </c>
      <c r="B37" s="22">
        <v>0</v>
      </c>
      <c r="C37" s="22">
        <v>0</v>
      </c>
      <c r="D37" s="22">
        <v>1</v>
      </c>
      <c r="E37" s="22">
        <v>1</v>
      </c>
      <c r="F37" s="22">
        <v>1</v>
      </c>
      <c r="G37" s="22">
        <v>1</v>
      </c>
      <c r="H37" s="22">
        <v>1</v>
      </c>
      <c r="I37" s="22">
        <v>1</v>
      </c>
      <c r="J37" s="22">
        <v>1</v>
      </c>
      <c r="K37" s="22">
        <v>1</v>
      </c>
      <c r="L37" s="22">
        <v>1</v>
      </c>
      <c r="M37" s="173"/>
      <c r="N37" s="1"/>
    </row>
    <row r="38" spans="1:14">
      <c r="A38" s="40" t="s">
        <v>237</v>
      </c>
      <c r="B38" s="22">
        <v>0</v>
      </c>
      <c r="C38" s="22">
        <v>0</v>
      </c>
      <c r="D38" s="22">
        <v>0</v>
      </c>
      <c r="E38" s="22"/>
      <c r="F38" s="22">
        <v>0</v>
      </c>
      <c r="G38" s="22">
        <v>0</v>
      </c>
      <c r="H38" s="22">
        <v>0</v>
      </c>
      <c r="I38" s="22">
        <v>0</v>
      </c>
      <c r="J38" s="22">
        <v>0</v>
      </c>
      <c r="K38" s="22">
        <v>0</v>
      </c>
      <c r="L38" s="22">
        <v>0</v>
      </c>
      <c r="M38" s="173"/>
      <c r="N38" s="1"/>
    </row>
    <row r="39" spans="1:14" ht="16.5" thickBot="1">
      <c r="A39" s="40"/>
      <c r="B39" s="35">
        <v>0</v>
      </c>
      <c r="C39" s="35">
        <v>0</v>
      </c>
      <c r="D39" s="35">
        <v>0</v>
      </c>
      <c r="E39" s="35">
        <v>0</v>
      </c>
      <c r="F39" s="35">
        <v>0</v>
      </c>
      <c r="G39" s="35">
        <v>0</v>
      </c>
      <c r="H39" s="35">
        <v>0</v>
      </c>
      <c r="I39" s="35">
        <v>0</v>
      </c>
      <c r="J39" s="35">
        <v>0</v>
      </c>
      <c r="K39" s="35">
        <v>0</v>
      </c>
      <c r="L39" s="35">
        <v>0</v>
      </c>
      <c r="M39" s="173"/>
      <c r="N39" s="1"/>
    </row>
    <row r="40" spans="1:14">
      <c r="A40" s="46" t="s">
        <v>64</v>
      </c>
      <c r="B40" s="34">
        <f t="shared" ref="B40:L40" si="4">SUM(B36:B39)</f>
        <v>10</v>
      </c>
      <c r="C40" s="34">
        <f t="shared" si="4"/>
        <v>10</v>
      </c>
      <c r="D40" s="34">
        <f t="shared" si="4"/>
        <v>9.75</v>
      </c>
      <c r="E40" s="34">
        <f t="shared" si="4"/>
        <v>9</v>
      </c>
      <c r="F40" s="34">
        <f t="shared" si="4"/>
        <v>9</v>
      </c>
      <c r="G40" s="34">
        <f t="shared" si="4"/>
        <v>9</v>
      </c>
      <c r="H40" s="34">
        <f t="shared" si="4"/>
        <v>9</v>
      </c>
      <c r="I40" s="34">
        <f t="shared" si="4"/>
        <v>9</v>
      </c>
      <c r="J40" s="34">
        <f t="shared" si="4"/>
        <v>9</v>
      </c>
      <c r="K40" s="34">
        <f t="shared" si="4"/>
        <v>9</v>
      </c>
      <c r="L40" s="34">
        <f t="shared" si="4"/>
        <v>9</v>
      </c>
      <c r="M40" s="173"/>
      <c r="N40" s="1"/>
    </row>
    <row r="41" spans="1:14">
      <c r="A41" s="368"/>
      <c r="B41" s="117"/>
      <c r="C41" s="117"/>
      <c r="D41" s="117"/>
      <c r="E41" s="117"/>
      <c r="F41" s="117"/>
      <c r="G41" s="117"/>
      <c r="H41" s="117"/>
      <c r="I41" s="117"/>
      <c r="J41" s="117"/>
      <c r="K41" s="117"/>
      <c r="L41" s="339"/>
      <c r="M41" s="173"/>
      <c r="N41" s="1"/>
    </row>
    <row r="42" spans="1:14">
      <c r="A42" s="163"/>
      <c r="B42" s="117"/>
      <c r="C42" s="117"/>
      <c r="D42" s="117"/>
      <c r="E42" s="117"/>
      <c r="F42" s="117"/>
      <c r="G42" s="117"/>
      <c r="H42" s="117"/>
      <c r="I42" s="117"/>
      <c r="J42" s="117"/>
      <c r="K42" s="117"/>
      <c r="L42" s="117"/>
      <c r="M42" s="173"/>
      <c r="N42" s="1"/>
    </row>
    <row r="43" spans="1:14">
      <c r="A43" s="395"/>
      <c r="B43" s="117"/>
      <c r="C43" s="117"/>
      <c r="D43" s="117"/>
      <c r="E43" s="117"/>
      <c r="F43" s="117"/>
      <c r="G43" s="117"/>
      <c r="H43" s="117"/>
      <c r="I43" s="117"/>
      <c r="J43" s="117"/>
      <c r="K43" s="117"/>
      <c r="L43" s="117"/>
      <c r="M43" s="173"/>
      <c r="N43" s="1"/>
    </row>
    <row r="44" spans="1:14">
      <c r="A44" s="396"/>
      <c r="B44" s="117"/>
      <c r="C44" s="117"/>
      <c r="D44" s="117"/>
      <c r="E44" s="117"/>
      <c r="F44" s="117"/>
      <c r="G44" s="117"/>
      <c r="H44" s="117"/>
      <c r="I44" s="117"/>
      <c r="J44" s="117"/>
      <c r="K44" s="117"/>
      <c r="L44" s="117"/>
      <c r="M44" s="173"/>
      <c r="N44" s="1"/>
    </row>
    <row r="45" spans="1:14">
      <c r="A45" s="396"/>
      <c r="B45" s="117"/>
      <c r="C45" s="117"/>
      <c r="D45" s="117"/>
      <c r="E45" s="117"/>
      <c r="F45" s="117"/>
      <c r="G45" s="117"/>
      <c r="H45" s="117"/>
      <c r="I45" s="117"/>
      <c r="J45" s="117"/>
      <c r="K45" s="117"/>
      <c r="L45" s="117"/>
      <c r="M45" s="173"/>
      <c r="N45" s="1"/>
    </row>
    <row r="46" spans="1:14">
      <c r="A46" s="396"/>
      <c r="B46" s="117"/>
      <c r="C46" s="117"/>
      <c r="D46" s="117"/>
      <c r="E46" s="117"/>
      <c r="F46" s="117"/>
      <c r="G46" s="117"/>
      <c r="H46" s="117"/>
      <c r="I46" s="117"/>
      <c r="J46" s="117"/>
      <c r="K46" s="117"/>
      <c r="L46" s="117"/>
      <c r="M46" s="173"/>
      <c r="N46" s="1"/>
    </row>
    <row r="47" spans="1:14">
      <c r="A47" s="163"/>
      <c r="B47" s="117"/>
      <c r="C47" s="117"/>
      <c r="D47" s="117"/>
      <c r="E47" s="117"/>
      <c r="F47" s="117"/>
      <c r="G47" s="117"/>
      <c r="H47" s="117"/>
      <c r="I47" s="117"/>
      <c r="J47" s="117"/>
      <c r="K47" s="117"/>
      <c r="L47" s="117"/>
      <c r="M47" s="173"/>
      <c r="N47" s="1"/>
    </row>
    <row r="48" spans="1:14">
      <c r="A48" s="357"/>
      <c r="B48" s="117"/>
      <c r="C48" s="117"/>
      <c r="D48" s="117"/>
      <c r="E48" s="117"/>
      <c r="F48" s="117"/>
      <c r="G48" s="117"/>
      <c r="H48" s="117"/>
      <c r="I48" s="117"/>
      <c r="J48" s="117"/>
      <c r="K48" s="117"/>
      <c r="L48" s="117"/>
      <c r="M48" s="173"/>
      <c r="N48" s="1"/>
    </row>
    <row r="49" spans="1:14">
      <c r="A49" s="363"/>
      <c r="B49" s="117"/>
      <c r="C49" s="339"/>
      <c r="D49" s="339"/>
      <c r="E49" s="339"/>
      <c r="F49" s="339"/>
      <c r="G49" s="339"/>
      <c r="H49" s="339"/>
      <c r="I49" s="339"/>
      <c r="J49" s="339"/>
      <c r="K49" s="339"/>
      <c r="L49" s="339"/>
      <c r="M49" s="173"/>
      <c r="N49" s="1"/>
    </row>
    <row r="50" spans="1:14">
      <c r="A50" s="368"/>
      <c r="B50" s="117"/>
      <c r="C50" s="117"/>
      <c r="D50" s="117"/>
      <c r="E50" s="117"/>
      <c r="F50" s="117"/>
      <c r="G50" s="117"/>
      <c r="H50" s="117"/>
      <c r="I50" s="117"/>
      <c r="J50" s="117"/>
      <c r="K50" s="117"/>
      <c r="L50" s="339"/>
      <c r="M50" s="173"/>
      <c r="N50" s="1"/>
    </row>
    <row r="51" spans="1:14">
      <c r="A51" s="163"/>
      <c r="B51" s="117"/>
      <c r="C51" s="117"/>
      <c r="D51" s="117"/>
      <c r="E51" s="117"/>
      <c r="F51" s="117"/>
      <c r="G51" s="117"/>
      <c r="H51" s="117"/>
      <c r="I51" s="117"/>
      <c r="J51" s="117"/>
      <c r="K51" s="117"/>
      <c r="L51" s="117"/>
      <c r="M51" s="173"/>
      <c r="N51" s="1"/>
    </row>
    <row r="52" spans="1:14">
      <c r="A52" s="356"/>
      <c r="B52" s="145"/>
      <c r="C52" s="145"/>
      <c r="D52" s="145"/>
      <c r="E52" s="145"/>
      <c r="F52" s="145"/>
      <c r="G52" s="145"/>
      <c r="H52" s="145"/>
      <c r="I52" s="145"/>
      <c r="J52" s="145"/>
      <c r="K52" s="145"/>
      <c r="L52" s="145"/>
      <c r="M52" s="173"/>
      <c r="N52" s="1"/>
    </row>
    <row r="53" spans="1:14">
      <c r="A53" s="356"/>
      <c r="B53" s="165"/>
      <c r="C53" s="165"/>
      <c r="D53" s="165"/>
      <c r="E53" s="165"/>
      <c r="F53" s="165"/>
      <c r="G53" s="165"/>
      <c r="H53" s="165"/>
      <c r="I53" s="165"/>
      <c r="J53" s="165"/>
      <c r="K53" s="165"/>
      <c r="L53" s="165"/>
      <c r="M53" s="173"/>
      <c r="N53" s="1"/>
    </row>
    <row r="54" spans="1:14">
      <c r="A54" s="371"/>
      <c r="B54" s="144"/>
      <c r="C54" s="144"/>
      <c r="D54" s="144"/>
      <c r="E54" s="144"/>
      <c r="F54" s="144"/>
      <c r="G54" s="144"/>
      <c r="H54" s="144"/>
      <c r="I54" s="144"/>
      <c r="J54" s="144"/>
      <c r="K54" s="144"/>
      <c r="L54" s="144"/>
      <c r="M54" s="173"/>
      <c r="N54" s="1"/>
    </row>
    <row r="55" spans="1:14">
      <c r="A55" s="163"/>
      <c r="B55" s="373"/>
      <c r="C55" s="373"/>
      <c r="D55" s="373"/>
      <c r="E55" s="373"/>
      <c r="F55" s="373"/>
      <c r="G55" s="373"/>
      <c r="H55" s="373"/>
      <c r="I55" s="373"/>
      <c r="J55" s="373"/>
      <c r="K55" s="373"/>
      <c r="L55" s="373"/>
      <c r="M55" s="173"/>
      <c r="N55" s="1"/>
    </row>
    <row r="56" spans="1:14">
      <c r="A56" s="356"/>
      <c r="B56" s="117"/>
      <c r="C56" s="117"/>
      <c r="D56" s="117"/>
      <c r="E56" s="117"/>
      <c r="F56" s="117"/>
      <c r="G56" s="117"/>
      <c r="H56" s="117"/>
      <c r="I56" s="117"/>
      <c r="J56" s="117"/>
      <c r="K56" s="117"/>
      <c r="L56" s="117"/>
      <c r="M56" s="173"/>
      <c r="N56" s="1"/>
    </row>
    <row r="57" spans="1:14">
      <c r="A57" s="356"/>
      <c r="B57" s="117"/>
      <c r="C57" s="117"/>
      <c r="D57" s="117"/>
      <c r="E57" s="117"/>
      <c r="F57" s="117"/>
      <c r="G57" s="117"/>
      <c r="H57" s="117"/>
      <c r="I57" s="117"/>
      <c r="J57" s="117"/>
      <c r="K57" s="117"/>
      <c r="L57" s="117"/>
      <c r="M57" s="173"/>
      <c r="N57" s="1"/>
    </row>
    <row r="58" spans="1:14">
      <c r="A58" s="163"/>
      <c r="B58" s="117"/>
      <c r="C58" s="117"/>
      <c r="D58" s="117"/>
      <c r="E58" s="117"/>
      <c r="F58" s="117"/>
      <c r="G58" s="117"/>
      <c r="H58" s="117"/>
      <c r="I58" s="117"/>
      <c r="J58" s="117"/>
      <c r="K58" s="117"/>
      <c r="L58" s="117"/>
      <c r="M58" s="173"/>
      <c r="N58" s="1"/>
    </row>
    <row r="59" spans="1:14">
      <c r="A59" s="163"/>
      <c r="B59" s="163"/>
      <c r="C59" s="163"/>
      <c r="D59" s="163"/>
      <c r="E59" s="163"/>
      <c r="F59" s="163"/>
      <c r="G59" s="163"/>
      <c r="H59" s="163"/>
      <c r="I59" s="163"/>
      <c r="J59" s="163"/>
      <c r="K59" s="163"/>
      <c r="L59" s="163"/>
      <c r="M59" s="173"/>
      <c r="N59" s="1"/>
    </row>
    <row r="60" spans="1:14">
      <c r="A60" s="357"/>
      <c r="B60" s="163"/>
      <c r="C60" s="163"/>
      <c r="D60" s="163"/>
      <c r="E60" s="163"/>
      <c r="F60" s="163"/>
      <c r="G60" s="163"/>
      <c r="H60" s="163"/>
      <c r="I60" s="163"/>
      <c r="J60" s="163"/>
      <c r="K60" s="163"/>
      <c r="L60" s="163"/>
      <c r="M60" s="173"/>
      <c r="N60" s="1"/>
    </row>
    <row r="61" spans="1:14">
      <c r="A61" s="357"/>
      <c r="B61" s="117"/>
      <c r="C61" s="117"/>
      <c r="D61" s="117"/>
      <c r="E61" s="117"/>
      <c r="F61" s="117"/>
      <c r="G61" s="117"/>
      <c r="H61" s="117"/>
      <c r="I61" s="117"/>
      <c r="J61" s="117"/>
      <c r="K61" s="117"/>
      <c r="L61" s="117"/>
      <c r="M61" s="173"/>
      <c r="N61" s="1"/>
    </row>
    <row r="62" spans="1:14">
      <c r="A62" s="357"/>
      <c r="B62" s="358"/>
      <c r="C62" s="358"/>
      <c r="D62" s="358"/>
      <c r="E62" s="358"/>
      <c r="F62" s="358"/>
      <c r="G62" s="358"/>
      <c r="H62" s="358"/>
      <c r="I62" s="358"/>
      <c r="J62" s="358"/>
      <c r="K62" s="358"/>
      <c r="L62" s="358"/>
    </row>
    <row r="63" spans="1:14">
      <c r="A63" s="359"/>
      <c r="B63" s="360"/>
      <c r="C63" s="360"/>
      <c r="D63" s="360"/>
      <c r="E63" s="360"/>
      <c r="F63" s="360"/>
      <c r="G63" s="360"/>
      <c r="H63" s="360"/>
      <c r="I63" s="360"/>
      <c r="J63" s="360"/>
      <c r="K63" s="360"/>
      <c r="L63" s="360"/>
      <c r="M63" s="173"/>
      <c r="N63" s="1"/>
    </row>
    <row r="64" spans="1:14">
      <c r="A64" s="359"/>
      <c r="B64" s="360"/>
      <c r="C64" s="360"/>
      <c r="D64" s="360"/>
      <c r="E64" s="360"/>
      <c r="F64" s="360"/>
      <c r="G64" s="360"/>
      <c r="H64" s="360"/>
      <c r="I64" s="360"/>
      <c r="J64" s="360"/>
      <c r="K64" s="360"/>
      <c r="L64" s="360"/>
      <c r="M64" s="173"/>
      <c r="N64" s="1"/>
    </row>
    <row r="65" spans="1:14">
      <c r="A65" s="359"/>
      <c r="B65" s="360"/>
      <c r="C65" s="360"/>
      <c r="D65" s="360"/>
      <c r="E65" s="360"/>
      <c r="F65" s="360"/>
      <c r="G65" s="360"/>
      <c r="H65" s="360"/>
      <c r="I65" s="360"/>
      <c r="J65" s="360"/>
      <c r="K65" s="360"/>
      <c r="L65" s="360"/>
      <c r="M65" s="173"/>
      <c r="N65" s="1"/>
    </row>
    <row r="66" spans="1:14">
      <c r="A66" s="359"/>
      <c r="B66" s="360"/>
      <c r="C66" s="360"/>
      <c r="D66" s="360"/>
      <c r="E66" s="360"/>
      <c r="F66" s="360"/>
      <c r="G66" s="360"/>
      <c r="H66" s="360"/>
      <c r="I66" s="360"/>
      <c r="J66" s="360"/>
      <c r="K66" s="360"/>
      <c r="L66" s="360"/>
      <c r="M66" s="173"/>
      <c r="N66" s="1"/>
    </row>
    <row r="67" spans="1:14">
      <c r="A67" s="163"/>
      <c r="B67" s="163"/>
      <c r="C67" s="163"/>
      <c r="D67" s="163"/>
      <c r="E67" s="163"/>
      <c r="F67" s="163"/>
      <c r="G67" s="163"/>
      <c r="H67" s="163"/>
      <c r="I67" s="163"/>
      <c r="J67" s="163"/>
      <c r="K67" s="163"/>
      <c r="L67" s="163"/>
      <c r="M67" s="173"/>
      <c r="N67" s="1"/>
    </row>
    <row r="68" spans="1:14">
      <c r="A68" s="363"/>
      <c r="B68" s="358"/>
      <c r="C68" s="237"/>
      <c r="D68" s="237"/>
      <c r="E68" s="237"/>
      <c r="F68" s="237"/>
      <c r="G68" s="237"/>
      <c r="H68" s="237"/>
      <c r="I68" s="237"/>
      <c r="J68" s="237"/>
      <c r="K68" s="237"/>
      <c r="L68" s="237"/>
      <c r="M68" s="27"/>
      <c r="N68" s="1"/>
    </row>
    <row r="69" spans="1:14" s="17" customFormat="1">
      <c r="A69" s="242"/>
      <c r="B69" s="358"/>
      <c r="C69" s="237"/>
      <c r="D69" s="237"/>
      <c r="E69" s="237"/>
      <c r="F69" s="237"/>
      <c r="G69" s="237"/>
      <c r="H69" s="237"/>
      <c r="I69" s="237"/>
      <c r="J69" s="237"/>
      <c r="K69" s="237"/>
      <c r="L69" s="237"/>
      <c r="M69" s="79"/>
      <c r="N69" s="33"/>
    </row>
    <row r="70" spans="1:14">
      <c r="A70" s="357"/>
      <c r="B70" s="358"/>
      <c r="C70" s="358"/>
      <c r="D70" s="358"/>
      <c r="E70" s="358"/>
      <c r="F70" s="358"/>
      <c r="G70" s="358"/>
      <c r="H70" s="358"/>
      <c r="I70" s="358"/>
      <c r="J70" s="358"/>
      <c r="K70" s="358"/>
      <c r="L70" s="358"/>
      <c r="M70" s="27"/>
      <c r="N70" s="1"/>
    </row>
    <row r="71" spans="1:14">
      <c r="A71" s="359"/>
      <c r="B71" s="360"/>
      <c r="C71" s="360"/>
      <c r="D71" s="360"/>
      <c r="E71" s="360"/>
      <c r="F71" s="360"/>
      <c r="G71" s="360"/>
      <c r="H71" s="360"/>
      <c r="I71" s="360"/>
      <c r="J71" s="360"/>
      <c r="K71" s="360"/>
      <c r="L71" s="360"/>
      <c r="M71" s="27"/>
      <c r="N71" s="1"/>
    </row>
    <row r="72" spans="1:14">
      <c r="A72" s="359"/>
      <c r="B72" s="360"/>
      <c r="C72" s="360"/>
      <c r="D72" s="360"/>
      <c r="E72" s="360"/>
      <c r="F72" s="360"/>
      <c r="G72" s="360"/>
      <c r="H72" s="360"/>
      <c r="I72" s="360"/>
      <c r="J72" s="360"/>
      <c r="K72" s="360"/>
      <c r="L72" s="360"/>
      <c r="M72" s="27"/>
      <c r="N72" s="1"/>
    </row>
    <row r="73" spans="1:14">
      <c r="A73" s="359"/>
      <c r="B73" s="360"/>
      <c r="C73" s="360"/>
      <c r="D73" s="360"/>
      <c r="E73" s="360"/>
      <c r="F73" s="360"/>
      <c r="G73" s="360"/>
      <c r="H73" s="360"/>
      <c r="I73" s="360"/>
      <c r="J73" s="360"/>
      <c r="K73" s="360"/>
      <c r="L73" s="360"/>
      <c r="M73" s="27"/>
      <c r="N73" s="1"/>
    </row>
    <row r="74" spans="1:14">
      <c r="A74" s="359"/>
      <c r="B74" s="360"/>
      <c r="C74" s="360"/>
      <c r="D74" s="360"/>
      <c r="E74" s="360"/>
      <c r="F74" s="360"/>
      <c r="G74" s="360"/>
      <c r="H74" s="360"/>
      <c r="I74" s="360"/>
      <c r="J74" s="360"/>
      <c r="K74" s="360"/>
      <c r="L74" s="360"/>
      <c r="M74" s="27"/>
      <c r="N74" s="1"/>
    </row>
    <row r="75" spans="1:14">
      <c r="A75" s="361"/>
      <c r="B75" s="362"/>
      <c r="C75" s="362"/>
      <c r="D75" s="362"/>
      <c r="E75" s="362"/>
      <c r="F75" s="362"/>
      <c r="G75" s="362"/>
      <c r="H75" s="362"/>
      <c r="I75" s="362"/>
      <c r="J75" s="362"/>
      <c r="K75" s="362"/>
      <c r="L75" s="362"/>
      <c r="M75" s="27"/>
      <c r="N75" s="1"/>
    </row>
    <row r="76" spans="1:14">
      <c r="A76" s="363"/>
      <c r="B76" s="358"/>
      <c r="C76" s="237"/>
      <c r="D76" s="237"/>
      <c r="E76" s="237"/>
      <c r="F76" s="237"/>
      <c r="G76" s="237"/>
      <c r="H76" s="237"/>
      <c r="I76" s="237"/>
      <c r="J76" s="237"/>
      <c r="K76" s="237"/>
      <c r="L76" s="237"/>
      <c r="M76" s="27"/>
      <c r="N76" s="1"/>
    </row>
    <row r="77" spans="1:14">
      <c r="A77" s="242"/>
      <c r="B77" s="358"/>
      <c r="C77" s="237"/>
      <c r="D77" s="237"/>
      <c r="E77" s="237"/>
      <c r="F77" s="237"/>
      <c r="G77" s="237"/>
      <c r="H77" s="237"/>
      <c r="I77" s="237"/>
      <c r="J77" s="159"/>
      <c r="K77" s="159"/>
      <c r="L77" s="159"/>
      <c r="M77" s="27"/>
      <c r="N77" s="1"/>
    </row>
    <row r="78" spans="1:14">
      <c r="A78" s="163"/>
      <c r="B78" s="117"/>
      <c r="C78" s="117"/>
      <c r="D78" s="117"/>
      <c r="E78" s="117"/>
      <c r="F78" s="117"/>
      <c r="G78" s="117"/>
      <c r="H78" s="117"/>
      <c r="I78" s="117"/>
      <c r="J78" s="117"/>
      <c r="K78" s="117"/>
      <c r="L78" s="117"/>
      <c r="M78" s="27"/>
      <c r="N78" s="1"/>
    </row>
    <row r="79" spans="1:14" ht="18.75">
      <c r="A79" s="364"/>
      <c r="B79" s="373"/>
      <c r="C79" s="373"/>
      <c r="D79" s="373"/>
      <c r="E79" s="373"/>
      <c r="F79" s="373"/>
      <c r="G79" s="373"/>
      <c r="H79" s="373"/>
      <c r="I79" s="373"/>
      <c r="J79" s="373"/>
      <c r="K79" s="373"/>
      <c r="L79" s="373"/>
      <c r="M79" s="27"/>
      <c r="N79" s="1"/>
    </row>
    <row r="80" spans="1:14">
      <c r="A80" s="165"/>
      <c r="B80" s="365"/>
      <c r="C80" s="365"/>
      <c r="D80" s="365"/>
      <c r="E80" s="365"/>
      <c r="F80" s="365"/>
      <c r="G80" s="365"/>
      <c r="H80" s="365"/>
      <c r="I80" s="365"/>
      <c r="J80" s="365"/>
      <c r="K80" s="365"/>
      <c r="L80" s="365"/>
      <c r="M80" s="27"/>
      <c r="N80" s="1"/>
    </row>
    <row r="81" spans="1:14">
      <c r="A81" s="163"/>
      <c r="B81" s="117"/>
      <c r="C81" s="117"/>
      <c r="D81" s="117"/>
      <c r="E81" s="117"/>
      <c r="F81" s="117"/>
      <c r="G81" s="117"/>
      <c r="H81" s="117"/>
      <c r="I81" s="117"/>
      <c r="J81" s="117"/>
      <c r="K81" s="117"/>
      <c r="L81" s="117"/>
      <c r="M81" s="27"/>
      <c r="N81" s="1"/>
    </row>
    <row r="82" spans="1:14">
      <c r="A82" s="163"/>
      <c r="B82" s="117"/>
      <c r="C82" s="117"/>
      <c r="D82" s="117"/>
      <c r="E82" s="117"/>
      <c r="F82" s="117"/>
      <c r="G82" s="117"/>
      <c r="H82" s="117"/>
      <c r="I82" s="117"/>
      <c r="J82" s="117"/>
      <c r="K82" s="117"/>
      <c r="L82" s="117"/>
      <c r="M82" s="27"/>
      <c r="N82" s="1"/>
    </row>
    <row r="83" spans="1:14">
      <c r="A83" s="359"/>
      <c r="B83" s="117"/>
      <c r="C83" s="117"/>
      <c r="D83" s="117"/>
      <c r="E83" s="117"/>
      <c r="F83" s="117"/>
      <c r="G83" s="117"/>
      <c r="H83" s="117"/>
      <c r="I83" s="117"/>
      <c r="J83" s="117"/>
      <c r="K83" s="117"/>
      <c r="L83" s="117"/>
      <c r="M83" s="27"/>
      <c r="N83" s="1"/>
    </row>
    <row r="84" spans="1:14">
      <c r="A84" s="359"/>
      <c r="B84" s="117"/>
      <c r="C84" s="117"/>
      <c r="D84" s="117"/>
      <c r="E84" s="117"/>
      <c r="F84" s="117"/>
      <c r="G84" s="117"/>
      <c r="H84" s="117"/>
      <c r="I84" s="117"/>
      <c r="J84" s="117"/>
      <c r="K84" s="117"/>
      <c r="L84" s="117"/>
      <c r="M84" s="27"/>
      <c r="N84" s="1"/>
    </row>
    <row r="85" spans="1:14">
      <c r="A85" s="359"/>
      <c r="B85" s="117"/>
      <c r="C85" s="117"/>
      <c r="D85" s="117"/>
      <c r="E85" s="117"/>
      <c r="F85" s="117"/>
      <c r="G85" s="117"/>
      <c r="H85" s="117"/>
      <c r="I85" s="117"/>
      <c r="J85" s="117"/>
      <c r="K85" s="117"/>
      <c r="L85" s="117"/>
      <c r="M85" s="27"/>
      <c r="N85" s="1"/>
    </row>
    <row r="86" spans="1:14">
      <c r="A86" s="359"/>
      <c r="B86" s="117"/>
      <c r="C86" s="117"/>
      <c r="D86" s="117"/>
      <c r="E86" s="117"/>
      <c r="F86" s="117"/>
      <c r="G86" s="117"/>
      <c r="H86" s="117"/>
      <c r="I86" s="117"/>
      <c r="J86" s="117"/>
      <c r="K86" s="117"/>
      <c r="L86" s="117"/>
      <c r="M86" s="27"/>
      <c r="N86" s="1"/>
    </row>
    <row r="87" spans="1:14">
      <c r="A87" s="357"/>
      <c r="B87" s="117"/>
      <c r="C87" s="117"/>
      <c r="D87" s="117"/>
      <c r="E87" s="117"/>
      <c r="F87" s="117"/>
      <c r="G87" s="117"/>
      <c r="H87" s="117"/>
      <c r="I87" s="117"/>
      <c r="J87" s="117"/>
      <c r="K87" s="117"/>
      <c r="L87" s="117"/>
      <c r="M87" s="27"/>
      <c r="N87" s="1"/>
    </row>
    <row r="88" spans="1:14">
      <c r="A88" s="163"/>
      <c r="B88" s="117"/>
      <c r="C88" s="117"/>
      <c r="D88" s="117"/>
      <c r="E88" s="117"/>
      <c r="F88" s="117"/>
      <c r="G88" s="117"/>
      <c r="H88" s="117"/>
      <c r="I88" s="117"/>
      <c r="J88" s="117"/>
      <c r="K88" s="117"/>
      <c r="L88" s="117"/>
      <c r="M88" s="27"/>
      <c r="N88" s="1"/>
    </row>
    <row r="89" spans="1:14">
      <c r="A89" s="163"/>
      <c r="B89" s="373"/>
      <c r="C89" s="373"/>
      <c r="D89" s="373"/>
      <c r="E89" s="373"/>
      <c r="F89" s="373"/>
      <c r="G89" s="373"/>
      <c r="H89" s="373"/>
      <c r="I89" s="373"/>
      <c r="J89" s="373"/>
      <c r="K89" s="373"/>
      <c r="L89" s="373"/>
      <c r="M89" s="27"/>
      <c r="N89" s="1"/>
    </row>
    <row r="90" spans="1:14">
      <c r="A90" s="163"/>
      <c r="B90" s="159"/>
      <c r="C90" s="159"/>
      <c r="D90" s="159"/>
      <c r="E90" s="159"/>
      <c r="F90" s="159"/>
      <c r="G90" s="159"/>
      <c r="H90" s="159"/>
      <c r="I90" s="159"/>
      <c r="J90" s="159"/>
      <c r="K90" s="159"/>
      <c r="L90" s="159"/>
      <c r="M90" s="27"/>
      <c r="N90" s="1"/>
    </row>
    <row r="91" spans="1:14">
      <c r="A91" s="163"/>
      <c r="B91" s="159"/>
      <c r="C91" s="159"/>
      <c r="D91" s="159"/>
      <c r="E91" s="159"/>
      <c r="F91" s="159"/>
      <c r="G91" s="159"/>
      <c r="H91" s="159"/>
      <c r="I91" s="159"/>
      <c r="J91" s="159"/>
      <c r="K91" s="159"/>
      <c r="L91" s="159"/>
      <c r="M91" s="27"/>
      <c r="N91" s="1"/>
    </row>
    <row r="92" spans="1:14">
      <c r="A92" s="163"/>
      <c r="B92" s="117"/>
      <c r="C92" s="117"/>
      <c r="D92" s="117"/>
      <c r="E92" s="117"/>
      <c r="F92" s="117"/>
      <c r="G92" s="117"/>
      <c r="H92" s="117"/>
      <c r="I92" s="117"/>
      <c r="J92" s="117"/>
      <c r="K92" s="117"/>
      <c r="L92" s="117"/>
      <c r="M92" s="27"/>
      <c r="N92" s="1"/>
    </row>
    <row r="93" spans="1:14">
      <c r="A93" s="163"/>
      <c r="B93" s="117"/>
      <c r="C93" s="117"/>
      <c r="D93" s="117"/>
      <c r="E93" s="117"/>
      <c r="F93" s="117"/>
      <c r="G93" s="117"/>
      <c r="H93" s="117"/>
      <c r="I93" s="117"/>
      <c r="J93" s="117"/>
      <c r="K93" s="117"/>
      <c r="L93" s="117"/>
      <c r="M93" s="27"/>
      <c r="N93" s="1"/>
    </row>
    <row r="94" spans="1:14">
      <c r="A94" s="163"/>
      <c r="B94" s="117"/>
      <c r="C94" s="117"/>
      <c r="D94" s="117"/>
      <c r="E94" s="117"/>
      <c r="F94" s="117"/>
      <c r="G94" s="117"/>
      <c r="H94" s="117"/>
      <c r="I94" s="117"/>
      <c r="J94" s="117"/>
      <c r="K94" s="117"/>
      <c r="L94" s="117"/>
      <c r="M94" s="27"/>
      <c r="N94" s="1"/>
    </row>
    <row r="95" spans="1:14">
      <c r="A95" s="163"/>
      <c r="B95" s="117"/>
      <c r="C95" s="117"/>
      <c r="D95" s="117"/>
      <c r="E95" s="117"/>
      <c r="F95" s="117"/>
      <c r="G95" s="117"/>
      <c r="H95" s="117"/>
      <c r="I95" s="117"/>
      <c r="J95" s="117"/>
      <c r="K95" s="117"/>
      <c r="L95" s="117"/>
      <c r="M95" s="27"/>
      <c r="N95" s="1"/>
    </row>
    <row r="96" spans="1:14">
      <c r="A96" s="163"/>
      <c r="B96" s="117"/>
      <c r="C96" s="117"/>
      <c r="D96" s="117"/>
      <c r="E96" s="117"/>
      <c r="F96" s="117"/>
      <c r="G96" s="117"/>
      <c r="H96" s="117"/>
      <c r="I96" s="117"/>
      <c r="J96" s="117"/>
      <c r="K96" s="117"/>
      <c r="L96" s="117"/>
      <c r="M96" s="27"/>
      <c r="N96" s="1"/>
    </row>
    <row r="97" spans="1:14">
      <c r="A97" s="163"/>
      <c r="B97" s="117"/>
      <c r="C97" s="117"/>
      <c r="D97" s="117"/>
      <c r="E97" s="117"/>
      <c r="F97" s="117"/>
      <c r="G97" s="117"/>
      <c r="H97" s="117"/>
      <c r="I97" s="117"/>
      <c r="J97" s="117"/>
      <c r="K97" s="117"/>
      <c r="L97" s="117"/>
      <c r="M97" s="27"/>
      <c r="N97" s="1"/>
    </row>
    <row r="98" spans="1:14">
      <c r="A98" s="163"/>
      <c r="B98" s="117"/>
      <c r="C98" s="117"/>
      <c r="D98" s="117"/>
      <c r="E98" s="117"/>
      <c r="F98" s="117"/>
      <c r="G98" s="117"/>
      <c r="H98" s="117"/>
      <c r="I98" s="117"/>
      <c r="J98" s="117"/>
      <c r="K98" s="117"/>
      <c r="L98" s="117"/>
      <c r="M98" s="27"/>
      <c r="N98" s="1"/>
    </row>
    <row r="99" spans="1:14">
      <c r="A99" s="163"/>
      <c r="B99" s="117"/>
      <c r="C99" s="117"/>
      <c r="D99" s="117"/>
      <c r="E99" s="117"/>
      <c r="F99" s="117"/>
      <c r="G99" s="117"/>
      <c r="H99" s="117"/>
      <c r="I99" s="117"/>
      <c r="J99" s="117"/>
      <c r="K99" s="117"/>
      <c r="L99" s="117"/>
      <c r="M99" s="27"/>
      <c r="N99" s="1"/>
    </row>
    <row r="100" spans="1:14">
      <c r="A100" s="163"/>
      <c r="B100" s="117"/>
      <c r="C100" s="117"/>
      <c r="D100" s="117"/>
      <c r="E100" s="117"/>
      <c r="F100" s="117"/>
      <c r="G100" s="117"/>
      <c r="H100" s="117"/>
      <c r="I100" s="117"/>
      <c r="J100" s="117"/>
      <c r="K100" s="117"/>
      <c r="L100" s="117"/>
      <c r="M100" s="27"/>
      <c r="N100" s="1"/>
    </row>
    <row r="101" spans="1:14">
      <c r="A101" s="163"/>
      <c r="B101" s="163"/>
      <c r="C101" s="163"/>
      <c r="D101" s="163"/>
      <c r="E101" s="163"/>
      <c r="F101" s="163"/>
      <c r="G101" s="163"/>
      <c r="H101" s="163"/>
      <c r="I101" s="163"/>
      <c r="J101" s="163"/>
      <c r="K101" s="163"/>
      <c r="L101" s="163"/>
      <c r="M101" s="27"/>
      <c r="N101" s="1"/>
    </row>
    <row r="102" spans="1:14">
      <c r="A102" s="163"/>
      <c r="B102" s="163"/>
      <c r="C102" s="163"/>
      <c r="D102" s="163"/>
      <c r="E102" s="163"/>
      <c r="F102" s="163"/>
      <c r="G102" s="163"/>
      <c r="H102" s="163"/>
      <c r="I102" s="163"/>
      <c r="J102" s="163"/>
      <c r="K102" s="163"/>
      <c r="L102" s="163"/>
      <c r="M102" s="27"/>
      <c r="N102" s="1"/>
    </row>
    <row r="103" spans="1:14">
      <c r="A103" s="163"/>
      <c r="B103" s="163"/>
      <c r="C103" s="163"/>
      <c r="D103" s="163"/>
      <c r="E103" s="163"/>
      <c r="F103" s="163"/>
      <c r="G103" s="163"/>
      <c r="H103" s="163"/>
      <c r="I103" s="163"/>
      <c r="J103" s="163"/>
      <c r="K103" s="163"/>
      <c r="L103" s="163"/>
      <c r="M103" s="27"/>
      <c r="N103" s="1"/>
    </row>
    <row r="104" spans="1:14">
      <c r="A104" s="163"/>
      <c r="B104" s="163"/>
      <c r="C104" s="163"/>
      <c r="D104" s="163"/>
      <c r="E104" s="163"/>
      <c r="F104" s="163"/>
      <c r="G104" s="163"/>
      <c r="H104" s="163"/>
      <c r="I104" s="163"/>
      <c r="J104" s="163"/>
      <c r="K104" s="163"/>
      <c r="L104" s="163"/>
      <c r="M104" s="27"/>
      <c r="N104" s="1"/>
    </row>
    <row r="105" spans="1:14">
      <c r="A105" s="163"/>
      <c r="B105" s="163"/>
      <c r="C105" s="163"/>
      <c r="D105" s="163"/>
      <c r="E105" s="163"/>
      <c r="F105" s="163"/>
      <c r="G105" s="163"/>
      <c r="H105" s="163"/>
      <c r="I105" s="163"/>
      <c r="J105" s="163"/>
      <c r="K105" s="163"/>
      <c r="L105" s="163"/>
      <c r="M105" s="27"/>
      <c r="N105" s="1"/>
    </row>
    <row r="106" spans="1:14">
      <c r="A106" s="163"/>
      <c r="B106" s="163"/>
      <c r="C106" s="163"/>
      <c r="D106" s="163"/>
      <c r="E106" s="163"/>
      <c r="F106" s="163"/>
      <c r="G106" s="163"/>
      <c r="H106" s="163"/>
      <c r="I106" s="163"/>
      <c r="J106" s="163"/>
      <c r="K106" s="163"/>
      <c r="L106" s="163"/>
      <c r="M106" s="27"/>
      <c r="N106" s="1"/>
    </row>
    <row r="107" spans="1:14">
      <c r="A107" s="163"/>
      <c r="B107" s="163"/>
      <c r="C107" s="163"/>
      <c r="D107" s="163"/>
      <c r="E107" s="163"/>
      <c r="F107" s="163"/>
      <c r="G107" s="163"/>
      <c r="H107" s="163"/>
      <c r="I107" s="163"/>
      <c r="J107" s="163"/>
      <c r="K107" s="163"/>
      <c r="L107" s="163"/>
      <c r="M107" s="27"/>
      <c r="N107" s="1"/>
    </row>
    <row r="108" spans="1:14">
      <c r="A108" s="163"/>
      <c r="B108" s="163"/>
      <c r="C108" s="163"/>
      <c r="D108" s="163"/>
      <c r="E108" s="163"/>
      <c r="F108" s="163"/>
      <c r="G108" s="163"/>
      <c r="H108" s="163"/>
      <c r="I108" s="163"/>
      <c r="J108" s="163"/>
      <c r="K108" s="163"/>
      <c r="L108" s="163"/>
      <c r="M108" s="27"/>
      <c r="N108" s="1"/>
    </row>
    <row r="109" spans="1:14">
      <c r="A109" s="163"/>
      <c r="B109" s="117"/>
      <c r="C109" s="117"/>
      <c r="D109" s="117"/>
      <c r="E109" s="117"/>
      <c r="F109" s="117"/>
      <c r="G109" s="117"/>
      <c r="H109" s="117"/>
      <c r="I109" s="117"/>
      <c r="J109" s="117"/>
      <c r="K109" s="117"/>
      <c r="L109" s="117"/>
      <c r="M109" s="27"/>
      <c r="N109" s="1"/>
    </row>
    <row r="110" spans="1:14">
      <c r="A110" s="163"/>
      <c r="B110" s="117"/>
      <c r="C110" s="117"/>
      <c r="D110" s="117"/>
      <c r="E110" s="117"/>
      <c r="F110" s="117"/>
      <c r="G110" s="117"/>
      <c r="H110" s="117"/>
      <c r="I110" s="117"/>
      <c r="J110" s="117"/>
      <c r="K110" s="117"/>
      <c r="L110" s="117"/>
      <c r="M110" s="27"/>
      <c r="N110" s="1"/>
    </row>
    <row r="111" spans="1:14">
      <c r="A111" s="163"/>
      <c r="B111" s="117"/>
      <c r="C111" s="117"/>
      <c r="D111" s="117"/>
      <c r="E111" s="117"/>
      <c r="F111" s="117"/>
      <c r="G111" s="117"/>
      <c r="H111" s="117"/>
      <c r="I111" s="117"/>
      <c r="J111" s="117"/>
      <c r="K111" s="117"/>
      <c r="L111" s="117"/>
      <c r="M111" s="27"/>
      <c r="N111" s="1"/>
    </row>
    <row r="112" spans="1:14">
      <c r="A112" s="163"/>
      <c r="B112" s="117"/>
      <c r="C112" s="117"/>
      <c r="D112" s="117"/>
      <c r="E112" s="117"/>
      <c r="F112" s="117"/>
      <c r="G112" s="117"/>
      <c r="H112" s="117"/>
      <c r="I112" s="117"/>
      <c r="J112" s="117"/>
      <c r="K112" s="117"/>
      <c r="L112" s="117"/>
      <c r="M112" s="27"/>
      <c r="N112" s="1"/>
    </row>
    <row r="113" spans="1:14">
      <c r="A113" s="163"/>
      <c r="B113" s="117"/>
      <c r="C113" s="117"/>
      <c r="D113" s="117"/>
      <c r="E113" s="117"/>
      <c r="F113" s="117"/>
      <c r="G113" s="117"/>
      <c r="H113" s="117"/>
      <c r="I113" s="117"/>
      <c r="J113" s="117"/>
      <c r="K113" s="117"/>
      <c r="L113" s="117"/>
      <c r="M113" s="27"/>
      <c r="N113" s="1"/>
    </row>
    <row r="114" spans="1:14">
      <c r="A114" s="163"/>
      <c r="B114" s="117"/>
      <c r="C114" s="117"/>
      <c r="D114" s="117"/>
      <c r="E114" s="117"/>
      <c r="F114" s="117"/>
      <c r="G114" s="117"/>
      <c r="H114" s="117"/>
      <c r="I114" s="117"/>
      <c r="J114" s="117"/>
      <c r="K114" s="117"/>
      <c r="L114" s="117"/>
      <c r="M114" s="27"/>
      <c r="N114" s="1"/>
    </row>
    <row r="115" spans="1:14">
      <c r="A115" s="163"/>
      <c r="B115" s="117"/>
      <c r="C115" s="117"/>
      <c r="D115" s="117"/>
      <c r="E115" s="117"/>
      <c r="F115" s="117"/>
      <c r="G115" s="117"/>
      <c r="H115" s="117"/>
      <c r="I115" s="117"/>
      <c r="J115" s="117"/>
      <c r="K115" s="117"/>
      <c r="L115" s="117"/>
      <c r="M115" s="27"/>
      <c r="N115" s="1"/>
    </row>
    <row r="116" spans="1:14">
      <c r="A116" s="163"/>
      <c r="B116" s="117"/>
      <c r="C116" s="117"/>
      <c r="D116" s="117"/>
      <c r="E116" s="117"/>
      <c r="F116" s="117"/>
      <c r="G116" s="117"/>
      <c r="H116" s="117"/>
      <c r="I116" s="117"/>
      <c r="J116" s="117"/>
      <c r="K116" s="117"/>
      <c r="L116" s="117"/>
      <c r="M116" s="27"/>
      <c r="N116" s="1"/>
    </row>
    <row r="117" spans="1:14">
      <c r="A117" s="163"/>
      <c r="B117" s="117"/>
      <c r="C117" s="117"/>
      <c r="D117" s="117"/>
      <c r="E117" s="117"/>
      <c r="F117" s="117"/>
      <c r="G117" s="117"/>
      <c r="H117" s="117"/>
      <c r="I117" s="117"/>
      <c r="J117" s="117"/>
      <c r="K117" s="117"/>
      <c r="L117" s="117"/>
      <c r="M117" s="27"/>
      <c r="N117" s="1"/>
    </row>
    <row r="118" spans="1:14">
      <c r="A118" s="163"/>
      <c r="B118" s="117"/>
      <c r="C118" s="117"/>
      <c r="D118" s="117"/>
      <c r="E118" s="117"/>
      <c r="F118" s="117"/>
      <c r="G118" s="117"/>
      <c r="H118" s="117"/>
      <c r="I118" s="117"/>
      <c r="J118" s="117"/>
      <c r="K118" s="117"/>
      <c r="L118" s="117"/>
      <c r="M118" s="27"/>
      <c r="N118" s="1"/>
    </row>
    <row r="119" spans="1:14">
      <c r="A119" s="163"/>
      <c r="B119" s="117"/>
      <c r="C119" s="117"/>
      <c r="D119" s="117"/>
      <c r="E119" s="117"/>
      <c r="F119" s="117"/>
      <c r="G119" s="117"/>
      <c r="H119" s="117"/>
      <c r="I119" s="117"/>
      <c r="J119" s="117"/>
      <c r="K119" s="117"/>
      <c r="L119" s="117"/>
      <c r="M119" s="27"/>
      <c r="N119" s="1"/>
    </row>
    <row r="120" spans="1:14">
      <c r="A120" s="163"/>
      <c r="B120" s="117"/>
      <c r="C120" s="117"/>
      <c r="D120" s="117"/>
      <c r="E120" s="117"/>
      <c r="F120" s="117"/>
      <c r="G120" s="117"/>
      <c r="H120" s="117"/>
      <c r="I120" s="117"/>
      <c r="J120" s="117"/>
      <c r="K120" s="117"/>
      <c r="L120" s="117"/>
      <c r="M120" s="27"/>
      <c r="N120" s="1"/>
    </row>
    <row r="121" spans="1:14">
      <c r="A121" s="163"/>
      <c r="B121" s="117"/>
      <c r="C121" s="117"/>
      <c r="D121" s="117"/>
      <c r="E121" s="117"/>
      <c r="F121" s="117"/>
      <c r="G121" s="117"/>
      <c r="H121" s="117"/>
      <c r="I121" s="117"/>
      <c r="J121" s="117"/>
      <c r="K121" s="117"/>
      <c r="L121" s="117"/>
      <c r="M121" s="27"/>
      <c r="N121" s="1"/>
    </row>
    <row r="122" spans="1:14">
      <c r="A122" s="163"/>
      <c r="B122" s="117"/>
      <c r="C122" s="117"/>
      <c r="D122" s="117"/>
      <c r="E122" s="117"/>
      <c r="F122" s="117"/>
      <c r="G122" s="117"/>
      <c r="H122" s="117"/>
      <c r="I122" s="117"/>
      <c r="J122" s="117"/>
      <c r="K122" s="117"/>
      <c r="L122" s="117"/>
      <c r="M122" s="27"/>
      <c r="N122" s="1"/>
    </row>
    <row r="123" spans="1:14">
      <c r="A123" s="163"/>
      <c r="B123" s="117"/>
      <c r="C123" s="117"/>
      <c r="D123" s="117"/>
      <c r="E123" s="117"/>
      <c r="F123" s="117"/>
      <c r="G123" s="117"/>
      <c r="H123" s="117"/>
      <c r="I123" s="117"/>
      <c r="J123" s="117"/>
      <c r="K123" s="117"/>
      <c r="L123" s="117"/>
      <c r="M123" s="27"/>
      <c r="N123" s="1"/>
    </row>
    <row r="124" spans="1:14">
      <c r="A124" s="163"/>
      <c r="B124" s="117"/>
      <c r="C124" s="117"/>
      <c r="D124" s="117"/>
      <c r="E124" s="117"/>
      <c r="F124" s="117"/>
      <c r="G124" s="117"/>
      <c r="H124" s="117"/>
      <c r="I124" s="117"/>
      <c r="J124" s="117"/>
      <c r="K124" s="117"/>
      <c r="L124" s="117"/>
      <c r="M124" s="27"/>
      <c r="N124" s="1"/>
    </row>
    <row r="125" spans="1:14">
      <c r="A125" s="163"/>
      <c r="B125" s="117"/>
      <c r="C125" s="117"/>
      <c r="D125" s="117"/>
      <c r="E125" s="117"/>
      <c r="F125" s="117"/>
      <c r="G125" s="117"/>
      <c r="H125" s="117"/>
      <c r="I125" s="117"/>
      <c r="J125" s="117"/>
      <c r="K125" s="117"/>
      <c r="L125" s="117"/>
      <c r="M125" s="27"/>
      <c r="N125" s="1"/>
    </row>
    <row r="126" spans="1:14">
      <c r="A126" s="163"/>
      <c r="B126" s="117"/>
      <c r="C126" s="117"/>
      <c r="D126" s="117"/>
      <c r="E126" s="117"/>
      <c r="F126" s="117"/>
      <c r="G126" s="117"/>
      <c r="H126" s="117"/>
      <c r="I126" s="117"/>
      <c r="J126" s="117"/>
      <c r="K126" s="117"/>
      <c r="L126" s="117"/>
      <c r="M126" s="27"/>
      <c r="N126" s="1"/>
    </row>
    <row r="127" spans="1:14">
      <c r="A127" s="163"/>
      <c r="B127" s="117"/>
      <c r="C127" s="117"/>
      <c r="D127" s="117"/>
      <c r="E127" s="117"/>
      <c r="F127" s="117"/>
      <c r="G127" s="117"/>
      <c r="H127" s="117"/>
      <c r="I127" s="117"/>
      <c r="J127" s="117"/>
      <c r="K127" s="117"/>
      <c r="L127" s="117"/>
      <c r="M127" s="27"/>
      <c r="N127" s="1"/>
    </row>
    <row r="128" spans="1:14">
      <c r="A128" s="163"/>
      <c r="B128" s="117"/>
      <c r="C128" s="117"/>
      <c r="D128" s="117"/>
      <c r="E128" s="117"/>
      <c r="F128" s="117"/>
      <c r="G128" s="117"/>
      <c r="H128" s="117"/>
      <c r="I128" s="117"/>
      <c r="J128" s="117"/>
      <c r="K128" s="117"/>
      <c r="L128" s="117"/>
      <c r="M128" s="27"/>
      <c r="N128" s="1"/>
    </row>
    <row r="129" spans="1:14">
      <c r="A129" s="163"/>
      <c r="B129" s="117"/>
      <c r="C129" s="117"/>
      <c r="D129" s="117"/>
      <c r="E129" s="117"/>
      <c r="F129" s="117"/>
      <c r="G129" s="117"/>
      <c r="H129" s="117"/>
      <c r="I129" s="117"/>
      <c r="J129" s="117"/>
      <c r="K129" s="117"/>
      <c r="L129" s="117"/>
      <c r="M129" s="27"/>
      <c r="N129" s="1"/>
    </row>
    <row r="130" spans="1:14">
      <c r="A130" s="163"/>
      <c r="B130" s="117"/>
      <c r="C130" s="117"/>
      <c r="D130" s="117"/>
      <c r="E130" s="117"/>
      <c r="F130" s="117"/>
      <c r="G130" s="117"/>
      <c r="H130" s="117"/>
      <c r="I130" s="117"/>
      <c r="J130" s="117"/>
      <c r="K130" s="117"/>
      <c r="L130" s="117"/>
      <c r="M130" s="27"/>
      <c r="N130" s="1"/>
    </row>
    <row r="131" spans="1:14">
      <c r="A131" s="163"/>
      <c r="B131" s="117"/>
      <c r="C131" s="117"/>
      <c r="D131" s="117"/>
      <c r="E131" s="117"/>
      <c r="F131" s="117"/>
      <c r="G131" s="117"/>
      <c r="H131" s="117"/>
      <c r="I131" s="117"/>
      <c r="J131" s="117"/>
      <c r="K131" s="117"/>
      <c r="L131" s="117"/>
      <c r="M131" s="27"/>
      <c r="N131" s="1"/>
    </row>
    <row r="132" spans="1:14">
      <c r="A132" s="163"/>
      <c r="B132" s="117"/>
      <c r="C132" s="117"/>
      <c r="D132" s="117"/>
      <c r="E132" s="117"/>
      <c r="F132" s="117"/>
      <c r="G132" s="117"/>
      <c r="H132" s="117"/>
      <c r="I132" s="117"/>
      <c r="J132" s="117"/>
      <c r="K132" s="117"/>
      <c r="L132" s="117"/>
      <c r="M132" s="27"/>
      <c r="N132" s="1"/>
    </row>
    <row r="133" spans="1:14">
      <c r="A133" s="163"/>
      <c r="B133" s="117"/>
      <c r="C133" s="117"/>
      <c r="D133" s="117"/>
      <c r="E133" s="117"/>
      <c r="F133" s="117"/>
      <c r="G133" s="117"/>
      <c r="H133" s="117"/>
      <c r="I133" s="117"/>
      <c r="J133" s="117"/>
      <c r="K133" s="117"/>
      <c r="L133" s="117"/>
      <c r="M133" s="27"/>
      <c r="N133" s="1"/>
    </row>
    <row r="134" spans="1:14">
      <c r="A134" s="163"/>
      <c r="B134" s="117"/>
      <c r="C134" s="117"/>
      <c r="D134" s="117"/>
      <c r="E134" s="117"/>
      <c r="F134" s="117"/>
      <c r="G134" s="117"/>
      <c r="H134" s="117"/>
      <c r="I134" s="117"/>
      <c r="J134" s="117"/>
      <c r="K134" s="117"/>
      <c r="L134" s="117"/>
      <c r="M134" s="27"/>
      <c r="N134" s="1"/>
    </row>
    <row r="135" spans="1:14">
      <c r="A135" s="163"/>
      <c r="B135" s="117"/>
      <c r="C135" s="117"/>
      <c r="D135" s="117"/>
      <c r="E135" s="117"/>
      <c r="F135" s="117"/>
      <c r="G135" s="117"/>
      <c r="H135" s="117"/>
      <c r="I135" s="117"/>
      <c r="J135" s="117"/>
      <c r="K135" s="117"/>
      <c r="L135" s="117"/>
      <c r="M135" s="27"/>
      <c r="N135" s="1"/>
    </row>
    <row r="136" spans="1:14">
      <c r="A136" s="163"/>
      <c r="B136" s="117"/>
      <c r="C136" s="117"/>
      <c r="D136" s="117"/>
      <c r="E136" s="117"/>
      <c r="F136" s="117"/>
      <c r="G136" s="117"/>
      <c r="H136" s="117"/>
      <c r="I136" s="117"/>
      <c r="J136" s="117"/>
      <c r="K136" s="117"/>
      <c r="L136" s="117"/>
      <c r="M136" s="27"/>
      <c r="N136" s="1"/>
    </row>
    <row r="137" spans="1:14">
      <c r="A137" s="163"/>
      <c r="B137" s="117"/>
      <c r="C137" s="117"/>
      <c r="D137" s="117"/>
      <c r="E137" s="117"/>
      <c r="F137" s="117"/>
      <c r="G137" s="117"/>
      <c r="H137" s="117"/>
      <c r="I137" s="117"/>
      <c r="J137" s="117"/>
      <c r="K137" s="117"/>
      <c r="L137" s="117"/>
      <c r="M137" s="27"/>
      <c r="N137" s="1"/>
    </row>
    <row r="138" spans="1:14">
      <c r="A138" s="163"/>
      <c r="B138" s="117"/>
      <c r="C138" s="117"/>
      <c r="D138" s="117"/>
      <c r="E138" s="117"/>
      <c r="F138" s="117"/>
      <c r="G138" s="117"/>
      <c r="H138" s="117"/>
      <c r="I138" s="117"/>
      <c r="J138" s="117"/>
      <c r="K138" s="117"/>
      <c r="L138" s="117"/>
      <c r="M138" s="27"/>
      <c r="N138" s="1"/>
    </row>
    <row r="139" spans="1:14">
      <c r="A139" s="163"/>
      <c r="B139" s="117"/>
      <c r="C139" s="117"/>
      <c r="D139" s="117"/>
      <c r="E139" s="117"/>
      <c r="F139" s="117"/>
      <c r="G139" s="117"/>
      <c r="H139" s="117"/>
      <c r="I139" s="117"/>
      <c r="J139" s="117"/>
      <c r="K139" s="117"/>
      <c r="L139" s="117"/>
      <c r="M139" s="27"/>
      <c r="N139" s="1"/>
    </row>
    <row r="140" spans="1:14">
      <c r="A140" s="163"/>
      <c r="B140" s="117"/>
      <c r="C140" s="117"/>
      <c r="D140" s="117"/>
      <c r="E140" s="117"/>
      <c r="F140" s="117"/>
      <c r="G140" s="117"/>
      <c r="H140" s="117"/>
      <c r="I140" s="117"/>
      <c r="J140" s="117"/>
      <c r="K140" s="117"/>
      <c r="L140" s="117"/>
      <c r="M140" s="27"/>
      <c r="N140" s="1"/>
    </row>
    <row r="141" spans="1:14">
      <c r="A141" s="163"/>
      <c r="B141" s="117"/>
      <c r="C141" s="117"/>
      <c r="D141" s="117"/>
      <c r="E141" s="117"/>
      <c r="F141" s="117"/>
      <c r="G141" s="117"/>
      <c r="H141" s="117"/>
      <c r="I141" s="117"/>
      <c r="J141" s="117"/>
      <c r="K141" s="117"/>
      <c r="L141" s="117"/>
      <c r="M141" s="27"/>
      <c r="N141" s="1"/>
    </row>
    <row r="142" spans="1:14">
      <c r="A142" s="163"/>
      <c r="B142" s="117"/>
      <c r="C142" s="117"/>
      <c r="D142" s="117"/>
      <c r="E142" s="117"/>
      <c r="F142" s="117"/>
      <c r="G142" s="117"/>
      <c r="H142" s="117"/>
      <c r="I142" s="117"/>
      <c r="J142" s="117"/>
      <c r="K142" s="117"/>
      <c r="L142" s="117"/>
      <c r="M142" s="27"/>
      <c r="N142" s="1"/>
    </row>
    <row r="143" spans="1:14">
      <c r="A143" s="163"/>
      <c r="B143" s="117"/>
      <c r="C143" s="117"/>
      <c r="D143" s="117"/>
      <c r="E143" s="117"/>
      <c r="F143" s="117"/>
      <c r="G143" s="117"/>
      <c r="H143" s="117"/>
      <c r="I143" s="117"/>
      <c r="J143" s="117"/>
      <c r="K143" s="117"/>
      <c r="L143" s="117"/>
      <c r="M143" s="27"/>
      <c r="N143" s="1"/>
    </row>
    <row r="144" spans="1:14">
      <c r="A144" s="163"/>
      <c r="B144" s="117"/>
      <c r="C144" s="117"/>
      <c r="D144" s="117"/>
      <c r="E144" s="117"/>
      <c r="F144" s="117"/>
      <c r="G144" s="117"/>
      <c r="H144" s="117"/>
      <c r="I144" s="117"/>
      <c r="J144" s="117"/>
      <c r="K144" s="117"/>
      <c r="L144" s="117"/>
      <c r="M144" s="27"/>
      <c r="N144" s="1"/>
    </row>
    <row r="145" spans="1:14">
      <c r="A145" s="163"/>
      <c r="B145" s="117"/>
      <c r="C145" s="117"/>
      <c r="D145" s="117"/>
      <c r="E145" s="117"/>
      <c r="F145" s="117"/>
      <c r="G145" s="117"/>
      <c r="H145" s="117"/>
      <c r="I145" s="117"/>
      <c r="J145" s="117"/>
      <c r="K145" s="117"/>
      <c r="L145" s="117"/>
      <c r="M145" s="27"/>
      <c r="N145" s="1"/>
    </row>
    <row r="146" spans="1:14">
      <c r="B146" s="1"/>
      <c r="C146" s="1"/>
      <c r="D146" s="1"/>
      <c r="E146" s="1"/>
      <c r="F146" s="1"/>
      <c r="G146" s="1"/>
      <c r="H146" s="1"/>
      <c r="I146" s="1"/>
      <c r="J146" s="1"/>
      <c r="K146" s="1"/>
      <c r="L146" s="1"/>
      <c r="M146" s="27"/>
      <c r="N146" s="1"/>
    </row>
    <row r="147" spans="1:14">
      <c r="B147" s="1"/>
      <c r="C147" s="1"/>
      <c r="D147" s="1"/>
      <c r="E147" s="1"/>
      <c r="F147" s="1"/>
      <c r="G147" s="1"/>
      <c r="H147" s="1"/>
      <c r="I147" s="1"/>
      <c r="J147" s="1"/>
      <c r="K147" s="1"/>
      <c r="L147" s="1"/>
      <c r="M147" s="27"/>
      <c r="N147" s="1"/>
    </row>
    <row r="148" spans="1:14">
      <c r="B148" s="1"/>
      <c r="C148" s="1"/>
      <c r="D148" s="1"/>
      <c r="E148" s="1"/>
      <c r="F148" s="1"/>
      <c r="G148" s="1"/>
      <c r="H148" s="1"/>
      <c r="I148" s="1"/>
      <c r="J148" s="1"/>
      <c r="K148" s="1"/>
      <c r="L148" s="1"/>
      <c r="M148" s="27"/>
      <c r="N148" s="1"/>
    </row>
    <row r="149" spans="1:14">
      <c r="B149" s="1"/>
      <c r="C149" s="1"/>
      <c r="D149" s="1"/>
      <c r="E149" s="1"/>
      <c r="F149" s="1"/>
      <c r="G149" s="1"/>
      <c r="H149" s="1"/>
      <c r="I149" s="1"/>
      <c r="J149" s="1"/>
      <c r="K149" s="1"/>
      <c r="L149" s="1"/>
      <c r="M149" s="27"/>
      <c r="N149" s="1"/>
    </row>
    <row r="150" spans="1:14">
      <c r="B150" s="1"/>
      <c r="C150" s="1"/>
      <c r="D150" s="1"/>
      <c r="E150" s="1"/>
      <c r="F150" s="1"/>
      <c r="G150" s="1"/>
      <c r="H150" s="1"/>
      <c r="I150" s="1"/>
      <c r="J150" s="1"/>
      <c r="K150" s="1"/>
      <c r="L150" s="1"/>
      <c r="M150" s="27"/>
      <c r="N150" s="1"/>
    </row>
    <row r="151" spans="1:14">
      <c r="B151" s="1"/>
      <c r="C151" s="1"/>
      <c r="D151" s="1"/>
      <c r="E151" s="1"/>
      <c r="F151" s="1"/>
      <c r="G151" s="1"/>
      <c r="H151" s="1"/>
      <c r="I151" s="1"/>
      <c r="J151" s="1"/>
      <c r="K151" s="1"/>
      <c r="L151" s="1"/>
      <c r="M151" s="27"/>
      <c r="N151" s="1"/>
    </row>
    <row r="152" spans="1:14">
      <c r="B152" s="1"/>
      <c r="C152" s="1"/>
      <c r="D152" s="1"/>
      <c r="E152" s="1"/>
      <c r="F152" s="1"/>
      <c r="G152" s="1"/>
      <c r="H152" s="1"/>
      <c r="I152" s="1"/>
      <c r="J152" s="1"/>
      <c r="K152" s="1"/>
      <c r="L152" s="1"/>
      <c r="M152" s="27"/>
      <c r="N152" s="1"/>
    </row>
    <row r="153" spans="1:14">
      <c r="B153" s="1"/>
      <c r="C153" s="1"/>
      <c r="D153" s="1"/>
      <c r="E153" s="1"/>
      <c r="F153" s="1"/>
      <c r="G153" s="1"/>
      <c r="H153" s="1"/>
      <c r="I153" s="1"/>
      <c r="J153" s="1"/>
      <c r="K153" s="1"/>
      <c r="L153" s="1"/>
      <c r="M153" s="27"/>
      <c r="N153" s="1"/>
    </row>
    <row r="154" spans="1:14">
      <c r="B154" s="1"/>
      <c r="C154" s="1"/>
      <c r="D154" s="1"/>
      <c r="E154" s="1"/>
      <c r="F154" s="1"/>
      <c r="G154" s="1"/>
      <c r="H154" s="1"/>
      <c r="I154" s="1"/>
      <c r="J154" s="1"/>
      <c r="K154" s="1"/>
      <c r="L154" s="1"/>
      <c r="M154" s="27"/>
      <c r="N154" s="1"/>
    </row>
    <row r="155" spans="1:14">
      <c r="B155" s="1"/>
      <c r="C155" s="1"/>
      <c r="D155" s="1"/>
      <c r="E155" s="1"/>
      <c r="F155" s="1"/>
      <c r="G155" s="1"/>
      <c r="H155" s="1"/>
      <c r="I155" s="1"/>
      <c r="J155" s="1"/>
      <c r="K155" s="1"/>
      <c r="L155" s="1"/>
      <c r="M155" s="27"/>
      <c r="N155" s="1"/>
    </row>
    <row r="156" spans="1:14">
      <c r="B156" s="1"/>
      <c r="C156" s="1"/>
      <c r="D156" s="1"/>
      <c r="E156" s="1"/>
      <c r="F156" s="1"/>
      <c r="G156" s="1"/>
      <c r="H156" s="1"/>
      <c r="I156" s="1"/>
      <c r="J156" s="1"/>
      <c r="K156" s="1"/>
      <c r="L156" s="1"/>
      <c r="M156" s="27"/>
      <c r="N156" s="1"/>
    </row>
    <row r="157" spans="1:14">
      <c r="B157" s="1"/>
      <c r="C157" s="1"/>
      <c r="D157" s="1"/>
      <c r="E157" s="1"/>
      <c r="F157" s="1"/>
      <c r="G157" s="1"/>
      <c r="H157" s="1"/>
      <c r="I157" s="1"/>
      <c r="J157" s="1"/>
      <c r="K157" s="1"/>
      <c r="L157" s="1"/>
      <c r="M157" s="27"/>
      <c r="N157" s="1"/>
    </row>
    <row r="158" spans="1:14">
      <c r="B158" s="1"/>
      <c r="C158" s="1"/>
      <c r="D158" s="1"/>
      <c r="E158" s="1"/>
      <c r="F158" s="1"/>
      <c r="G158" s="1"/>
      <c r="H158" s="1"/>
      <c r="I158" s="1"/>
      <c r="J158" s="1"/>
      <c r="K158" s="1"/>
      <c r="L158" s="1"/>
      <c r="M158" s="27"/>
      <c r="N158" s="1"/>
    </row>
    <row r="159" spans="1:14">
      <c r="B159" s="1"/>
      <c r="C159" s="1"/>
      <c r="D159" s="1"/>
      <c r="E159" s="1"/>
      <c r="F159" s="1"/>
      <c r="G159" s="1"/>
      <c r="H159" s="1"/>
      <c r="I159" s="1"/>
      <c r="J159" s="1"/>
      <c r="K159" s="1"/>
      <c r="L159" s="1"/>
      <c r="M159" s="27"/>
      <c r="N159" s="1"/>
    </row>
    <row r="160" spans="1:14">
      <c r="B160" s="1"/>
      <c r="C160" s="1"/>
      <c r="D160" s="1"/>
      <c r="E160" s="1"/>
      <c r="F160" s="1"/>
      <c r="G160" s="1"/>
      <c r="H160" s="1"/>
      <c r="I160" s="1"/>
      <c r="J160" s="1"/>
      <c r="K160" s="1"/>
      <c r="L160" s="1"/>
      <c r="M160" s="27"/>
      <c r="N160" s="1"/>
    </row>
    <row r="161" spans="2:14">
      <c r="B161" s="1"/>
      <c r="C161" s="1"/>
      <c r="D161" s="1"/>
      <c r="E161" s="1"/>
      <c r="F161" s="1"/>
      <c r="G161" s="1"/>
      <c r="H161" s="1"/>
      <c r="I161" s="1"/>
      <c r="J161" s="1"/>
      <c r="K161" s="1"/>
      <c r="L161" s="1"/>
      <c r="M161" s="27"/>
      <c r="N161" s="1"/>
    </row>
    <row r="162" spans="2:14">
      <c r="B162" s="1"/>
      <c r="C162" s="1"/>
      <c r="D162" s="1"/>
      <c r="E162" s="1"/>
      <c r="F162" s="1"/>
      <c r="G162" s="1"/>
      <c r="H162" s="1"/>
      <c r="I162" s="1"/>
      <c r="J162" s="1"/>
      <c r="K162" s="1"/>
      <c r="L162" s="1"/>
      <c r="M162" s="27"/>
      <c r="N162" s="1"/>
    </row>
    <row r="163" spans="2:14">
      <c r="B163" s="1"/>
      <c r="C163" s="1"/>
      <c r="D163" s="1"/>
      <c r="E163" s="1"/>
      <c r="F163" s="1"/>
      <c r="G163" s="1"/>
      <c r="H163" s="1"/>
      <c r="I163" s="1"/>
      <c r="J163" s="1"/>
      <c r="K163" s="1"/>
      <c r="L163" s="1"/>
      <c r="M163" s="27"/>
      <c r="N163" s="1"/>
    </row>
    <row r="164" spans="2:14">
      <c r="B164" s="1"/>
      <c r="C164" s="1"/>
      <c r="D164" s="1"/>
      <c r="E164" s="1"/>
      <c r="F164" s="1"/>
      <c r="G164" s="1"/>
      <c r="H164" s="1"/>
      <c r="I164" s="1"/>
      <c r="J164" s="1"/>
      <c r="K164" s="1"/>
      <c r="L164" s="1"/>
      <c r="M164" s="27"/>
      <c r="N164" s="1"/>
    </row>
    <row r="165" spans="2:14">
      <c r="B165" s="1"/>
      <c r="C165" s="1"/>
      <c r="D165" s="1"/>
      <c r="E165" s="1"/>
      <c r="F165" s="1"/>
      <c r="G165" s="1"/>
      <c r="H165" s="1"/>
      <c r="I165" s="1"/>
      <c r="J165" s="1"/>
      <c r="K165" s="1"/>
      <c r="L165" s="1"/>
      <c r="M165" s="27"/>
      <c r="N165" s="1"/>
    </row>
    <row r="166" spans="2:14">
      <c r="B166" s="1"/>
      <c r="C166" s="1"/>
      <c r="D166" s="1"/>
      <c r="E166" s="1"/>
      <c r="F166" s="1"/>
      <c r="G166" s="1"/>
      <c r="H166" s="1"/>
      <c r="I166" s="1"/>
      <c r="J166" s="1"/>
      <c r="K166" s="1"/>
      <c r="L166" s="1"/>
      <c r="M166" s="27"/>
      <c r="N166" s="1"/>
    </row>
    <row r="167" spans="2:14">
      <c r="B167" s="1"/>
      <c r="C167" s="1"/>
      <c r="D167" s="1"/>
      <c r="E167" s="1"/>
      <c r="F167" s="1"/>
      <c r="G167" s="1"/>
      <c r="H167" s="1"/>
      <c r="I167" s="1"/>
      <c r="J167" s="1"/>
      <c r="K167" s="1"/>
      <c r="L167" s="1"/>
      <c r="M167" s="27"/>
      <c r="N167" s="1"/>
    </row>
    <row r="168" spans="2:14">
      <c r="B168" s="1"/>
      <c r="C168" s="1"/>
      <c r="D168" s="1"/>
      <c r="E168" s="1"/>
      <c r="F168" s="1"/>
      <c r="G168" s="1"/>
      <c r="H168" s="1"/>
      <c r="I168" s="1"/>
      <c r="J168" s="1"/>
      <c r="K168" s="1"/>
      <c r="L168" s="1"/>
      <c r="M168" s="27"/>
      <c r="N168" s="1"/>
    </row>
    <row r="169" spans="2:14">
      <c r="B169" s="1"/>
      <c r="C169" s="1"/>
      <c r="D169" s="1"/>
      <c r="E169" s="1"/>
      <c r="F169" s="1"/>
      <c r="G169" s="1"/>
      <c r="H169" s="1"/>
      <c r="I169" s="1"/>
      <c r="J169" s="1"/>
      <c r="K169" s="1"/>
      <c r="L169" s="1"/>
      <c r="M169" s="27"/>
      <c r="N169" s="1"/>
    </row>
    <row r="170" spans="2:14">
      <c r="B170" s="1"/>
      <c r="C170" s="1"/>
      <c r="D170" s="1"/>
      <c r="E170" s="1"/>
      <c r="F170" s="1"/>
      <c r="G170" s="1"/>
      <c r="H170" s="1"/>
      <c r="I170" s="1"/>
      <c r="J170" s="1"/>
      <c r="K170" s="1"/>
      <c r="L170" s="1"/>
      <c r="M170" s="27"/>
      <c r="N170" s="1"/>
    </row>
    <row r="171" spans="2:14">
      <c r="B171" s="1"/>
      <c r="C171" s="1"/>
      <c r="D171" s="1"/>
      <c r="E171" s="1"/>
      <c r="F171" s="1"/>
      <c r="G171" s="1"/>
      <c r="H171" s="1"/>
      <c r="I171" s="1"/>
      <c r="J171" s="1"/>
      <c r="K171" s="1"/>
      <c r="L171" s="1"/>
      <c r="M171" s="27"/>
      <c r="N171" s="1"/>
    </row>
    <row r="172" spans="2:14">
      <c r="B172" s="1"/>
      <c r="C172" s="1"/>
      <c r="D172" s="1"/>
      <c r="E172" s="1"/>
      <c r="F172" s="1"/>
      <c r="G172" s="1"/>
      <c r="H172" s="1"/>
      <c r="I172" s="1"/>
      <c r="J172" s="1"/>
      <c r="K172" s="1"/>
      <c r="L172" s="1"/>
      <c r="M172" s="27"/>
      <c r="N172" s="1"/>
    </row>
    <row r="173" spans="2:14">
      <c r="B173" s="1"/>
      <c r="C173" s="1"/>
      <c r="D173" s="1"/>
      <c r="E173" s="1"/>
      <c r="F173" s="1"/>
      <c r="G173" s="1"/>
      <c r="H173" s="1"/>
      <c r="I173" s="1"/>
      <c r="J173" s="1"/>
      <c r="K173" s="1"/>
      <c r="L173" s="1"/>
      <c r="M173" s="27"/>
      <c r="N173" s="1"/>
    </row>
    <row r="174" spans="2:14">
      <c r="B174" s="1"/>
      <c r="C174" s="1"/>
      <c r="D174" s="1"/>
      <c r="E174" s="1"/>
      <c r="F174" s="1"/>
      <c r="G174" s="1"/>
      <c r="H174" s="1"/>
      <c r="I174" s="1"/>
      <c r="J174" s="1"/>
      <c r="K174" s="1"/>
      <c r="L174" s="1"/>
      <c r="M174" s="27"/>
      <c r="N174" s="1"/>
    </row>
    <row r="175" spans="2:14">
      <c r="B175" s="1"/>
      <c r="C175" s="1"/>
      <c r="D175" s="1"/>
      <c r="E175" s="1"/>
      <c r="F175" s="1"/>
      <c r="G175" s="1"/>
      <c r="H175" s="1"/>
      <c r="I175" s="1"/>
      <c r="J175" s="1"/>
      <c r="K175" s="1"/>
      <c r="L175" s="1"/>
      <c r="M175" s="27"/>
      <c r="N175" s="1"/>
    </row>
    <row r="176" spans="2:14">
      <c r="B176" s="1"/>
      <c r="C176" s="1"/>
      <c r="D176" s="1"/>
      <c r="E176" s="1"/>
      <c r="F176" s="1"/>
      <c r="G176" s="1"/>
      <c r="H176" s="1"/>
      <c r="I176" s="1"/>
      <c r="J176" s="1"/>
      <c r="K176" s="1"/>
      <c r="L176" s="1"/>
      <c r="M176" s="27"/>
      <c r="N176" s="1"/>
    </row>
    <row r="177" spans="2:14">
      <c r="B177" s="1"/>
      <c r="C177" s="1"/>
      <c r="D177" s="1"/>
      <c r="E177" s="1"/>
      <c r="F177" s="1"/>
      <c r="G177" s="1"/>
      <c r="H177" s="1"/>
      <c r="I177" s="1"/>
      <c r="J177" s="1"/>
      <c r="K177" s="1"/>
      <c r="L177" s="1"/>
      <c r="M177" s="27"/>
      <c r="N177" s="1"/>
    </row>
    <row r="178" spans="2:14">
      <c r="B178" s="1"/>
      <c r="C178" s="1"/>
      <c r="D178" s="1"/>
      <c r="E178" s="1"/>
      <c r="F178" s="1"/>
      <c r="G178" s="1"/>
      <c r="H178" s="1"/>
      <c r="I178" s="1"/>
      <c r="J178" s="1"/>
      <c r="K178" s="1"/>
      <c r="L178" s="1"/>
      <c r="M178" s="27"/>
      <c r="N178" s="1"/>
    </row>
    <row r="179" spans="2:14">
      <c r="B179" s="1"/>
      <c r="C179" s="1"/>
      <c r="D179" s="1"/>
      <c r="E179" s="1"/>
      <c r="F179" s="1"/>
      <c r="G179" s="1"/>
      <c r="H179" s="1"/>
      <c r="I179" s="1"/>
      <c r="J179" s="1"/>
      <c r="K179" s="1"/>
      <c r="L179" s="1"/>
      <c r="M179" s="27"/>
      <c r="N179" s="1"/>
    </row>
    <row r="180" spans="2:14">
      <c r="B180" s="1"/>
      <c r="C180" s="1"/>
      <c r="D180" s="1"/>
      <c r="E180" s="1"/>
      <c r="F180" s="1"/>
      <c r="G180" s="1"/>
      <c r="H180" s="1"/>
      <c r="I180" s="1"/>
      <c r="J180" s="1"/>
      <c r="K180" s="1"/>
      <c r="L180" s="1"/>
      <c r="M180" s="27"/>
      <c r="N180" s="1"/>
    </row>
    <row r="181" spans="2:14">
      <c r="B181" s="1"/>
      <c r="C181" s="1"/>
      <c r="D181" s="1"/>
      <c r="E181" s="1"/>
      <c r="F181" s="1"/>
      <c r="G181" s="1"/>
      <c r="H181" s="1"/>
      <c r="I181" s="1"/>
      <c r="J181" s="1"/>
      <c r="K181" s="1"/>
      <c r="L181" s="1"/>
      <c r="M181" s="27"/>
      <c r="N181" s="1"/>
    </row>
    <row r="182" spans="2:14">
      <c r="B182" s="1"/>
      <c r="C182" s="1"/>
      <c r="D182" s="1"/>
      <c r="E182" s="1"/>
      <c r="F182" s="1"/>
      <c r="G182" s="1"/>
      <c r="H182" s="1"/>
      <c r="I182" s="1"/>
      <c r="J182" s="1"/>
      <c r="K182" s="1"/>
      <c r="L182" s="1"/>
      <c r="M182" s="27"/>
      <c r="N182" s="1"/>
    </row>
    <row r="183" spans="2:14">
      <c r="B183" s="1"/>
      <c r="C183" s="1"/>
      <c r="D183" s="1"/>
      <c r="E183" s="1"/>
      <c r="F183" s="1"/>
      <c r="G183" s="1"/>
      <c r="H183" s="1"/>
      <c r="I183" s="1"/>
      <c r="J183" s="1"/>
      <c r="K183" s="1"/>
      <c r="L183" s="1"/>
      <c r="M183" s="27"/>
      <c r="N183" s="1"/>
    </row>
    <row r="184" spans="2:14">
      <c r="B184" s="1"/>
      <c r="C184" s="1"/>
      <c r="D184" s="1"/>
      <c r="E184" s="1"/>
      <c r="F184" s="1"/>
      <c r="G184" s="1"/>
      <c r="H184" s="1"/>
      <c r="I184" s="1"/>
      <c r="J184" s="1"/>
      <c r="K184" s="1"/>
      <c r="L184" s="1"/>
      <c r="M184" s="27"/>
      <c r="N184" s="1"/>
    </row>
    <row r="185" spans="2:14">
      <c r="M185" s="19"/>
    </row>
    <row r="186" spans="2:14">
      <c r="M186" s="19"/>
    </row>
    <row r="187" spans="2:14">
      <c r="M187" s="19"/>
    </row>
    <row r="188" spans="2:14">
      <c r="M188" s="19"/>
    </row>
    <row r="189" spans="2:14">
      <c r="M189" s="19"/>
    </row>
    <row r="190" spans="2:14">
      <c r="M190" s="19"/>
    </row>
    <row r="191" spans="2:14">
      <c r="M191" s="19"/>
    </row>
    <row r="192" spans="2:14">
      <c r="M192" s="19"/>
    </row>
    <row r="193" spans="13:13">
      <c r="M193" s="19"/>
    </row>
    <row r="194" spans="13:13">
      <c r="M194" s="19"/>
    </row>
    <row r="195" spans="13:13">
      <c r="M195" s="19"/>
    </row>
    <row r="196" spans="13:13">
      <c r="M196" s="19"/>
    </row>
    <row r="197" spans="13:13">
      <c r="M197" s="19"/>
    </row>
    <row r="198" spans="13:13">
      <c r="M198" s="19"/>
    </row>
    <row r="199" spans="13:13">
      <c r="M199" s="19"/>
    </row>
    <row r="200" spans="13:13">
      <c r="M200" s="19"/>
    </row>
    <row r="201" spans="13:13">
      <c r="M201" s="19"/>
    </row>
    <row r="202" spans="13:13">
      <c r="M202" s="19"/>
    </row>
    <row r="203" spans="13:13">
      <c r="M203" s="19"/>
    </row>
    <row r="204" spans="13:13">
      <c r="M204" s="19"/>
    </row>
    <row r="205" spans="13:13">
      <c r="M205" s="19"/>
    </row>
    <row r="206" spans="13:13">
      <c r="M206" s="19"/>
    </row>
    <row r="207" spans="13:13">
      <c r="M207" s="19"/>
    </row>
    <row r="208" spans="13:13">
      <c r="M208" s="19"/>
    </row>
    <row r="209" spans="13:13">
      <c r="M209" s="19"/>
    </row>
    <row r="210" spans="13:13">
      <c r="M210" s="19"/>
    </row>
    <row r="211" spans="13:13">
      <c r="M211" s="19"/>
    </row>
    <row r="212" spans="13:13">
      <c r="M212" s="19"/>
    </row>
    <row r="213" spans="13:13">
      <c r="M213" s="19"/>
    </row>
    <row r="214" spans="13:13">
      <c r="M214" s="19"/>
    </row>
    <row r="215" spans="13:13">
      <c r="M215" s="19"/>
    </row>
    <row r="216" spans="13:13">
      <c r="M216" s="19"/>
    </row>
    <row r="217" spans="13:13">
      <c r="M217" s="19"/>
    </row>
    <row r="218" spans="13:13">
      <c r="M218" s="19"/>
    </row>
    <row r="219" spans="13:13">
      <c r="M219" s="19"/>
    </row>
    <row r="220" spans="13:13">
      <c r="M220" s="19"/>
    </row>
    <row r="221" spans="13:13">
      <c r="M221" s="19"/>
    </row>
    <row r="222" spans="13:13">
      <c r="M222" s="19"/>
    </row>
    <row r="223" spans="13:13">
      <c r="M223" s="19"/>
    </row>
    <row r="224" spans="13:13">
      <c r="M224" s="19"/>
    </row>
    <row r="225" spans="13:13">
      <c r="M225" s="19"/>
    </row>
    <row r="226" spans="13:13">
      <c r="M226" s="19"/>
    </row>
    <row r="227" spans="13:13">
      <c r="M227" s="19"/>
    </row>
    <row r="228" spans="13:13">
      <c r="M228" s="19"/>
    </row>
    <row r="229" spans="13:13">
      <c r="M229" s="19"/>
    </row>
    <row r="230" spans="13:13">
      <c r="M230" s="19"/>
    </row>
    <row r="231" spans="13:13">
      <c r="M231" s="19"/>
    </row>
    <row r="232" spans="13:13">
      <c r="M232" s="19"/>
    </row>
    <row r="233" spans="13:13">
      <c r="M233" s="19"/>
    </row>
    <row r="234" spans="13:13">
      <c r="M234" s="19"/>
    </row>
    <row r="235" spans="13:13">
      <c r="M235" s="19"/>
    </row>
    <row r="236" spans="13:13">
      <c r="M236" s="19"/>
    </row>
    <row r="237" spans="13:13">
      <c r="M237" s="19"/>
    </row>
    <row r="238" spans="13:13">
      <c r="M238" s="19"/>
    </row>
    <row r="239" spans="13:13">
      <c r="M239" s="19"/>
    </row>
    <row r="240" spans="13:13">
      <c r="M240" s="19"/>
    </row>
    <row r="241" spans="13:13">
      <c r="M241" s="19"/>
    </row>
    <row r="242" spans="13:13">
      <c r="M242" s="19"/>
    </row>
    <row r="243" spans="13:13">
      <c r="M243" s="19"/>
    </row>
    <row r="244" spans="13:13">
      <c r="M244" s="19"/>
    </row>
    <row r="245" spans="13:13">
      <c r="M245" s="19"/>
    </row>
    <row r="246" spans="13:13">
      <c r="M246" s="19"/>
    </row>
    <row r="247" spans="13:13">
      <c r="M247" s="19"/>
    </row>
    <row r="248" spans="13:13">
      <c r="M248" s="19"/>
    </row>
    <row r="249" spans="13:13">
      <c r="M249" s="19"/>
    </row>
    <row r="250" spans="13:13">
      <c r="M250" s="19"/>
    </row>
    <row r="251" spans="13:13">
      <c r="M251" s="19"/>
    </row>
    <row r="252" spans="13:13">
      <c r="M252" s="19"/>
    </row>
    <row r="253" spans="13:13">
      <c r="M253" s="19"/>
    </row>
    <row r="254" spans="13:13">
      <c r="M254" s="19"/>
    </row>
    <row r="255" spans="13:13">
      <c r="M255" s="19"/>
    </row>
    <row r="256" spans="13:13">
      <c r="M256" s="19"/>
    </row>
    <row r="257" spans="13:13">
      <c r="M257" s="19"/>
    </row>
    <row r="258" spans="13:13">
      <c r="M258" s="19"/>
    </row>
    <row r="259" spans="13:13">
      <c r="M259" s="19"/>
    </row>
    <row r="260" spans="13:13">
      <c r="M260" s="19"/>
    </row>
    <row r="261" spans="13:13">
      <c r="M261" s="19"/>
    </row>
    <row r="262" spans="13:13">
      <c r="M262" s="19"/>
    </row>
    <row r="263" spans="13:13">
      <c r="M263" s="19"/>
    </row>
    <row r="264" spans="13:13">
      <c r="M264" s="19"/>
    </row>
    <row r="265" spans="13:13">
      <c r="M265" s="19"/>
    </row>
    <row r="266" spans="13:13">
      <c r="M266" s="19"/>
    </row>
    <row r="267" spans="13:13">
      <c r="M267" s="19"/>
    </row>
    <row r="268" spans="13:13">
      <c r="M268" s="19"/>
    </row>
    <row r="269" spans="13:13">
      <c r="M269" s="19"/>
    </row>
    <row r="270" spans="13:13">
      <c r="M270" s="19"/>
    </row>
    <row r="271" spans="13:13">
      <c r="M271" s="19"/>
    </row>
    <row r="272" spans="13:13">
      <c r="M272" s="19"/>
    </row>
    <row r="273" spans="13:13">
      <c r="M273" s="19"/>
    </row>
    <row r="274" spans="13:13">
      <c r="M274" s="19"/>
    </row>
    <row r="275" spans="13:13">
      <c r="M275" s="19"/>
    </row>
    <row r="276" spans="13:13">
      <c r="M276" s="19"/>
    </row>
    <row r="277" spans="13:13">
      <c r="M277" s="19"/>
    </row>
    <row r="278" spans="13:13">
      <c r="M278" s="19"/>
    </row>
    <row r="279" spans="13:13">
      <c r="M279" s="19"/>
    </row>
    <row r="280" spans="13:13">
      <c r="M280" s="19"/>
    </row>
    <row r="281" spans="13:13">
      <c r="M281" s="19"/>
    </row>
    <row r="282" spans="13:13">
      <c r="M282" s="19"/>
    </row>
    <row r="283" spans="13:13">
      <c r="M283" s="19"/>
    </row>
    <row r="284" spans="13:13">
      <c r="M284" s="19"/>
    </row>
    <row r="285" spans="13:13">
      <c r="M285" s="19"/>
    </row>
    <row r="286" spans="13:13">
      <c r="M286" s="19"/>
    </row>
    <row r="287" spans="13:13">
      <c r="M287" s="19"/>
    </row>
    <row r="288" spans="13:13">
      <c r="M288" s="19"/>
    </row>
    <row r="289" spans="13:13">
      <c r="M289" s="19"/>
    </row>
    <row r="290" spans="13:13">
      <c r="M290" s="19"/>
    </row>
    <row r="291" spans="13:13">
      <c r="M291" s="19"/>
    </row>
    <row r="292" spans="13:13">
      <c r="M292" s="19"/>
    </row>
    <row r="293" spans="13:13">
      <c r="M293" s="19"/>
    </row>
    <row r="294" spans="13:13">
      <c r="M294" s="19"/>
    </row>
    <row r="295" spans="13:13">
      <c r="M295" s="19"/>
    </row>
    <row r="296" spans="13:13">
      <c r="M296" s="19"/>
    </row>
    <row r="297" spans="13:13">
      <c r="M297" s="19"/>
    </row>
    <row r="298" spans="13:13">
      <c r="M298" s="19"/>
    </row>
    <row r="299" spans="13:13">
      <c r="M299" s="19"/>
    </row>
    <row r="300" spans="13:13">
      <c r="M300" s="19"/>
    </row>
    <row r="301" spans="13:13">
      <c r="M301" s="19"/>
    </row>
    <row r="302" spans="13:13">
      <c r="M302" s="19"/>
    </row>
    <row r="303" spans="13:13">
      <c r="M303" s="19"/>
    </row>
    <row r="304" spans="13:13">
      <c r="M304" s="19"/>
    </row>
    <row r="305" spans="13:13">
      <c r="M305" s="19"/>
    </row>
    <row r="306" spans="13:13">
      <c r="M306" s="19"/>
    </row>
    <row r="307" spans="13:13">
      <c r="M307" s="19"/>
    </row>
    <row r="308" spans="13:13">
      <c r="M308" s="19"/>
    </row>
    <row r="309" spans="13:13">
      <c r="M309" s="19"/>
    </row>
    <row r="310" spans="13:13">
      <c r="M310" s="19"/>
    </row>
    <row r="311" spans="13:13">
      <c r="M311" s="19"/>
    </row>
    <row r="312" spans="13:13">
      <c r="M312" s="19"/>
    </row>
    <row r="313" spans="13:13">
      <c r="M313" s="19"/>
    </row>
    <row r="314" spans="13:13">
      <c r="M314" s="19"/>
    </row>
    <row r="315" spans="13:13">
      <c r="M315" s="19"/>
    </row>
    <row r="316" spans="13:13">
      <c r="M316" s="19"/>
    </row>
    <row r="317" spans="13:13">
      <c r="M317" s="19"/>
    </row>
    <row r="318" spans="13:13">
      <c r="M318" s="19"/>
    </row>
    <row r="319" spans="13:13">
      <c r="M319" s="19"/>
    </row>
    <row r="320" spans="13:13">
      <c r="M320" s="19"/>
    </row>
    <row r="321" spans="2:13">
      <c r="M321" s="19"/>
    </row>
    <row r="322" spans="2:13">
      <c r="M322" s="19"/>
    </row>
    <row r="323" spans="2:13">
      <c r="M323" s="19"/>
    </row>
    <row r="324" spans="2:13">
      <c r="M324" s="19"/>
    </row>
    <row r="325" spans="2:13">
      <c r="M325" s="19"/>
    </row>
    <row r="326" spans="2:13">
      <c r="M326" s="19"/>
    </row>
    <row r="327" spans="2:13">
      <c r="M327" s="19"/>
    </row>
    <row r="328" spans="2:13">
      <c r="B328" s="1"/>
      <c r="C328" s="1"/>
      <c r="D328" s="1"/>
      <c r="E328" s="1"/>
      <c r="F328" s="1"/>
      <c r="G328" s="1"/>
      <c r="H328" s="1"/>
      <c r="I328" s="1"/>
      <c r="J328" s="1"/>
      <c r="K328" s="1"/>
      <c r="L328" s="1"/>
      <c r="M328" s="19"/>
    </row>
    <row r="329" spans="2:13">
      <c r="B329" s="1"/>
      <c r="C329" s="1"/>
      <c r="D329" s="1"/>
      <c r="E329" s="1"/>
      <c r="F329" s="1"/>
      <c r="G329" s="1"/>
      <c r="H329" s="1"/>
      <c r="I329" s="1"/>
      <c r="J329" s="1"/>
      <c r="K329" s="1"/>
      <c r="L329" s="1"/>
      <c r="M329" s="19"/>
    </row>
    <row r="330" spans="2:13">
      <c r="B330" s="1"/>
      <c r="C330" s="1"/>
      <c r="D330" s="1"/>
      <c r="E330" s="1"/>
      <c r="F330" s="1"/>
      <c r="G330" s="1"/>
      <c r="H330" s="1"/>
      <c r="I330" s="1"/>
      <c r="J330" s="1"/>
      <c r="K330" s="1"/>
      <c r="L330" s="1"/>
    </row>
    <row r="331" spans="2:13">
      <c r="B331" s="1"/>
      <c r="C331" s="1"/>
      <c r="D331" s="1"/>
      <c r="E331" s="1"/>
      <c r="F331" s="1"/>
      <c r="G331" s="1"/>
      <c r="H331" s="1"/>
      <c r="I331" s="1"/>
      <c r="J331" s="1"/>
      <c r="K331" s="1"/>
      <c r="L331" s="1"/>
    </row>
  </sheetData>
  <mergeCells count="2">
    <mergeCell ref="J1:L1"/>
    <mergeCell ref="J3:L3"/>
  </mergeCells>
  <pageMargins left="0.75" right="0.75" top="1" bottom="1" header="0.5" footer="0.5"/>
  <pageSetup orientation="portrait" horizontalDpi="4294967292" verticalDpi="4294967292"/>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V370"/>
  <sheetViews>
    <sheetView topLeftCell="M1" workbookViewId="0">
      <selection activeCell="V18" sqref="V18"/>
    </sheetView>
  </sheetViews>
  <sheetFormatPr defaultColWidth="11" defaultRowHeight="15.75"/>
  <cols>
    <col min="1" max="1" width="25.625" customWidth="1"/>
    <col min="2" max="2" width="15.125" bestFit="1" customWidth="1"/>
    <col min="3" max="9" width="12.5" bestFit="1" customWidth="1"/>
    <col min="10" max="12" width="13.875" customWidth="1"/>
    <col min="13" max="13" width="11" style="190"/>
    <col min="22" max="22" width="89.375" customWidth="1"/>
    <col min="25" max="25" width="32.75" customWidth="1"/>
  </cols>
  <sheetData>
    <row r="1" spans="1:14" ht="18.75">
      <c r="A1" s="37" t="s">
        <v>34</v>
      </c>
      <c r="J1" s="494" t="s">
        <v>215</v>
      </c>
      <c r="K1" s="494"/>
      <c r="L1" s="494"/>
    </row>
    <row r="2" spans="1:14">
      <c r="A2" s="2"/>
    </row>
    <row r="3" spans="1:14">
      <c r="A3" s="2"/>
      <c r="B3" s="82" t="s">
        <v>61</v>
      </c>
      <c r="C3" s="82" t="s">
        <v>61</v>
      </c>
      <c r="D3" s="82" t="s">
        <v>61</v>
      </c>
      <c r="E3" s="82" t="s">
        <v>61</v>
      </c>
      <c r="F3" s="82" t="s">
        <v>61</v>
      </c>
      <c r="G3" s="82" t="s">
        <v>61</v>
      </c>
      <c r="H3" s="82" t="s">
        <v>61</v>
      </c>
      <c r="I3" s="82" t="s">
        <v>61</v>
      </c>
      <c r="J3" s="82" t="s">
        <v>61</v>
      </c>
      <c r="K3" s="82" t="s">
        <v>61</v>
      </c>
      <c r="L3" s="82" t="s">
        <v>61</v>
      </c>
    </row>
    <row r="4" spans="1:14">
      <c r="A4" s="2"/>
      <c r="B4" s="30" t="s">
        <v>57</v>
      </c>
      <c r="C4" s="30" t="s">
        <v>57</v>
      </c>
      <c r="D4" s="30" t="s">
        <v>57</v>
      </c>
      <c r="E4" s="30" t="s">
        <v>57</v>
      </c>
      <c r="F4" s="30" t="s">
        <v>57</v>
      </c>
      <c r="G4" s="30" t="s">
        <v>57</v>
      </c>
      <c r="H4" s="30" t="s">
        <v>57</v>
      </c>
      <c r="I4" s="30" t="s">
        <v>57</v>
      </c>
      <c r="J4" s="30" t="s">
        <v>57</v>
      </c>
      <c r="K4" s="30" t="s">
        <v>202</v>
      </c>
      <c r="L4" s="30" t="s">
        <v>58</v>
      </c>
    </row>
    <row r="5" spans="1:14" ht="18.75">
      <c r="A5" s="93" t="s">
        <v>98</v>
      </c>
      <c r="B5" s="254">
        <v>2009</v>
      </c>
      <c r="C5" s="254">
        <v>2010</v>
      </c>
      <c r="D5" s="254">
        <v>2011</v>
      </c>
      <c r="E5" s="254">
        <v>2012</v>
      </c>
      <c r="F5" s="254">
        <v>2013</v>
      </c>
      <c r="G5" s="254">
        <v>2014</v>
      </c>
      <c r="H5" s="254">
        <v>2015</v>
      </c>
      <c r="I5" s="254">
        <v>2016</v>
      </c>
      <c r="J5" s="254">
        <v>2017</v>
      </c>
      <c r="K5" s="254">
        <v>2018</v>
      </c>
      <c r="L5" s="254">
        <v>2019</v>
      </c>
      <c r="M5" s="195"/>
      <c r="N5" s="2"/>
    </row>
    <row r="6" spans="1:14">
      <c r="A6" s="10" t="s">
        <v>100</v>
      </c>
      <c r="B6" s="32">
        <v>3150350</v>
      </c>
      <c r="C6" s="32">
        <v>2931210</v>
      </c>
      <c r="D6" s="32">
        <v>3188644</v>
      </c>
      <c r="E6" s="32">
        <v>3125625</v>
      </c>
      <c r="F6" s="32">
        <v>3516179</v>
      </c>
      <c r="G6" s="32">
        <v>3464762</v>
      </c>
      <c r="H6" s="32">
        <v>3854155</v>
      </c>
      <c r="I6" s="32">
        <v>3971864</v>
      </c>
      <c r="J6" s="32">
        <v>4461275</v>
      </c>
      <c r="K6" s="32">
        <v>4462730</v>
      </c>
      <c r="L6" s="32">
        <v>0</v>
      </c>
      <c r="M6" s="174"/>
      <c r="N6" s="3"/>
    </row>
    <row r="7" spans="1:14">
      <c r="A7" s="96" t="s">
        <v>93</v>
      </c>
      <c r="B7" s="32">
        <v>0</v>
      </c>
      <c r="C7" s="32">
        <v>0</v>
      </c>
      <c r="D7" s="32">
        <v>0</v>
      </c>
      <c r="E7" s="32">
        <v>0</v>
      </c>
      <c r="F7" s="32">
        <v>0</v>
      </c>
      <c r="G7" s="32">
        <v>0</v>
      </c>
      <c r="H7" s="32">
        <v>0</v>
      </c>
      <c r="I7" s="32">
        <v>0</v>
      </c>
      <c r="J7" s="32">
        <v>0</v>
      </c>
      <c r="K7" s="32">
        <v>0</v>
      </c>
      <c r="L7" s="32">
        <v>0</v>
      </c>
      <c r="M7" s="174"/>
      <c r="N7" s="3"/>
    </row>
    <row r="8" spans="1:14">
      <c r="A8" s="94" t="s">
        <v>101</v>
      </c>
      <c r="B8" s="32">
        <v>0</v>
      </c>
      <c r="C8" s="32">
        <v>0</v>
      </c>
      <c r="D8" s="32">
        <v>0</v>
      </c>
      <c r="E8" s="32">
        <v>0</v>
      </c>
      <c r="F8" s="32">
        <v>0</v>
      </c>
      <c r="G8" s="32">
        <v>0</v>
      </c>
      <c r="H8" s="32">
        <v>0</v>
      </c>
      <c r="I8" s="32">
        <v>0</v>
      </c>
      <c r="J8" s="32">
        <v>0</v>
      </c>
      <c r="K8" s="32">
        <v>0</v>
      </c>
      <c r="L8" s="32">
        <v>0</v>
      </c>
      <c r="M8" s="174"/>
      <c r="N8" s="3"/>
    </row>
    <row r="9" spans="1:14">
      <c r="A9" s="73" t="s">
        <v>83</v>
      </c>
      <c r="B9" s="32">
        <v>0</v>
      </c>
      <c r="C9" s="32">
        <v>74768</v>
      </c>
      <c r="D9" s="32">
        <v>72053</v>
      </c>
      <c r="E9" s="32">
        <v>63994</v>
      </c>
      <c r="F9" s="32">
        <v>63994</v>
      </c>
      <c r="G9" s="32">
        <v>147208</v>
      </c>
      <c r="H9" s="32">
        <v>246505</v>
      </c>
      <c r="I9" s="32">
        <v>210754</v>
      </c>
      <c r="J9" s="32">
        <f>145173+82063</f>
        <v>227236</v>
      </c>
      <c r="K9" s="32">
        <f>82615+87903</f>
        <v>170518</v>
      </c>
      <c r="L9" s="32">
        <f>80025+87181</f>
        <v>167206</v>
      </c>
      <c r="M9" s="174"/>
      <c r="N9" s="3"/>
    </row>
    <row r="10" spans="1:14" ht="16.5" thickBot="1">
      <c r="A10" s="39"/>
      <c r="B10" s="125">
        <v>0</v>
      </c>
      <c r="C10" s="125">
        <v>0</v>
      </c>
      <c r="D10" s="125">
        <v>0</v>
      </c>
      <c r="E10" s="125">
        <v>0</v>
      </c>
      <c r="F10" s="125">
        <v>0</v>
      </c>
      <c r="G10" s="125">
        <v>0</v>
      </c>
      <c r="H10" s="125">
        <v>0</v>
      </c>
      <c r="I10" s="125">
        <v>0</v>
      </c>
      <c r="J10" s="125">
        <v>0</v>
      </c>
      <c r="K10" s="125">
        <v>0</v>
      </c>
      <c r="L10" s="125">
        <v>0</v>
      </c>
      <c r="M10" s="195"/>
      <c r="N10" s="2"/>
    </row>
    <row r="11" spans="1:14">
      <c r="A11" s="95" t="s">
        <v>108</v>
      </c>
      <c r="B11" s="32">
        <f t="shared" ref="B11:H11" si="0">SUM(B6:B9)</f>
        <v>3150350</v>
      </c>
      <c r="C11" s="32">
        <f t="shared" si="0"/>
        <v>3005978</v>
      </c>
      <c r="D11" s="32">
        <f t="shared" si="0"/>
        <v>3260697</v>
      </c>
      <c r="E11" s="32">
        <f t="shared" si="0"/>
        <v>3189619</v>
      </c>
      <c r="F11" s="32">
        <f t="shared" si="0"/>
        <v>3580173</v>
      </c>
      <c r="G11" s="32">
        <f t="shared" si="0"/>
        <v>3611970</v>
      </c>
      <c r="H11" s="32">
        <f t="shared" si="0"/>
        <v>4100660</v>
      </c>
      <c r="I11" s="32">
        <f>SUM(I6:I9)</f>
        <v>4182618</v>
      </c>
      <c r="J11" s="32">
        <f>SUM(J6:J9)</f>
        <v>4688511</v>
      </c>
      <c r="K11" s="32">
        <f>SUM(K6:K9)</f>
        <v>4633248</v>
      </c>
      <c r="L11" s="32">
        <f>SUM(L6:L9)</f>
        <v>167206</v>
      </c>
      <c r="M11" s="195"/>
      <c r="N11" s="2"/>
    </row>
    <row r="12" spans="1:14">
      <c r="A12" s="2"/>
      <c r="B12" s="31"/>
      <c r="C12" s="31"/>
      <c r="D12" s="31"/>
      <c r="E12" s="31"/>
      <c r="F12" s="31"/>
      <c r="G12" s="31"/>
      <c r="H12" s="31"/>
      <c r="I12" s="31"/>
      <c r="J12" s="31"/>
      <c r="K12" s="31"/>
      <c r="L12" s="31"/>
      <c r="M12" s="195"/>
      <c r="N12" s="2"/>
    </row>
    <row r="13" spans="1:14">
      <c r="A13" s="88"/>
      <c r="B13" s="32"/>
      <c r="C13" s="32"/>
      <c r="D13" s="32"/>
      <c r="E13" s="32"/>
      <c r="F13" s="32"/>
      <c r="G13" s="32"/>
      <c r="H13" s="32"/>
      <c r="I13" s="32"/>
      <c r="J13" s="32"/>
      <c r="K13" s="32"/>
      <c r="L13" s="32"/>
      <c r="M13" s="195"/>
      <c r="N13" s="2"/>
    </row>
    <row r="14" spans="1:14" ht="18.75">
      <c r="A14" s="93" t="s">
        <v>73</v>
      </c>
      <c r="B14" s="254">
        <v>2009</v>
      </c>
      <c r="C14" s="254">
        <v>2010</v>
      </c>
      <c r="D14" s="254">
        <v>2011</v>
      </c>
      <c r="E14" s="254">
        <v>2012</v>
      </c>
      <c r="F14" s="254">
        <v>2013</v>
      </c>
      <c r="G14" s="254">
        <v>2014</v>
      </c>
      <c r="H14" s="254">
        <v>2015</v>
      </c>
      <c r="I14" s="254">
        <v>2016</v>
      </c>
      <c r="J14" s="254">
        <v>2017</v>
      </c>
      <c r="K14" s="254">
        <v>2018</v>
      </c>
      <c r="L14" s="254">
        <v>2019</v>
      </c>
      <c r="M14" s="195"/>
      <c r="N14" s="2"/>
    </row>
    <row r="15" spans="1:14">
      <c r="A15" s="10" t="s">
        <v>100</v>
      </c>
      <c r="B15" s="3">
        <v>3150350</v>
      </c>
      <c r="C15" s="3">
        <v>2931210</v>
      </c>
      <c r="D15" s="3">
        <v>3188644</v>
      </c>
      <c r="E15" s="3">
        <v>3125625</v>
      </c>
      <c r="F15" s="3">
        <v>3516179</v>
      </c>
      <c r="G15" s="3">
        <v>3464762</v>
      </c>
      <c r="H15" s="3">
        <v>3851712</v>
      </c>
      <c r="I15" s="3">
        <v>3971864</v>
      </c>
      <c r="J15" s="3">
        <v>4665671</v>
      </c>
      <c r="K15" s="3">
        <v>5718302</v>
      </c>
      <c r="L15" s="3">
        <v>4821194</v>
      </c>
      <c r="M15" s="196"/>
      <c r="N15" s="10"/>
    </row>
    <row r="16" spans="1:14">
      <c r="A16" s="96" t="s">
        <v>93</v>
      </c>
      <c r="B16" s="3">
        <v>0</v>
      </c>
      <c r="C16" s="3">
        <v>0</v>
      </c>
      <c r="D16" s="3">
        <v>0</v>
      </c>
      <c r="E16" s="3">
        <v>0</v>
      </c>
      <c r="F16" s="3">
        <v>0</v>
      </c>
      <c r="G16" s="3">
        <v>0</v>
      </c>
      <c r="H16" s="3">
        <v>0</v>
      </c>
      <c r="I16" s="3">
        <v>0</v>
      </c>
      <c r="J16" s="3">
        <v>0</v>
      </c>
      <c r="K16" s="3">
        <v>0</v>
      </c>
      <c r="L16" s="3">
        <v>0</v>
      </c>
    </row>
    <row r="17" spans="1:22">
      <c r="A17" s="94" t="s">
        <v>101</v>
      </c>
      <c r="B17" s="3">
        <v>0</v>
      </c>
      <c r="C17" s="3">
        <v>0</v>
      </c>
      <c r="D17" s="3">
        <v>0</v>
      </c>
      <c r="E17" s="3">
        <v>0</v>
      </c>
      <c r="F17" s="3">
        <v>0</v>
      </c>
      <c r="G17" s="3">
        <v>0</v>
      </c>
      <c r="H17" s="3">
        <v>0</v>
      </c>
      <c r="I17" s="3">
        <v>0</v>
      </c>
      <c r="J17" s="3">
        <v>0</v>
      </c>
      <c r="K17" s="3">
        <v>0</v>
      </c>
      <c r="L17" s="3">
        <v>0</v>
      </c>
    </row>
    <row r="18" spans="1:22">
      <c r="A18" s="73" t="s">
        <v>83</v>
      </c>
      <c r="B18" s="1">
        <v>0</v>
      </c>
      <c r="C18" s="1">
        <v>29256</v>
      </c>
      <c r="D18" s="1">
        <v>2444</v>
      </c>
      <c r="E18" s="1">
        <v>55370</v>
      </c>
      <c r="F18" s="1">
        <v>21418</v>
      </c>
      <c r="G18" s="1">
        <v>2873</v>
      </c>
      <c r="H18" s="1">
        <v>7138</v>
      </c>
      <c r="I18" s="1">
        <v>123233</v>
      </c>
      <c r="J18" s="1">
        <v>324471</v>
      </c>
      <c r="K18" s="1">
        <v>404435</v>
      </c>
      <c r="L18" s="1">
        <v>389000</v>
      </c>
      <c r="M18" s="173"/>
      <c r="N18" s="1"/>
    </row>
    <row r="19" spans="1:22" ht="16.5" thickBot="1">
      <c r="A19" s="153" t="s">
        <v>157</v>
      </c>
      <c r="B19" s="69"/>
      <c r="C19" s="69"/>
      <c r="D19" s="69"/>
      <c r="E19" s="69"/>
      <c r="F19" s="69"/>
      <c r="G19" s="69"/>
      <c r="H19" s="69"/>
      <c r="I19" s="69"/>
      <c r="J19" s="69"/>
      <c r="K19" s="69"/>
      <c r="L19" s="69"/>
      <c r="M19" s="173"/>
      <c r="N19" s="1"/>
    </row>
    <row r="20" spans="1:22">
      <c r="A20" s="95" t="s">
        <v>119</v>
      </c>
      <c r="B20" s="1">
        <f t="shared" ref="B20:L20" si="1">SUM(B15:B18)</f>
        <v>3150350</v>
      </c>
      <c r="C20" s="1">
        <f t="shared" si="1"/>
        <v>2960466</v>
      </c>
      <c r="D20" s="1">
        <f t="shared" si="1"/>
        <v>3191088</v>
      </c>
      <c r="E20" s="1">
        <f t="shared" si="1"/>
        <v>3180995</v>
      </c>
      <c r="F20" s="1">
        <f t="shared" si="1"/>
        <v>3537597</v>
      </c>
      <c r="G20" s="1">
        <f t="shared" si="1"/>
        <v>3467635</v>
      </c>
      <c r="H20" s="1">
        <f t="shared" si="1"/>
        <v>3858850</v>
      </c>
      <c r="I20" s="1">
        <f t="shared" si="1"/>
        <v>4095097</v>
      </c>
      <c r="J20" s="1">
        <f t="shared" si="1"/>
        <v>4990142</v>
      </c>
      <c r="K20" s="1">
        <f t="shared" si="1"/>
        <v>6122737</v>
      </c>
      <c r="L20" s="1">
        <f t="shared" si="1"/>
        <v>5210194</v>
      </c>
      <c r="M20" s="173"/>
      <c r="N20" s="1"/>
    </row>
    <row r="21" spans="1:22" ht="18.75" customHeight="1">
      <c r="A21" s="223"/>
      <c r="B21" s="173"/>
      <c r="C21" s="173"/>
      <c r="D21" s="173"/>
      <c r="E21" s="173"/>
      <c r="F21" s="173"/>
      <c r="G21" s="173"/>
      <c r="H21" s="173"/>
      <c r="I21" s="173"/>
      <c r="J21" s="173"/>
      <c r="K21" s="173"/>
      <c r="L21" s="173"/>
      <c r="M21" s="173"/>
      <c r="N21" s="1"/>
      <c r="V21" s="250"/>
    </row>
    <row r="22" spans="1:22">
      <c r="M22" s="173"/>
      <c r="N22" s="1"/>
    </row>
    <row r="23" spans="1:22">
      <c r="M23" s="173"/>
      <c r="N23" s="1"/>
    </row>
    <row r="24" spans="1:22">
      <c r="M24" s="173"/>
      <c r="N24" s="1"/>
    </row>
    <row r="25" spans="1:22">
      <c r="B25" s="254">
        <v>2009</v>
      </c>
      <c r="C25" s="254">
        <v>2010</v>
      </c>
      <c r="D25" s="254">
        <v>2011</v>
      </c>
      <c r="E25" s="254">
        <v>2012</v>
      </c>
      <c r="F25" s="254">
        <v>2013</v>
      </c>
      <c r="G25" s="254">
        <v>2014</v>
      </c>
      <c r="H25" s="254">
        <v>2015</v>
      </c>
      <c r="I25" s="254">
        <v>2016</v>
      </c>
      <c r="J25" s="254">
        <v>2017</v>
      </c>
      <c r="K25" s="254">
        <v>2018</v>
      </c>
      <c r="L25" s="254">
        <v>2019</v>
      </c>
      <c r="M25" s="173"/>
      <c r="N25" s="1"/>
    </row>
    <row r="26" spans="1:22">
      <c r="A26" s="2" t="s">
        <v>203</v>
      </c>
      <c r="B26" s="8">
        <f t="shared" ref="B26:L26" si="2">+B15/B27</f>
        <v>49.877299642189925</v>
      </c>
      <c r="C26" s="8">
        <f t="shared" si="2"/>
        <v>43.270201647427001</v>
      </c>
      <c r="D26" s="8">
        <f t="shared" si="2"/>
        <v>46.372856706563311</v>
      </c>
      <c r="E26" s="8">
        <f t="shared" si="2"/>
        <v>45.076145426226908</v>
      </c>
      <c r="F26" s="8">
        <f t="shared" si="2"/>
        <v>49.967017194827342</v>
      </c>
      <c r="G26" s="8">
        <f t="shared" si="2"/>
        <v>48.780914300195697</v>
      </c>
      <c r="H26" s="8">
        <f t="shared" si="2"/>
        <v>52.461345682375374</v>
      </c>
      <c r="I26" s="8">
        <f t="shared" si="2"/>
        <v>53.396034146669358</v>
      </c>
      <c r="J26" s="8">
        <f t="shared" si="2"/>
        <v>61.519923523206749</v>
      </c>
      <c r="K26" s="8">
        <f t="shared" si="2"/>
        <v>74.011829877559478</v>
      </c>
      <c r="L26" s="8">
        <f t="shared" si="2"/>
        <v>61.043226133198282</v>
      </c>
      <c r="M26" s="173"/>
      <c r="N26" s="1"/>
    </row>
    <row r="27" spans="1:22">
      <c r="A27" s="45" t="s">
        <v>21</v>
      </c>
      <c r="B27" s="12">
        <f>Stats!D4</f>
        <v>63162</v>
      </c>
      <c r="C27" s="12">
        <f>Stats!E4</f>
        <v>67742</v>
      </c>
      <c r="D27" s="12">
        <f>Stats!F4</f>
        <v>68761</v>
      </c>
      <c r="E27" s="12">
        <f>Stats!G4</f>
        <v>69341</v>
      </c>
      <c r="F27" s="12">
        <f>Stats!H4</f>
        <v>70370</v>
      </c>
      <c r="G27" s="12">
        <f>Stats!I4</f>
        <v>71027</v>
      </c>
      <c r="H27" s="12">
        <f>Stats!J4</f>
        <v>73420</v>
      </c>
      <c r="I27" s="12">
        <f>Stats!K4</f>
        <v>74385</v>
      </c>
      <c r="J27" s="12">
        <f>Stats!L4</f>
        <v>75840</v>
      </c>
      <c r="K27" s="12">
        <f>Stats!M4</f>
        <v>77262</v>
      </c>
      <c r="L27" s="12">
        <f>Stats!N4</f>
        <v>78980</v>
      </c>
      <c r="M27" s="173"/>
      <c r="N27" s="1"/>
    </row>
    <row r="28" spans="1:22">
      <c r="M28" s="173"/>
      <c r="N28" s="1"/>
    </row>
    <row r="29" spans="1:22">
      <c r="B29" s="254"/>
      <c r="C29" s="254"/>
      <c r="D29" s="254"/>
      <c r="E29" s="254"/>
      <c r="F29" s="254"/>
      <c r="G29" s="254"/>
      <c r="H29" s="254"/>
      <c r="I29" s="254"/>
      <c r="J29" s="254"/>
      <c r="K29" s="254"/>
      <c r="L29" s="254"/>
      <c r="M29" s="173"/>
      <c r="N29" s="1"/>
    </row>
    <row r="30" spans="1:22">
      <c r="A30" s="253" t="s">
        <v>159</v>
      </c>
      <c r="B30" s="1">
        <f t="shared" ref="B30:L30" si="3">+B15/B31</f>
        <v>128585.71428571429</v>
      </c>
      <c r="C30" s="1">
        <f t="shared" si="3"/>
        <v>167497.71428571429</v>
      </c>
      <c r="D30" s="1">
        <f t="shared" si="3"/>
        <v>155543.60975609755</v>
      </c>
      <c r="E30" s="1">
        <f t="shared" si="3"/>
        <v>152469.51219512196</v>
      </c>
      <c r="F30" s="1">
        <f t="shared" si="3"/>
        <v>171520.92682926828</v>
      </c>
      <c r="G30" s="1">
        <f t="shared" si="3"/>
        <v>169012.78048780488</v>
      </c>
      <c r="H30" s="1">
        <f t="shared" si="3"/>
        <v>171187.20000000001</v>
      </c>
      <c r="I30" s="1">
        <f t="shared" si="3"/>
        <v>176527.2888888889</v>
      </c>
      <c r="J30" s="1">
        <f t="shared" si="3"/>
        <v>207363.15555555557</v>
      </c>
      <c r="K30" s="1">
        <f t="shared" si="3"/>
        <v>248621.82608695651</v>
      </c>
      <c r="L30" s="1">
        <f t="shared" si="3"/>
        <v>209617.13043478262</v>
      </c>
      <c r="M30" s="173"/>
      <c r="N30" s="1"/>
    </row>
    <row r="31" spans="1:22">
      <c r="A31" s="45" t="s">
        <v>64</v>
      </c>
      <c r="B31" s="34">
        <f>+B40</f>
        <v>24.5</v>
      </c>
      <c r="C31" s="34">
        <f t="shared" ref="C31:L31" si="4">+C40</f>
        <v>17.5</v>
      </c>
      <c r="D31" s="34">
        <f t="shared" si="4"/>
        <v>20.5</v>
      </c>
      <c r="E31" s="34">
        <f t="shared" si="4"/>
        <v>20.5</v>
      </c>
      <c r="F31" s="34">
        <f t="shared" si="4"/>
        <v>20.5</v>
      </c>
      <c r="G31" s="34">
        <f t="shared" si="4"/>
        <v>20.5</v>
      </c>
      <c r="H31" s="34">
        <f t="shared" si="4"/>
        <v>22.5</v>
      </c>
      <c r="I31" s="34">
        <f t="shared" si="4"/>
        <v>22.5</v>
      </c>
      <c r="J31" s="34">
        <f t="shared" si="4"/>
        <v>22.5</v>
      </c>
      <c r="K31" s="34">
        <f t="shared" si="4"/>
        <v>23</v>
      </c>
      <c r="L31" s="34">
        <f t="shared" si="4"/>
        <v>23</v>
      </c>
      <c r="M31" s="173"/>
      <c r="N31" s="1"/>
    </row>
    <row r="32" spans="1:22">
      <c r="A32" s="190"/>
      <c r="B32" s="190"/>
      <c r="C32" s="190"/>
      <c r="D32" s="190"/>
      <c r="E32" s="190"/>
      <c r="F32" s="190"/>
      <c r="G32" s="190"/>
      <c r="H32" s="190"/>
      <c r="I32" s="190"/>
      <c r="J32" s="190"/>
      <c r="K32" s="190"/>
      <c r="L32" s="190"/>
      <c r="M32" s="173"/>
      <c r="N32" s="1"/>
    </row>
    <row r="33" spans="1:14">
      <c r="A33" s="190"/>
      <c r="B33" s="190"/>
      <c r="C33" s="190"/>
      <c r="D33" s="190"/>
      <c r="E33" s="190"/>
      <c r="F33" s="190"/>
      <c r="G33" s="190"/>
      <c r="H33" s="190"/>
      <c r="I33" s="190"/>
      <c r="J33" s="190"/>
      <c r="K33" s="190"/>
      <c r="L33" s="190"/>
      <c r="M33" s="173"/>
      <c r="N33" s="1"/>
    </row>
    <row r="34" spans="1:14">
      <c r="A34" s="366"/>
      <c r="B34" s="117"/>
      <c r="C34" s="117"/>
      <c r="D34" s="117"/>
      <c r="E34" s="117"/>
      <c r="F34" s="117"/>
      <c r="G34" s="117"/>
      <c r="H34" s="117"/>
      <c r="I34" s="117"/>
      <c r="J34" s="117"/>
      <c r="K34" s="117"/>
      <c r="L34" s="117"/>
      <c r="M34" s="173"/>
      <c r="N34" s="1"/>
    </row>
    <row r="35" spans="1:14">
      <c r="A35" s="9" t="s">
        <v>63</v>
      </c>
      <c r="B35" s="254"/>
      <c r="C35" s="254"/>
      <c r="D35" s="254"/>
      <c r="E35" s="254"/>
      <c r="F35" s="254"/>
      <c r="G35" s="254"/>
      <c r="H35" s="254"/>
      <c r="I35" s="254"/>
      <c r="J35" s="254"/>
      <c r="K35" s="254"/>
      <c r="L35" s="254"/>
      <c r="M35" s="173"/>
      <c r="N35" s="1"/>
    </row>
    <row r="36" spans="1:14">
      <c r="A36" s="40" t="s">
        <v>19</v>
      </c>
      <c r="B36" s="22">
        <v>1</v>
      </c>
      <c r="C36" s="22">
        <v>1</v>
      </c>
      <c r="D36" s="22">
        <v>1</v>
      </c>
      <c r="E36" s="22">
        <v>1</v>
      </c>
      <c r="F36" s="22">
        <v>1</v>
      </c>
      <c r="G36" s="22">
        <v>1</v>
      </c>
      <c r="H36" s="22">
        <v>1</v>
      </c>
      <c r="I36" s="22">
        <v>1</v>
      </c>
      <c r="J36" s="22">
        <v>1</v>
      </c>
      <c r="K36" s="22">
        <v>1</v>
      </c>
      <c r="L36" s="22">
        <v>1</v>
      </c>
      <c r="M36" s="173"/>
      <c r="N36" s="1"/>
    </row>
    <row r="37" spans="1:14">
      <c r="A37" s="40" t="s">
        <v>238</v>
      </c>
      <c r="B37" s="22">
        <v>11</v>
      </c>
      <c r="C37" s="22">
        <v>11</v>
      </c>
      <c r="D37" s="22">
        <v>10</v>
      </c>
      <c r="E37" s="22">
        <v>10</v>
      </c>
      <c r="F37" s="22">
        <v>10</v>
      </c>
      <c r="G37" s="22">
        <v>10</v>
      </c>
      <c r="H37" s="22">
        <v>12</v>
      </c>
      <c r="I37" s="22">
        <v>12</v>
      </c>
      <c r="J37" s="22">
        <v>12</v>
      </c>
      <c r="K37" s="22">
        <v>12</v>
      </c>
      <c r="L37" s="22">
        <v>12</v>
      </c>
      <c r="M37" s="173"/>
      <c r="N37" s="1"/>
    </row>
    <row r="38" spans="1:14">
      <c r="A38" s="40" t="s">
        <v>239</v>
      </c>
      <c r="B38" s="22">
        <v>8</v>
      </c>
      <c r="C38" s="22">
        <v>1</v>
      </c>
      <c r="D38" s="22">
        <v>1</v>
      </c>
      <c r="E38" s="22">
        <v>1</v>
      </c>
      <c r="F38" s="22">
        <v>1</v>
      </c>
      <c r="G38" s="22">
        <v>1</v>
      </c>
      <c r="H38" s="22">
        <v>1</v>
      </c>
      <c r="I38" s="22">
        <v>1</v>
      </c>
      <c r="J38" s="22">
        <v>1</v>
      </c>
      <c r="K38" s="22">
        <v>1</v>
      </c>
      <c r="L38" s="22">
        <v>1</v>
      </c>
      <c r="M38" s="173"/>
      <c r="N38" s="1"/>
    </row>
    <row r="39" spans="1:14" ht="16.5" thickBot="1">
      <c r="A39" s="40" t="s">
        <v>240</v>
      </c>
      <c r="B39" s="35">
        <v>4.5</v>
      </c>
      <c r="C39" s="35">
        <v>4.5</v>
      </c>
      <c r="D39" s="35">
        <v>8.5</v>
      </c>
      <c r="E39" s="35">
        <v>8.5</v>
      </c>
      <c r="F39" s="35">
        <v>8.5</v>
      </c>
      <c r="G39" s="35">
        <v>8.5</v>
      </c>
      <c r="H39" s="35">
        <v>8.5</v>
      </c>
      <c r="I39" s="35">
        <v>8.5</v>
      </c>
      <c r="J39" s="35">
        <v>8.5</v>
      </c>
      <c r="K39" s="35">
        <v>9</v>
      </c>
      <c r="L39" s="35">
        <v>9</v>
      </c>
      <c r="M39" s="173"/>
      <c r="N39" s="1"/>
    </row>
    <row r="40" spans="1:14">
      <c r="A40" s="46" t="s">
        <v>64</v>
      </c>
      <c r="B40" s="34">
        <f t="shared" ref="B40:L40" si="5">SUM(B36:B39)</f>
        <v>24.5</v>
      </c>
      <c r="C40" s="34">
        <f t="shared" si="5"/>
        <v>17.5</v>
      </c>
      <c r="D40" s="34">
        <f t="shared" si="5"/>
        <v>20.5</v>
      </c>
      <c r="E40" s="34">
        <f t="shared" si="5"/>
        <v>20.5</v>
      </c>
      <c r="F40" s="34">
        <f t="shared" si="5"/>
        <v>20.5</v>
      </c>
      <c r="G40" s="34">
        <f t="shared" si="5"/>
        <v>20.5</v>
      </c>
      <c r="H40" s="34">
        <f t="shared" si="5"/>
        <v>22.5</v>
      </c>
      <c r="I40" s="34">
        <f t="shared" si="5"/>
        <v>22.5</v>
      </c>
      <c r="J40" s="34">
        <f t="shared" si="5"/>
        <v>22.5</v>
      </c>
      <c r="K40" s="34">
        <f t="shared" si="5"/>
        <v>23</v>
      </c>
      <c r="L40" s="34">
        <f t="shared" si="5"/>
        <v>23</v>
      </c>
      <c r="M40" s="173"/>
      <c r="N40" s="1"/>
    </row>
    <row r="41" spans="1:14">
      <c r="A41" s="363"/>
      <c r="B41" s="117"/>
      <c r="C41" s="339"/>
      <c r="D41" s="339"/>
      <c r="E41" s="339"/>
      <c r="F41" s="339"/>
      <c r="G41" s="339"/>
      <c r="H41" s="339"/>
      <c r="I41" s="339"/>
      <c r="J41" s="339"/>
      <c r="K41" s="339"/>
      <c r="L41" s="339"/>
      <c r="M41" s="173"/>
      <c r="N41" s="1"/>
    </row>
    <row r="42" spans="1:14">
      <c r="A42" s="368"/>
      <c r="B42" s="117"/>
      <c r="C42" s="117"/>
      <c r="D42" s="117"/>
      <c r="E42" s="117"/>
      <c r="F42" s="117"/>
      <c r="G42" s="117"/>
      <c r="H42" s="117"/>
      <c r="I42" s="117"/>
      <c r="J42" s="117"/>
      <c r="K42" s="117"/>
      <c r="L42" s="339"/>
      <c r="M42" s="173"/>
      <c r="N42" s="1"/>
    </row>
    <row r="43" spans="1:14">
      <c r="A43" s="163"/>
      <c r="B43" s="117"/>
      <c r="C43" s="117"/>
      <c r="D43" s="117"/>
      <c r="E43" s="117"/>
      <c r="F43" s="117"/>
      <c r="G43" s="117"/>
      <c r="H43" s="117"/>
      <c r="I43" s="117"/>
      <c r="J43" s="117"/>
      <c r="K43" s="117"/>
      <c r="L43" s="117"/>
      <c r="M43" s="173"/>
      <c r="N43" s="1"/>
    </row>
    <row r="44" spans="1:14">
      <c r="A44" s="369"/>
      <c r="B44" s="373"/>
      <c r="C44" s="373"/>
      <c r="D44" s="373"/>
      <c r="E44" s="373"/>
      <c r="F44" s="373"/>
      <c r="G44" s="373"/>
      <c r="H44" s="373"/>
      <c r="I44" s="373"/>
      <c r="J44" s="373"/>
      <c r="K44" s="373"/>
      <c r="L44" s="373"/>
      <c r="M44" s="173"/>
      <c r="N44" s="1"/>
    </row>
    <row r="45" spans="1:14">
      <c r="A45" s="359"/>
      <c r="B45" s="117"/>
      <c r="C45" s="117"/>
      <c r="D45" s="117"/>
      <c r="E45" s="117"/>
      <c r="F45" s="117"/>
      <c r="G45" s="117"/>
      <c r="H45" s="117"/>
      <c r="I45" s="117"/>
      <c r="J45" s="117"/>
      <c r="K45" s="117"/>
      <c r="L45" s="117"/>
      <c r="M45" s="173"/>
      <c r="N45" s="1"/>
    </row>
    <row r="46" spans="1:14">
      <c r="A46" s="359"/>
      <c r="B46" s="117"/>
      <c r="C46" s="117"/>
      <c r="D46" s="117"/>
      <c r="E46" s="117"/>
      <c r="F46" s="117"/>
      <c r="G46" s="117"/>
      <c r="H46" s="117"/>
      <c r="I46" s="117"/>
      <c r="J46" s="117"/>
      <c r="K46" s="117"/>
      <c r="L46" s="117"/>
      <c r="M46" s="173"/>
      <c r="N46" s="1"/>
    </row>
    <row r="47" spans="1:14">
      <c r="A47" s="359"/>
      <c r="B47" s="117"/>
      <c r="C47" s="117"/>
      <c r="D47" s="117"/>
      <c r="E47" s="117"/>
      <c r="F47" s="117"/>
      <c r="G47" s="117"/>
      <c r="H47" s="117"/>
      <c r="I47" s="117"/>
      <c r="J47" s="117"/>
      <c r="K47" s="117"/>
      <c r="L47" s="117"/>
      <c r="M47" s="173"/>
      <c r="N47" s="1"/>
    </row>
    <row r="48" spans="1:14">
      <c r="A48" s="361"/>
      <c r="B48" s="117"/>
      <c r="C48" s="117"/>
      <c r="D48" s="117"/>
      <c r="E48" s="117"/>
      <c r="F48" s="117"/>
      <c r="G48" s="117"/>
      <c r="H48" s="117"/>
      <c r="I48" s="117"/>
      <c r="J48" s="117"/>
      <c r="K48" s="117"/>
      <c r="L48" s="117"/>
      <c r="M48" s="173"/>
      <c r="N48" s="1"/>
    </row>
    <row r="49" spans="1:14">
      <c r="A49" s="163"/>
      <c r="B49" s="117"/>
      <c r="C49" s="117"/>
      <c r="D49" s="117"/>
      <c r="E49" s="117"/>
      <c r="F49" s="117"/>
      <c r="G49" s="117"/>
      <c r="H49" s="117"/>
      <c r="I49" s="117"/>
      <c r="J49" s="117"/>
      <c r="K49" s="117"/>
      <c r="L49" s="117"/>
      <c r="M49" s="173"/>
      <c r="N49" s="1"/>
    </row>
    <row r="50" spans="1:14">
      <c r="A50" s="163"/>
      <c r="B50" s="163"/>
      <c r="C50" s="163"/>
      <c r="D50" s="163"/>
      <c r="E50" s="163"/>
      <c r="F50" s="163"/>
      <c r="G50" s="163"/>
      <c r="H50" s="163"/>
      <c r="I50" s="163"/>
      <c r="J50" s="163"/>
      <c r="K50" s="163"/>
      <c r="L50" s="163"/>
      <c r="M50" s="173"/>
      <c r="N50" s="1"/>
    </row>
    <row r="51" spans="1:14">
      <c r="A51" s="356"/>
      <c r="B51" s="145"/>
      <c r="C51" s="145"/>
      <c r="D51" s="145"/>
      <c r="E51" s="145"/>
      <c r="F51" s="145"/>
      <c r="G51" s="145"/>
      <c r="H51" s="145"/>
      <c r="I51" s="145"/>
      <c r="J51" s="145"/>
      <c r="K51" s="145"/>
      <c r="L51" s="145"/>
      <c r="M51" s="173"/>
      <c r="N51" s="1"/>
    </row>
    <row r="52" spans="1:14">
      <c r="A52" s="356"/>
      <c r="B52" s="165"/>
      <c r="C52" s="165"/>
      <c r="D52" s="165"/>
      <c r="E52" s="165"/>
      <c r="F52" s="165"/>
      <c r="G52" s="165"/>
      <c r="H52" s="165"/>
      <c r="I52" s="165"/>
      <c r="J52" s="165"/>
      <c r="K52" s="165"/>
      <c r="L52" s="165"/>
      <c r="M52" s="173"/>
      <c r="N52" s="1"/>
    </row>
    <row r="53" spans="1:14">
      <c r="A53" s="371"/>
      <c r="B53" s="144"/>
      <c r="C53" s="144"/>
      <c r="D53" s="144"/>
      <c r="E53" s="144"/>
      <c r="F53" s="144"/>
      <c r="G53" s="144"/>
      <c r="H53" s="144"/>
      <c r="I53" s="144"/>
      <c r="J53" s="144"/>
      <c r="K53" s="144"/>
      <c r="L53" s="144"/>
      <c r="M53" s="173"/>
      <c r="N53" s="1"/>
    </row>
    <row r="54" spans="1:14">
      <c r="A54" s="371"/>
      <c r="B54" s="144"/>
      <c r="C54" s="144"/>
      <c r="D54" s="144"/>
      <c r="E54" s="144"/>
      <c r="F54" s="144"/>
      <c r="G54" s="144"/>
      <c r="H54" s="144"/>
      <c r="I54" s="144"/>
      <c r="J54" s="144"/>
      <c r="K54" s="144"/>
      <c r="L54" s="144"/>
      <c r="M54" s="173"/>
      <c r="N54" s="1"/>
    </row>
    <row r="55" spans="1:14">
      <c r="A55" s="163"/>
      <c r="B55" s="373"/>
      <c r="C55" s="373"/>
      <c r="D55" s="373"/>
      <c r="E55" s="373"/>
      <c r="F55" s="373"/>
      <c r="G55" s="373"/>
      <c r="H55" s="373"/>
      <c r="I55" s="373"/>
      <c r="J55" s="373"/>
      <c r="K55" s="373"/>
      <c r="L55" s="373"/>
      <c r="M55" s="173"/>
      <c r="N55" s="1"/>
    </row>
    <row r="56" spans="1:14">
      <c r="A56" s="356"/>
      <c r="B56" s="117"/>
      <c r="C56" s="117"/>
      <c r="D56" s="117"/>
      <c r="E56" s="117"/>
      <c r="F56" s="117"/>
      <c r="G56" s="117"/>
      <c r="H56" s="117"/>
      <c r="I56" s="117"/>
      <c r="J56" s="117"/>
      <c r="K56" s="117"/>
      <c r="L56" s="117"/>
      <c r="M56" s="173"/>
      <c r="N56" s="1"/>
    </row>
    <row r="57" spans="1:14">
      <c r="A57" s="356"/>
      <c r="B57" s="117"/>
      <c r="C57" s="117"/>
      <c r="D57" s="117"/>
      <c r="E57" s="117"/>
      <c r="F57" s="117"/>
      <c r="G57" s="117"/>
      <c r="H57" s="117"/>
      <c r="I57" s="117"/>
      <c r="J57" s="117"/>
      <c r="K57" s="117"/>
      <c r="L57" s="117"/>
      <c r="M57" s="173"/>
      <c r="N57" s="1"/>
    </row>
    <row r="58" spans="1:14">
      <c r="A58" s="163"/>
      <c r="B58" s="117"/>
      <c r="C58" s="117"/>
      <c r="D58" s="117"/>
      <c r="E58" s="117"/>
      <c r="F58" s="117"/>
      <c r="G58" s="117"/>
      <c r="H58" s="117"/>
      <c r="I58" s="117"/>
      <c r="J58" s="117"/>
      <c r="K58" s="117"/>
      <c r="L58" s="117"/>
      <c r="M58" s="173"/>
      <c r="N58" s="1"/>
    </row>
    <row r="59" spans="1:14">
      <c r="A59" s="163"/>
      <c r="B59" s="117"/>
      <c r="C59" s="117"/>
      <c r="D59" s="117"/>
      <c r="E59" s="117"/>
      <c r="F59" s="117"/>
      <c r="G59" s="117"/>
      <c r="H59" s="117"/>
      <c r="I59" s="117"/>
      <c r="J59" s="117"/>
      <c r="K59" s="117"/>
      <c r="L59" s="117"/>
      <c r="M59" s="173"/>
      <c r="N59" s="1"/>
    </row>
    <row r="60" spans="1:14">
      <c r="A60" s="163"/>
      <c r="B60" s="163"/>
      <c r="C60" s="163"/>
      <c r="D60" s="163"/>
      <c r="E60" s="163"/>
      <c r="F60" s="163"/>
      <c r="G60" s="163"/>
      <c r="H60" s="163"/>
      <c r="I60" s="163"/>
      <c r="J60" s="163"/>
      <c r="K60" s="163"/>
      <c r="L60" s="163"/>
      <c r="M60" s="173"/>
      <c r="N60" s="1"/>
    </row>
    <row r="61" spans="1:14">
      <c r="A61" s="357"/>
      <c r="B61" s="163"/>
      <c r="C61" s="163"/>
      <c r="D61" s="163"/>
      <c r="E61" s="163"/>
      <c r="F61" s="163"/>
      <c r="G61" s="163"/>
      <c r="H61" s="163"/>
      <c r="I61" s="163"/>
      <c r="J61" s="163"/>
      <c r="K61" s="163"/>
      <c r="L61" s="163"/>
      <c r="M61" s="173"/>
      <c r="N61" s="1"/>
    </row>
    <row r="62" spans="1:14">
      <c r="A62" s="357"/>
      <c r="B62" s="117"/>
      <c r="C62" s="117"/>
      <c r="D62" s="117"/>
      <c r="E62" s="117"/>
      <c r="F62" s="117"/>
      <c r="G62" s="117"/>
      <c r="H62" s="117"/>
      <c r="I62" s="117"/>
      <c r="J62" s="117"/>
      <c r="K62" s="117"/>
      <c r="L62" s="117"/>
    </row>
    <row r="63" spans="1:14">
      <c r="A63" s="357"/>
      <c r="B63" s="373"/>
      <c r="C63" s="373"/>
      <c r="D63" s="373"/>
      <c r="E63" s="373"/>
      <c r="F63" s="373"/>
      <c r="G63" s="373"/>
      <c r="H63" s="373"/>
      <c r="I63" s="373"/>
      <c r="J63" s="373"/>
      <c r="K63" s="373"/>
      <c r="L63" s="373"/>
      <c r="M63" s="173"/>
      <c r="N63" s="1"/>
    </row>
    <row r="64" spans="1:14">
      <c r="A64" s="359"/>
      <c r="B64" s="360"/>
      <c r="C64" s="360"/>
      <c r="D64" s="360"/>
      <c r="E64" s="360"/>
      <c r="F64" s="360"/>
      <c r="G64" s="360"/>
      <c r="H64" s="360"/>
      <c r="I64" s="360"/>
      <c r="J64" s="360"/>
      <c r="K64" s="360"/>
      <c r="L64" s="360"/>
      <c r="M64" s="173"/>
      <c r="N64" s="1"/>
    </row>
    <row r="65" spans="1:14">
      <c r="A65" s="359"/>
      <c r="B65" s="360"/>
      <c r="C65" s="360"/>
      <c r="D65" s="360"/>
      <c r="E65" s="360"/>
      <c r="F65" s="360"/>
      <c r="G65" s="360"/>
      <c r="H65" s="360"/>
      <c r="I65" s="360"/>
      <c r="J65" s="360"/>
      <c r="K65" s="360"/>
      <c r="L65" s="360"/>
      <c r="M65" s="173"/>
      <c r="N65" s="1"/>
    </row>
    <row r="66" spans="1:14">
      <c r="A66" s="359"/>
      <c r="B66" s="360"/>
      <c r="C66" s="360"/>
      <c r="D66" s="360"/>
      <c r="E66" s="360"/>
      <c r="F66" s="360"/>
      <c r="G66" s="360"/>
      <c r="H66" s="360"/>
      <c r="I66" s="360"/>
      <c r="J66" s="360"/>
      <c r="K66" s="360"/>
      <c r="L66" s="360"/>
      <c r="M66" s="173"/>
      <c r="N66" s="1"/>
    </row>
    <row r="67" spans="1:14">
      <c r="A67" s="359"/>
      <c r="B67" s="360"/>
      <c r="C67" s="360"/>
      <c r="D67" s="360"/>
      <c r="E67" s="360"/>
      <c r="F67" s="360"/>
      <c r="G67" s="360"/>
      <c r="H67" s="360"/>
      <c r="I67" s="360"/>
      <c r="J67" s="360"/>
      <c r="K67" s="360"/>
      <c r="L67" s="360"/>
      <c r="M67" s="173"/>
      <c r="N67" s="1"/>
    </row>
    <row r="68" spans="1:14">
      <c r="A68" s="163"/>
      <c r="B68" s="163"/>
      <c r="C68" s="163"/>
      <c r="D68" s="163"/>
      <c r="E68" s="163"/>
      <c r="F68" s="163"/>
      <c r="G68" s="163"/>
      <c r="H68" s="163"/>
      <c r="I68" s="163"/>
      <c r="J68" s="163"/>
      <c r="K68" s="163"/>
      <c r="L68" s="163"/>
      <c r="M68" s="173"/>
      <c r="N68" s="1"/>
    </row>
    <row r="69" spans="1:14" s="17" customFormat="1">
      <c r="A69" s="363"/>
      <c r="B69" s="358"/>
      <c r="C69" s="237"/>
      <c r="D69" s="237"/>
      <c r="E69" s="237"/>
      <c r="F69" s="237"/>
      <c r="G69" s="237"/>
      <c r="H69" s="237"/>
      <c r="I69" s="237"/>
      <c r="J69" s="237"/>
      <c r="K69" s="237"/>
      <c r="L69" s="237"/>
      <c r="M69" s="197"/>
      <c r="N69" s="33"/>
    </row>
    <row r="70" spans="1:14">
      <c r="A70" s="242"/>
      <c r="B70" s="358"/>
      <c r="C70" s="237"/>
      <c r="D70" s="237"/>
      <c r="E70" s="237"/>
      <c r="F70" s="237"/>
      <c r="G70" s="237"/>
      <c r="H70" s="237"/>
      <c r="I70" s="237"/>
      <c r="J70" s="237"/>
      <c r="K70" s="237"/>
      <c r="L70" s="237"/>
      <c r="M70" s="173"/>
      <c r="N70" s="1"/>
    </row>
    <row r="71" spans="1:14">
      <c r="A71" s="163"/>
      <c r="B71" s="117"/>
      <c r="C71" s="117"/>
      <c r="D71" s="117"/>
      <c r="E71" s="117"/>
      <c r="F71" s="117"/>
      <c r="G71" s="117"/>
      <c r="H71" s="117"/>
      <c r="I71" s="117"/>
      <c r="J71" s="117"/>
      <c r="K71" s="117"/>
      <c r="L71" s="117"/>
      <c r="M71" s="173"/>
      <c r="N71" s="1"/>
    </row>
    <row r="72" spans="1:14" ht="18.75">
      <c r="A72" s="364"/>
      <c r="B72" s="373"/>
      <c r="C72" s="373"/>
      <c r="D72" s="373"/>
      <c r="E72" s="373"/>
      <c r="F72" s="373"/>
      <c r="G72" s="373"/>
      <c r="H72" s="373"/>
      <c r="I72" s="373"/>
      <c r="J72" s="373"/>
      <c r="K72" s="373"/>
      <c r="L72" s="373"/>
      <c r="M72" s="173"/>
      <c r="N72" s="1"/>
    </row>
    <row r="73" spans="1:14">
      <c r="A73" s="165"/>
      <c r="B73" s="365"/>
      <c r="C73" s="365"/>
      <c r="D73" s="365"/>
      <c r="E73" s="365"/>
      <c r="F73" s="365"/>
      <c r="G73" s="365"/>
      <c r="H73" s="365"/>
      <c r="I73" s="365"/>
      <c r="J73" s="365"/>
      <c r="K73" s="365"/>
      <c r="L73" s="365"/>
      <c r="M73" s="173"/>
      <c r="N73" s="1"/>
    </row>
    <row r="74" spans="1:14">
      <c r="A74" s="163"/>
      <c r="B74" s="117"/>
      <c r="C74" s="117"/>
      <c r="D74" s="117"/>
      <c r="E74" s="117"/>
      <c r="F74" s="117"/>
      <c r="G74" s="117"/>
      <c r="H74" s="117"/>
      <c r="I74" s="117"/>
      <c r="J74" s="117"/>
      <c r="K74" s="117"/>
      <c r="L74" s="117"/>
      <c r="M74" s="173"/>
      <c r="N74" s="1"/>
    </row>
    <row r="75" spans="1:14">
      <c r="A75" s="163"/>
      <c r="B75" s="117"/>
      <c r="C75" s="117"/>
      <c r="D75" s="117"/>
      <c r="E75" s="117"/>
      <c r="F75" s="117"/>
      <c r="G75" s="117"/>
      <c r="H75" s="117"/>
      <c r="I75" s="117"/>
      <c r="J75" s="117"/>
      <c r="K75" s="117"/>
      <c r="L75" s="117"/>
      <c r="M75" s="173"/>
      <c r="N75" s="1"/>
    </row>
    <row r="76" spans="1:14">
      <c r="A76" s="359"/>
      <c r="B76" s="117"/>
      <c r="C76" s="117"/>
      <c r="D76" s="117"/>
      <c r="E76" s="117"/>
      <c r="F76" s="117"/>
      <c r="G76" s="117"/>
      <c r="H76" s="117"/>
      <c r="I76" s="117"/>
      <c r="J76" s="117"/>
      <c r="K76" s="117"/>
      <c r="L76" s="117"/>
      <c r="M76" s="173"/>
      <c r="N76" s="1"/>
    </row>
    <row r="77" spans="1:14">
      <c r="A77" s="359"/>
      <c r="B77" s="117"/>
      <c r="C77" s="117"/>
      <c r="D77" s="117"/>
      <c r="E77" s="117"/>
      <c r="F77" s="117"/>
      <c r="G77" s="117"/>
      <c r="H77" s="117"/>
      <c r="I77" s="117"/>
      <c r="J77" s="117"/>
      <c r="K77" s="117"/>
      <c r="L77" s="117"/>
      <c r="M77" s="173"/>
      <c r="N77" s="1"/>
    </row>
    <row r="78" spans="1:14">
      <c r="A78" s="359"/>
      <c r="B78" s="117"/>
      <c r="C78" s="117"/>
      <c r="D78" s="117"/>
      <c r="E78" s="117"/>
      <c r="F78" s="117"/>
      <c r="G78" s="117"/>
      <c r="H78" s="117"/>
      <c r="I78" s="117"/>
      <c r="J78" s="117"/>
      <c r="K78" s="117"/>
      <c r="L78" s="117"/>
      <c r="M78" s="173"/>
      <c r="N78" s="1"/>
    </row>
    <row r="79" spans="1:14">
      <c r="A79" s="359"/>
      <c r="B79" s="117"/>
      <c r="C79" s="117"/>
      <c r="D79" s="117"/>
      <c r="E79" s="117"/>
      <c r="F79" s="117"/>
      <c r="G79" s="117"/>
      <c r="H79" s="117"/>
      <c r="I79" s="117"/>
      <c r="J79" s="117"/>
      <c r="K79" s="117"/>
      <c r="L79" s="117"/>
      <c r="M79" s="173"/>
      <c r="N79" s="1"/>
    </row>
    <row r="80" spans="1:14">
      <c r="A80" s="357"/>
      <c r="B80" s="117"/>
      <c r="C80" s="117"/>
      <c r="D80" s="117"/>
      <c r="E80" s="117"/>
      <c r="F80" s="117"/>
      <c r="G80" s="117"/>
      <c r="H80" s="117"/>
      <c r="I80" s="117"/>
      <c r="J80" s="117"/>
      <c r="K80" s="117"/>
      <c r="L80" s="117"/>
      <c r="M80" s="173"/>
      <c r="N80" s="1"/>
    </row>
    <row r="81" spans="1:14">
      <c r="A81" s="163"/>
      <c r="B81" s="117"/>
      <c r="C81" s="117"/>
      <c r="D81" s="117"/>
      <c r="E81" s="117"/>
      <c r="F81" s="117"/>
      <c r="G81" s="117"/>
      <c r="H81" s="117"/>
      <c r="I81" s="117"/>
      <c r="J81" s="117"/>
      <c r="K81" s="117"/>
      <c r="L81" s="117"/>
      <c r="M81" s="173"/>
      <c r="N81" s="1"/>
    </row>
    <row r="82" spans="1:14">
      <c r="A82" s="163"/>
      <c r="B82" s="373"/>
      <c r="C82" s="373"/>
      <c r="D82" s="373"/>
      <c r="E82" s="373"/>
      <c r="F82" s="373"/>
      <c r="G82" s="373"/>
      <c r="H82" s="373"/>
      <c r="I82" s="373"/>
      <c r="J82" s="373"/>
      <c r="K82" s="373"/>
      <c r="L82" s="373"/>
      <c r="M82" s="173"/>
      <c r="N82" s="1"/>
    </row>
    <row r="83" spans="1:14">
      <c r="A83" s="163"/>
      <c r="B83" s="159"/>
      <c r="C83" s="159"/>
      <c r="D83" s="159"/>
      <c r="E83" s="159"/>
      <c r="F83" s="159"/>
      <c r="G83" s="159"/>
      <c r="H83" s="159"/>
      <c r="I83" s="159"/>
      <c r="J83" s="159"/>
      <c r="K83" s="159"/>
      <c r="L83" s="159"/>
      <c r="M83" s="27"/>
      <c r="N83" s="1"/>
    </row>
    <row r="84" spans="1:14">
      <c r="A84" s="163"/>
      <c r="B84" s="117"/>
      <c r="C84" s="117"/>
      <c r="D84" s="117"/>
      <c r="E84" s="117"/>
      <c r="F84" s="117"/>
      <c r="G84" s="117"/>
      <c r="H84" s="117"/>
      <c r="I84" s="117"/>
      <c r="J84" s="117"/>
      <c r="K84" s="117"/>
      <c r="L84" s="117"/>
      <c r="M84" s="27"/>
      <c r="N84" s="1"/>
    </row>
    <row r="85" spans="1:14">
      <c r="A85" s="163"/>
      <c r="B85" s="117"/>
      <c r="C85" s="117"/>
      <c r="D85" s="117"/>
      <c r="E85" s="117"/>
      <c r="F85" s="117"/>
      <c r="G85" s="117"/>
      <c r="H85" s="117"/>
      <c r="I85" s="117"/>
      <c r="J85" s="117"/>
      <c r="K85" s="117"/>
      <c r="L85" s="117"/>
      <c r="M85" s="27"/>
      <c r="N85" s="1"/>
    </row>
    <row r="86" spans="1:14">
      <c r="A86" s="163"/>
      <c r="B86" s="117"/>
      <c r="C86" s="117"/>
      <c r="D86" s="117"/>
      <c r="E86" s="117"/>
      <c r="F86" s="117"/>
      <c r="G86" s="117"/>
      <c r="H86" s="117"/>
      <c r="I86" s="117"/>
      <c r="J86" s="117"/>
      <c r="K86" s="117"/>
      <c r="L86" s="117"/>
      <c r="M86" s="27"/>
      <c r="N86" s="1"/>
    </row>
    <row r="87" spans="1:14">
      <c r="A87" s="163"/>
      <c r="B87" s="117"/>
      <c r="C87" s="117"/>
      <c r="D87" s="117"/>
      <c r="E87" s="117"/>
      <c r="F87" s="117"/>
      <c r="G87" s="117"/>
      <c r="H87" s="117"/>
      <c r="I87" s="117"/>
      <c r="J87" s="117"/>
      <c r="K87" s="117"/>
      <c r="L87" s="117"/>
      <c r="M87" s="27"/>
      <c r="N87" s="1"/>
    </row>
    <row r="88" spans="1:14">
      <c r="A88" s="163"/>
      <c r="B88" s="117"/>
      <c r="C88" s="117"/>
      <c r="D88" s="117"/>
      <c r="E88" s="117"/>
      <c r="F88" s="117"/>
      <c r="G88" s="117"/>
      <c r="H88" s="117"/>
      <c r="I88" s="117"/>
      <c r="J88" s="117"/>
      <c r="K88" s="117"/>
      <c r="L88" s="117"/>
      <c r="M88" s="27"/>
      <c r="N88" s="1"/>
    </row>
    <row r="89" spans="1:14">
      <c r="A89" s="163"/>
      <c r="B89" s="117"/>
      <c r="C89" s="117"/>
      <c r="D89" s="117"/>
      <c r="E89" s="117"/>
      <c r="F89" s="117"/>
      <c r="G89" s="117"/>
      <c r="H89" s="117"/>
      <c r="I89" s="117"/>
      <c r="J89" s="117"/>
      <c r="K89" s="117"/>
      <c r="L89" s="117"/>
      <c r="M89" s="27"/>
      <c r="N89" s="1"/>
    </row>
    <row r="90" spans="1:14">
      <c r="A90" s="163"/>
      <c r="B90" s="117"/>
      <c r="C90" s="117"/>
      <c r="D90" s="117"/>
      <c r="E90" s="117"/>
      <c r="F90" s="117"/>
      <c r="G90" s="117"/>
      <c r="H90" s="117"/>
      <c r="I90" s="117"/>
      <c r="J90" s="117"/>
      <c r="K90" s="117"/>
      <c r="L90" s="117"/>
      <c r="M90" s="27"/>
      <c r="N90" s="1"/>
    </row>
    <row r="91" spans="1:14">
      <c r="A91" s="163"/>
      <c r="B91" s="163"/>
      <c r="C91" s="163"/>
      <c r="D91" s="163"/>
      <c r="E91" s="163"/>
      <c r="F91" s="163"/>
      <c r="G91" s="163"/>
      <c r="H91" s="163"/>
      <c r="I91" s="163"/>
      <c r="J91" s="163"/>
      <c r="K91" s="163"/>
      <c r="L91" s="163"/>
      <c r="M91" s="27"/>
      <c r="N91" s="1"/>
    </row>
    <row r="92" spans="1:14">
      <c r="A92" s="163"/>
      <c r="B92" s="163"/>
      <c r="C92" s="163"/>
      <c r="D92" s="163"/>
      <c r="E92" s="163"/>
      <c r="F92" s="163"/>
      <c r="G92" s="163"/>
      <c r="H92" s="163"/>
      <c r="I92" s="163"/>
      <c r="J92" s="163"/>
      <c r="K92" s="163"/>
      <c r="L92" s="163"/>
      <c r="M92" s="27"/>
      <c r="N92" s="1"/>
    </row>
    <row r="93" spans="1:14">
      <c r="A93" s="163"/>
      <c r="B93" s="163"/>
      <c r="C93" s="163"/>
      <c r="D93" s="163"/>
      <c r="E93" s="163"/>
      <c r="F93" s="163"/>
      <c r="G93" s="163"/>
      <c r="H93" s="163"/>
      <c r="I93" s="163"/>
      <c r="J93" s="163"/>
      <c r="K93" s="163"/>
      <c r="L93" s="163"/>
      <c r="M93" s="27"/>
      <c r="N93" s="1"/>
    </row>
    <row r="94" spans="1:14">
      <c r="A94" s="163"/>
      <c r="B94" s="163"/>
      <c r="C94" s="163"/>
      <c r="D94" s="163"/>
      <c r="E94" s="163"/>
      <c r="F94" s="163"/>
      <c r="G94" s="163"/>
      <c r="H94" s="163"/>
      <c r="I94" s="163"/>
      <c r="J94" s="163"/>
      <c r="K94" s="163"/>
      <c r="L94" s="163"/>
      <c r="M94" s="27"/>
      <c r="N94" s="1"/>
    </row>
    <row r="95" spans="1:14">
      <c r="A95" s="163"/>
      <c r="B95" s="163"/>
      <c r="C95" s="163"/>
      <c r="D95" s="163"/>
      <c r="E95" s="163"/>
      <c r="F95" s="163"/>
      <c r="G95" s="163"/>
      <c r="H95" s="163"/>
      <c r="I95" s="163"/>
      <c r="J95" s="163"/>
      <c r="K95" s="163"/>
      <c r="L95" s="163"/>
      <c r="M95" s="27"/>
      <c r="N95" s="1"/>
    </row>
    <row r="96" spans="1:14">
      <c r="A96" s="163"/>
      <c r="B96" s="163"/>
      <c r="C96" s="163"/>
      <c r="D96" s="163"/>
      <c r="E96" s="163"/>
      <c r="F96" s="163"/>
      <c r="G96" s="163"/>
      <c r="H96" s="163"/>
      <c r="I96" s="163"/>
      <c r="J96" s="163"/>
      <c r="K96" s="163"/>
      <c r="L96" s="163"/>
      <c r="M96" s="27"/>
      <c r="N96" s="1"/>
    </row>
    <row r="97" spans="1:14">
      <c r="A97" s="163"/>
      <c r="B97" s="163"/>
      <c r="C97" s="163"/>
      <c r="D97" s="163"/>
      <c r="E97" s="163"/>
      <c r="F97" s="163"/>
      <c r="G97" s="163"/>
      <c r="H97" s="163"/>
      <c r="I97" s="163"/>
      <c r="J97" s="163"/>
      <c r="K97" s="163"/>
      <c r="L97" s="163"/>
      <c r="M97" s="27"/>
      <c r="N97" s="1"/>
    </row>
    <row r="98" spans="1:14">
      <c r="A98" s="163"/>
      <c r="B98" s="117"/>
      <c r="C98" s="117"/>
      <c r="D98" s="117"/>
      <c r="E98" s="117"/>
      <c r="F98" s="117"/>
      <c r="G98" s="117"/>
      <c r="H98" s="117"/>
      <c r="I98" s="117"/>
      <c r="J98" s="117"/>
      <c r="K98" s="117"/>
      <c r="L98" s="117"/>
      <c r="M98" s="27"/>
      <c r="N98" s="1"/>
    </row>
    <row r="99" spans="1:14">
      <c r="A99" s="163"/>
      <c r="B99" s="117"/>
      <c r="C99" s="117"/>
      <c r="D99" s="117"/>
      <c r="E99" s="117"/>
      <c r="F99" s="117"/>
      <c r="G99" s="117"/>
      <c r="H99" s="117"/>
      <c r="I99" s="117"/>
      <c r="J99" s="117"/>
      <c r="K99" s="117"/>
      <c r="L99" s="117"/>
      <c r="M99" s="27"/>
      <c r="N99" s="1"/>
    </row>
    <row r="100" spans="1:14">
      <c r="A100" s="163"/>
      <c r="B100" s="117"/>
      <c r="C100" s="117"/>
      <c r="D100" s="117"/>
      <c r="E100" s="117"/>
      <c r="F100" s="117"/>
      <c r="G100" s="117"/>
      <c r="H100" s="117"/>
      <c r="I100" s="117"/>
      <c r="J100" s="117"/>
      <c r="K100" s="117"/>
      <c r="L100" s="117"/>
      <c r="M100" s="27"/>
      <c r="N100" s="1"/>
    </row>
    <row r="101" spans="1:14">
      <c r="A101" s="163"/>
      <c r="B101" s="117"/>
      <c r="C101" s="117"/>
      <c r="D101" s="117"/>
      <c r="E101" s="117"/>
      <c r="F101" s="117"/>
      <c r="G101" s="117"/>
      <c r="H101" s="117"/>
      <c r="I101" s="117"/>
      <c r="J101" s="117"/>
      <c r="K101" s="117"/>
      <c r="L101" s="117"/>
      <c r="M101" s="27"/>
      <c r="N101" s="1"/>
    </row>
    <row r="102" spans="1:14">
      <c r="A102" s="163"/>
      <c r="B102" s="117"/>
      <c r="C102" s="117"/>
      <c r="D102" s="117"/>
      <c r="E102" s="117"/>
      <c r="F102" s="117"/>
      <c r="G102" s="117"/>
      <c r="H102" s="117"/>
      <c r="I102" s="117"/>
      <c r="J102" s="117"/>
      <c r="K102" s="117"/>
      <c r="L102" s="117"/>
      <c r="M102" s="27"/>
      <c r="N102" s="1"/>
    </row>
    <row r="103" spans="1:14">
      <c r="A103" s="163"/>
      <c r="B103" s="117"/>
      <c r="C103" s="117"/>
      <c r="D103" s="117"/>
      <c r="E103" s="117"/>
      <c r="F103" s="117"/>
      <c r="G103" s="117"/>
      <c r="H103" s="117"/>
      <c r="I103" s="117"/>
      <c r="J103" s="117"/>
      <c r="K103" s="117"/>
      <c r="L103" s="117"/>
      <c r="M103" s="27"/>
      <c r="N103" s="1"/>
    </row>
    <row r="104" spans="1:14">
      <c r="A104" s="163"/>
      <c r="B104" s="117"/>
      <c r="C104" s="117"/>
      <c r="D104" s="117"/>
      <c r="E104" s="117"/>
      <c r="F104" s="117"/>
      <c r="G104" s="117"/>
      <c r="H104" s="117"/>
      <c r="I104" s="117"/>
      <c r="J104" s="117"/>
      <c r="K104" s="117"/>
      <c r="L104" s="117"/>
      <c r="M104" s="27"/>
      <c r="N104" s="1"/>
    </row>
    <row r="105" spans="1:14">
      <c r="A105" s="163"/>
      <c r="B105" s="117"/>
      <c r="C105" s="117"/>
      <c r="D105" s="117"/>
      <c r="E105" s="117"/>
      <c r="F105" s="117"/>
      <c r="G105" s="117"/>
      <c r="H105" s="117"/>
      <c r="I105" s="117"/>
      <c r="J105" s="117"/>
      <c r="K105" s="117"/>
      <c r="L105" s="117"/>
      <c r="M105" s="27"/>
      <c r="N105" s="1"/>
    </row>
    <row r="106" spans="1:14">
      <c r="A106" s="163"/>
      <c r="B106" s="117"/>
      <c r="C106" s="117"/>
      <c r="D106" s="117"/>
      <c r="E106" s="117"/>
      <c r="F106" s="117"/>
      <c r="G106" s="117"/>
      <c r="H106" s="117"/>
      <c r="I106" s="117"/>
      <c r="J106" s="117"/>
      <c r="K106" s="117"/>
      <c r="L106" s="117"/>
      <c r="M106" s="27"/>
      <c r="N106" s="1"/>
    </row>
    <row r="107" spans="1:14">
      <c r="A107" s="163"/>
      <c r="B107" s="117"/>
      <c r="C107" s="117"/>
      <c r="D107" s="117"/>
      <c r="E107" s="117"/>
      <c r="F107" s="117"/>
      <c r="G107" s="117"/>
      <c r="H107" s="117"/>
      <c r="I107" s="117"/>
      <c r="J107" s="117"/>
      <c r="K107" s="117"/>
      <c r="L107" s="117"/>
      <c r="M107" s="27"/>
      <c r="N107" s="1"/>
    </row>
    <row r="108" spans="1:14">
      <c r="A108" s="163"/>
      <c r="B108" s="117"/>
      <c r="C108" s="117"/>
      <c r="D108" s="117"/>
      <c r="E108" s="117"/>
      <c r="F108" s="117"/>
      <c r="G108" s="117"/>
      <c r="H108" s="117"/>
      <c r="I108" s="117"/>
      <c r="J108" s="117"/>
      <c r="K108" s="117"/>
      <c r="L108" s="117"/>
      <c r="M108" s="27"/>
      <c r="N108" s="1"/>
    </row>
    <row r="109" spans="1:14">
      <c r="A109" s="163"/>
      <c r="B109" s="117"/>
      <c r="C109" s="117"/>
      <c r="D109" s="117"/>
      <c r="E109" s="117"/>
      <c r="F109" s="117"/>
      <c r="G109" s="117"/>
      <c r="H109" s="117"/>
      <c r="I109" s="117"/>
      <c r="J109" s="117"/>
      <c r="K109" s="117"/>
      <c r="L109" s="117"/>
      <c r="M109" s="27"/>
      <c r="N109" s="1"/>
    </row>
    <row r="110" spans="1:14">
      <c r="A110" s="163"/>
      <c r="B110" s="117"/>
      <c r="C110" s="117"/>
      <c r="D110" s="117"/>
      <c r="E110" s="117"/>
      <c r="F110" s="117"/>
      <c r="G110" s="117"/>
      <c r="H110" s="117"/>
      <c r="I110" s="117"/>
      <c r="J110" s="117"/>
      <c r="K110" s="117"/>
      <c r="L110" s="117"/>
      <c r="M110" s="27"/>
      <c r="N110" s="1"/>
    </row>
    <row r="111" spans="1:14">
      <c r="A111" s="163"/>
      <c r="B111" s="117"/>
      <c r="C111" s="117"/>
      <c r="D111" s="117"/>
      <c r="E111" s="117"/>
      <c r="F111" s="117"/>
      <c r="G111" s="117"/>
      <c r="H111" s="117"/>
      <c r="I111" s="117"/>
      <c r="J111" s="117"/>
      <c r="K111" s="117"/>
      <c r="L111" s="117"/>
      <c r="M111" s="27"/>
      <c r="N111" s="1"/>
    </row>
    <row r="112" spans="1:14">
      <c r="A112" s="163"/>
      <c r="B112" s="117"/>
      <c r="C112" s="117"/>
      <c r="D112" s="117"/>
      <c r="E112" s="117"/>
      <c r="F112" s="117"/>
      <c r="G112" s="117"/>
      <c r="H112" s="117"/>
      <c r="I112" s="117"/>
      <c r="J112" s="117"/>
      <c r="K112" s="117"/>
      <c r="L112" s="117"/>
      <c r="M112" s="27"/>
      <c r="N112" s="1"/>
    </row>
    <row r="113" spans="1:14">
      <c r="A113" s="163"/>
      <c r="B113" s="117"/>
      <c r="C113" s="117"/>
      <c r="D113" s="117"/>
      <c r="E113" s="117"/>
      <c r="F113" s="117"/>
      <c r="G113" s="117"/>
      <c r="H113" s="117"/>
      <c r="I113" s="117"/>
      <c r="J113" s="117"/>
      <c r="K113" s="117"/>
      <c r="L113" s="117"/>
      <c r="M113" s="27"/>
      <c r="N113" s="1"/>
    </row>
    <row r="114" spans="1:14">
      <c r="A114" s="163"/>
      <c r="B114" s="117"/>
      <c r="C114" s="117"/>
      <c r="D114" s="117"/>
      <c r="E114" s="117"/>
      <c r="F114" s="117"/>
      <c r="G114" s="117"/>
      <c r="H114" s="117"/>
      <c r="I114" s="117"/>
      <c r="J114" s="117"/>
      <c r="K114" s="117"/>
      <c r="L114" s="117"/>
      <c r="M114" s="27"/>
      <c r="N114" s="1"/>
    </row>
    <row r="115" spans="1:14">
      <c r="A115" s="163"/>
      <c r="B115" s="117"/>
      <c r="C115" s="117"/>
      <c r="D115" s="117"/>
      <c r="E115" s="117"/>
      <c r="F115" s="117"/>
      <c r="G115" s="117"/>
      <c r="H115" s="117"/>
      <c r="I115" s="117"/>
      <c r="J115" s="117"/>
      <c r="K115" s="117"/>
      <c r="L115" s="117"/>
      <c r="M115" s="27"/>
      <c r="N115" s="1"/>
    </row>
    <row r="116" spans="1:14">
      <c r="A116" s="163"/>
      <c r="B116" s="117"/>
      <c r="C116" s="117"/>
      <c r="D116" s="117"/>
      <c r="E116" s="117"/>
      <c r="F116" s="117"/>
      <c r="G116" s="117"/>
      <c r="H116" s="117"/>
      <c r="I116" s="117"/>
      <c r="J116" s="117"/>
      <c r="K116" s="117"/>
      <c r="L116" s="117"/>
      <c r="M116" s="27"/>
      <c r="N116" s="1"/>
    </row>
    <row r="117" spans="1:14">
      <c r="A117" s="163"/>
      <c r="B117" s="117"/>
      <c r="C117" s="117"/>
      <c r="D117" s="117"/>
      <c r="E117" s="117"/>
      <c r="F117" s="117"/>
      <c r="G117" s="117"/>
      <c r="H117" s="117"/>
      <c r="I117" s="117"/>
      <c r="J117" s="117"/>
      <c r="K117" s="117"/>
      <c r="L117" s="117"/>
      <c r="M117" s="27"/>
      <c r="N117" s="1"/>
    </row>
    <row r="118" spans="1:14">
      <c r="A118" s="163"/>
      <c r="B118" s="117"/>
      <c r="C118" s="117"/>
      <c r="D118" s="117"/>
      <c r="E118" s="117"/>
      <c r="F118" s="117"/>
      <c r="G118" s="117"/>
      <c r="H118" s="117"/>
      <c r="I118" s="117"/>
      <c r="J118" s="117"/>
      <c r="K118" s="117"/>
      <c r="L118" s="117"/>
      <c r="M118" s="27"/>
      <c r="N118" s="1"/>
    </row>
    <row r="119" spans="1:14">
      <c r="A119" s="163"/>
      <c r="B119" s="117"/>
      <c r="C119" s="117"/>
      <c r="D119" s="117"/>
      <c r="E119" s="117"/>
      <c r="F119" s="117"/>
      <c r="G119" s="117"/>
      <c r="H119" s="117"/>
      <c r="I119" s="117"/>
      <c r="J119" s="117"/>
      <c r="K119" s="117"/>
      <c r="L119" s="117"/>
      <c r="M119" s="27"/>
      <c r="N119" s="1"/>
    </row>
    <row r="120" spans="1:14">
      <c r="A120" s="163"/>
      <c r="B120" s="117"/>
      <c r="C120" s="117"/>
      <c r="D120" s="117"/>
      <c r="E120" s="117"/>
      <c r="F120" s="117"/>
      <c r="G120" s="117"/>
      <c r="H120" s="117"/>
      <c r="I120" s="117"/>
      <c r="J120" s="117"/>
      <c r="K120" s="117"/>
      <c r="L120" s="117"/>
      <c r="M120" s="27"/>
      <c r="N120" s="1"/>
    </row>
    <row r="121" spans="1:14">
      <c r="A121" s="163"/>
      <c r="B121" s="117"/>
      <c r="C121" s="117"/>
      <c r="D121" s="117"/>
      <c r="E121" s="117"/>
      <c r="F121" s="117"/>
      <c r="G121" s="117"/>
      <c r="H121" s="117"/>
      <c r="I121" s="117"/>
      <c r="J121" s="117"/>
      <c r="K121" s="117"/>
      <c r="L121" s="117"/>
      <c r="M121" s="27"/>
      <c r="N121" s="1"/>
    </row>
    <row r="122" spans="1:14">
      <c r="A122" s="163"/>
      <c r="B122" s="117"/>
      <c r="C122" s="117"/>
      <c r="D122" s="117"/>
      <c r="E122" s="117"/>
      <c r="F122" s="117"/>
      <c r="G122" s="117"/>
      <c r="H122" s="117"/>
      <c r="I122" s="117"/>
      <c r="J122" s="117"/>
      <c r="K122" s="117"/>
      <c r="L122" s="117"/>
      <c r="M122" s="27"/>
      <c r="N122" s="1"/>
    </row>
    <row r="123" spans="1:14">
      <c r="A123" s="163"/>
      <c r="B123" s="117"/>
      <c r="C123" s="117"/>
      <c r="D123" s="117"/>
      <c r="E123" s="117"/>
      <c r="F123" s="117"/>
      <c r="G123" s="117"/>
      <c r="H123" s="117"/>
      <c r="I123" s="117"/>
      <c r="J123" s="117"/>
      <c r="K123" s="117"/>
      <c r="L123" s="117"/>
      <c r="M123" s="27"/>
      <c r="N123" s="1"/>
    </row>
    <row r="124" spans="1:14">
      <c r="A124" s="163"/>
      <c r="B124" s="163"/>
      <c r="C124" s="163"/>
      <c r="D124" s="163"/>
      <c r="E124" s="163"/>
      <c r="F124" s="163"/>
      <c r="G124" s="163"/>
      <c r="H124" s="163"/>
      <c r="I124" s="163"/>
      <c r="J124" s="163"/>
      <c r="K124" s="163"/>
      <c r="L124" s="163"/>
      <c r="M124" s="27"/>
      <c r="N124" s="1"/>
    </row>
    <row r="125" spans="1:14">
      <c r="A125" s="163"/>
      <c r="B125" s="163"/>
      <c r="C125" s="163"/>
      <c r="D125" s="163"/>
      <c r="E125" s="163"/>
      <c r="F125" s="163"/>
      <c r="G125" s="163"/>
      <c r="H125" s="163"/>
      <c r="I125" s="163"/>
      <c r="J125" s="163"/>
      <c r="K125" s="163"/>
      <c r="L125" s="163"/>
      <c r="M125" s="27"/>
      <c r="N125" s="1"/>
    </row>
    <row r="126" spans="1:14">
      <c r="A126" s="163"/>
      <c r="B126" s="163"/>
      <c r="C126" s="163"/>
      <c r="D126" s="163"/>
      <c r="E126" s="163"/>
      <c r="F126" s="163"/>
      <c r="G126" s="163"/>
      <c r="H126" s="163"/>
      <c r="I126" s="163"/>
      <c r="J126" s="163"/>
      <c r="K126" s="163"/>
      <c r="L126" s="163"/>
      <c r="M126" s="27"/>
      <c r="N126" s="1"/>
    </row>
    <row r="127" spans="1:14">
      <c r="A127" s="163"/>
      <c r="B127" s="163"/>
      <c r="C127" s="163"/>
      <c r="D127" s="163"/>
      <c r="E127" s="163"/>
      <c r="F127" s="163"/>
      <c r="G127" s="163"/>
      <c r="H127" s="163"/>
      <c r="I127" s="163"/>
      <c r="J127" s="163"/>
      <c r="K127" s="163"/>
      <c r="L127" s="163"/>
      <c r="M127" s="27"/>
      <c r="N127" s="1"/>
    </row>
    <row r="128" spans="1:14">
      <c r="A128" s="163"/>
      <c r="B128" s="163"/>
      <c r="C128" s="163"/>
      <c r="D128" s="163"/>
      <c r="E128" s="163"/>
      <c r="F128" s="163"/>
      <c r="G128" s="163"/>
      <c r="H128" s="163"/>
      <c r="I128" s="163"/>
      <c r="J128" s="163"/>
      <c r="K128" s="163"/>
      <c r="L128" s="163"/>
      <c r="M128" s="27"/>
      <c r="N128" s="1"/>
    </row>
    <row r="129" spans="1:14">
      <c r="A129" s="163"/>
      <c r="B129" s="163"/>
      <c r="C129" s="163"/>
      <c r="D129" s="163"/>
      <c r="E129" s="163"/>
      <c r="F129" s="163"/>
      <c r="G129" s="163"/>
      <c r="H129" s="163"/>
      <c r="I129" s="163"/>
      <c r="J129" s="163"/>
      <c r="K129" s="163"/>
      <c r="L129" s="163"/>
      <c r="M129" s="27"/>
      <c r="N129" s="1"/>
    </row>
    <row r="130" spans="1:14">
      <c r="A130" s="163"/>
      <c r="B130" s="163"/>
      <c r="C130" s="163"/>
      <c r="D130" s="163"/>
      <c r="E130" s="163"/>
      <c r="F130" s="163"/>
      <c r="G130" s="163"/>
      <c r="H130" s="163"/>
      <c r="I130" s="163"/>
      <c r="J130" s="163"/>
      <c r="K130" s="163"/>
      <c r="L130" s="163"/>
      <c r="M130" s="27"/>
      <c r="N130" s="1"/>
    </row>
    <row r="131" spans="1:14">
      <c r="A131" s="163"/>
      <c r="B131" s="163"/>
      <c r="C131" s="163"/>
      <c r="D131" s="163"/>
      <c r="E131" s="163"/>
      <c r="F131" s="163"/>
      <c r="G131" s="163"/>
      <c r="H131" s="163"/>
      <c r="I131" s="163"/>
      <c r="J131" s="163"/>
      <c r="K131" s="163"/>
      <c r="L131" s="163"/>
      <c r="M131" s="27"/>
      <c r="N131" s="1"/>
    </row>
    <row r="132" spans="1:14">
      <c r="A132" s="163"/>
      <c r="B132" s="163"/>
      <c r="C132" s="163"/>
      <c r="D132" s="163"/>
      <c r="E132" s="163"/>
      <c r="F132" s="163"/>
      <c r="G132" s="163"/>
      <c r="H132" s="163"/>
      <c r="I132" s="163"/>
      <c r="J132" s="163"/>
      <c r="K132" s="163"/>
      <c r="L132" s="163"/>
      <c r="M132" s="27"/>
      <c r="N132" s="1"/>
    </row>
    <row r="133" spans="1:14">
      <c r="A133" s="163"/>
      <c r="B133" s="163"/>
      <c r="C133" s="163"/>
      <c r="D133" s="163"/>
      <c r="E133" s="163"/>
      <c r="F133" s="163"/>
      <c r="G133" s="163"/>
      <c r="H133" s="163"/>
      <c r="I133" s="163"/>
      <c r="J133" s="163"/>
      <c r="K133" s="163"/>
      <c r="L133" s="163"/>
      <c r="M133" s="27"/>
      <c r="N133" s="1"/>
    </row>
    <row r="134" spans="1:14">
      <c r="A134" s="163"/>
      <c r="B134" s="163"/>
      <c r="C134" s="163"/>
      <c r="D134" s="163"/>
      <c r="E134" s="163"/>
      <c r="F134" s="163"/>
      <c r="G134" s="163"/>
      <c r="H134" s="163"/>
      <c r="I134" s="163"/>
      <c r="J134" s="163"/>
      <c r="K134" s="163"/>
      <c r="L134" s="163"/>
      <c r="M134" s="27"/>
      <c r="N134" s="1"/>
    </row>
    <row r="135" spans="1:14">
      <c r="A135" s="163"/>
      <c r="B135" s="163"/>
      <c r="C135" s="163"/>
      <c r="D135" s="163"/>
      <c r="E135" s="163"/>
      <c r="F135" s="163"/>
      <c r="G135" s="163"/>
      <c r="H135" s="163"/>
      <c r="I135" s="163"/>
      <c r="J135" s="163"/>
      <c r="K135" s="163"/>
      <c r="L135" s="163"/>
      <c r="M135" s="27"/>
      <c r="N135" s="1"/>
    </row>
    <row r="136" spans="1:14">
      <c r="A136" s="163"/>
      <c r="B136" s="163"/>
      <c r="C136" s="163"/>
      <c r="D136" s="163"/>
      <c r="E136" s="163"/>
      <c r="F136" s="163"/>
      <c r="G136" s="163"/>
      <c r="H136" s="163"/>
      <c r="I136" s="163"/>
      <c r="J136" s="163"/>
      <c r="K136" s="163"/>
      <c r="L136" s="163"/>
      <c r="M136" s="27"/>
      <c r="N136" s="1"/>
    </row>
    <row r="137" spans="1:14">
      <c r="A137" s="163"/>
      <c r="B137" s="163"/>
      <c r="C137" s="163"/>
      <c r="D137" s="163"/>
      <c r="E137" s="163"/>
      <c r="F137" s="163"/>
      <c r="G137" s="163"/>
      <c r="H137" s="163"/>
      <c r="I137" s="163"/>
      <c r="J137" s="163"/>
      <c r="K137" s="163"/>
      <c r="L137" s="163"/>
      <c r="M137" s="27"/>
      <c r="N137" s="1"/>
    </row>
    <row r="138" spans="1:14">
      <c r="A138" s="163"/>
      <c r="B138" s="163"/>
      <c r="C138" s="163"/>
      <c r="D138" s="163"/>
      <c r="E138" s="163"/>
      <c r="F138" s="163"/>
      <c r="G138" s="163"/>
      <c r="H138" s="163"/>
      <c r="I138" s="163"/>
      <c r="J138" s="163"/>
      <c r="K138" s="163"/>
      <c r="L138" s="163"/>
      <c r="M138" s="27"/>
      <c r="N138" s="1"/>
    </row>
    <row r="139" spans="1:14">
      <c r="A139" s="163"/>
      <c r="B139" s="163"/>
      <c r="C139" s="163"/>
      <c r="D139" s="163"/>
      <c r="E139" s="163"/>
      <c r="F139" s="163"/>
      <c r="G139" s="163"/>
      <c r="H139" s="163"/>
      <c r="I139" s="163"/>
      <c r="J139" s="163"/>
      <c r="K139" s="163"/>
      <c r="L139" s="163"/>
      <c r="M139" s="27"/>
      <c r="N139" s="1"/>
    </row>
    <row r="140" spans="1:14">
      <c r="A140" s="163"/>
      <c r="B140" s="163"/>
      <c r="C140" s="163"/>
      <c r="D140" s="163"/>
      <c r="E140" s="163"/>
      <c r="F140" s="163"/>
      <c r="G140" s="163"/>
      <c r="H140" s="163"/>
      <c r="I140" s="163"/>
      <c r="J140" s="163"/>
      <c r="K140" s="163"/>
      <c r="L140" s="163"/>
      <c r="M140" s="27"/>
      <c r="N140" s="1"/>
    </row>
    <row r="141" spans="1:14">
      <c r="A141" s="163"/>
      <c r="B141" s="163"/>
      <c r="C141" s="163"/>
      <c r="D141" s="163"/>
      <c r="E141" s="163"/>
      <c r="F141" s="163"/>
      <c r="G141" s="163"/>
      <c r="H141" s="163"/>
      <c r="I141" s="163"/>
      <c r="J141" s="163"/>
      <c r="K141" s="163"/>
      <c r="L141" s="163"/>
      <c r="M141" s="27"/>
      <c r="N141" s="1"/>
    </row>
    <row r="142" spans="1:14">
      <c r="A142" s="163"/>
      <c r="B142" s="163"/>
      <c r="C142" s="163"/>
      <c r="D142" s="163"/>
      <c r="E142" s="163"/>
      <c r="F142" s="163"/>
      <c r="G142" s="163"/>
      <c r="H142" s="163"/>
      <c r="I142" s="163"/>
      <c r="J142" s="163"/>
      <c r="K142" s="163"/>
      <c r="L142" s="163"/>
      <c r="M142" s="27"/>
      <c r="N142" s="1"/>
    </row>
    <row r="143" spans="1:14">
      <c r="A143" s="163"/>
      <c r="B143" s="163"/>
      <c r="C143" s="163"/>
      <c r="D143" s="163"/>
      <c r="E143" s="163"/>
      <c r="F143" s="163"/>
      <c r="G143" s="163"/>
      <c r="H143" s="163"/>
      <c r="I143" s="163"/>
      <c r="J143" s="163"/>
      <c r="K143" s="163"/>
      <c r="L143" s="163"/>
      <c r="M143" s="27"/>
      <c r="N143" s="1"/>
    </row>
    <row r="144" spans="1:14">
      <c r="A144" s="163"/>
      <c r="B144" s="163"/>
      <c r="C144" s="163"/>
      <c r="D144" s="163"/>
      <c r="E144" s="163"/>
      <c r="F144" s="163"/>
      <c r="G144" s="163"/>
      <c r="H144" s="163"/>
      <c r="I144" s="163"/>
      <c r="J144" s="163"/>
      <c r="K144" s="163"/>
      <c r="L144" s="163"/>
      <c r="M144" s="27"/>
      <c r="N144" s="1"/>
    </row>
    <row r="145" spans="1:14">
      <c r="A145" s="163"/>
      <c r="B145" s="163"/>
      <c r="C145" s="163"/>
      <c r="D145" s="163"/>
      <c r="E145" s="163"/>
      <c r="F145" s="163"/>
      <c r="G145" s="163"/>
      <c r="H145" s="163"/>
      <c r="I145" s="163"/>
      <c r="J145" s="163"/>
      <c r="K145" s="163"/>
      <c r="L145" s="163"/>
      <c r="M145" s="27"/>
      <c r="N145" s="1"/>
    </row>
    <row r="146" spans="1:14">
      <c r="A146" s="163"/>
      <c r="B146" s="163"/>
      <c r="C146" s="163"/>
      <c r="D146" s="163"/>
      <c r="E146" s="163"/>
      <c r="F146" s="163"/>
      <c r="G146" s="163"/>
      <c r="H146" s="163"/>
      <c r="I146" s="163"/>
      <c r="J146" s="163"/>
      <c r="K146" s="163"/>
      <c r="L146" s="163"/>
      <c r="M146" s="27"/>
      <c r="N146" s="1"/>
    </row>
    <row r="147" spans="1:14">
      <c r="A147" s="163"/>
      <c r="B147" s="163"/>
      <c r="C147" s="163"/>
      <c r="D147" s="163"/>
      <c r="E147" s="163"/>
      <c r="F147" s="163"/>
      <c r="G147" s="163"/>
      <c r="H147" s="163"/>
      <c r="I147" s="163"/>
      <c r="J147" s="163"/>
      <c r="K147" s="163"/>
      <c r="L147" s="163"/>
      <c r="M147" s="27"/>
      <c r="N147" s="1"/>
    </row>
    <row r="148" spans="1:14">
      <c r="A148" s="163"/>
      <c r="B148" s="163"/>
      <c r="C148" s="163"/>
      <c r="D148" s="163"/>
      <c r="E148" s="163"/>
      <c r="F148" s="163"/>
      <c r="G148" s="163"/>
      <c r="H148" s="163"/>
      <c r="I148" s="163"/>
      <c r="J148" s="163"/>
      <c r="K148" s="163"/>
      <c r="L148" s="163"/>
      <c r="M148" s="27"/>
      <c r="N148" s="1"/>
    </row>
    <row r="149" spans="1:14">
      <c r="A149" s="163"/>
      <c r="B149" s="117"/>
      <c r="C149" s="117"/>
      <c r="D149" s="117"/>
      <c r="E149" s="117"/>
      <c r="F149" s="117"/>
      <c r="G149" s="117"/>
      <c r="H149" s="117"/>
      <c r="I149" s="117"/>
      <c r="J149" s="117"/>
      <c r="K149" s="117"/>
      <c r="L149" s="117"/>
      <c r="M149" s="27"/>
      <c r="N149" s="1"/>
    </row>
    <row r="150" spans="1:14">
      <c r="A150" s="163"/>
      <c r="B150" s="117"/>
      <c r="C150" s="117"/>
      <c r="D150" s="117"/>
      <c r="E150" s="117"/>
      <c r="F150" s="117"/>
      <c r="G150" s="117"/>
      <c r="H150" s="117"/>
      <c r="I150" s="117"/>
      <c r="J150" s="117"/>
      <c r="K150" s="117"/>
      <c r="L150" s="117"/>
      <c r="M150" s="27"/>
      <c r="N150" s="1"/>
    </row>
    <row r="151" spans="1:14">
      <c r="A151" s="163"/>
      <c r="B151" s="117"/>
      <c r="C151" s="117"/>
      <c r="D151" s="117"/>
      <c r="E151" s="117"/>
      <c r="F151" s="117"/>
      <c r="G151" s="117"/>
      <c r="H151" s="117"/>
      <c r="I151" s="117"/>
      <c r="J151" s="117"/>
      <c r="K151" s="117"/>
      <c r="L151" s="117"/>
      <c r="M151" s="27"/>
      <c r="N151" s="1"/>
    </row>
    <row r="152" spans="1:14">
      <c r="A152" s="163"/>
      <c r="B152" s="117"/>
      <c r="C152" s="117"/>
      <c r="D152" s="117"/>
      <c r="E152" s="117"/>
      <c r="F152" s="117"/>
      <c r="G152" s="117"/>
      <c r="H152" s="117"/>
      <c r="I152" s="117"/>
      <c r="J152" s="117"/>
      <c r="K152" s="117"/>
      <c r="L152" s="117"/>
      <c r="M152" s="27"/>
      <c r="N152" s="1"/>
    </row>
    <row r="153" spans="1:14">
      <c r="A153" s="163"/>
      <c r="B153" s="117"/>
      <c r="C153" s="117"/>
      <c r="D153" s="117"/>
      <c r="E153" s="117"/>
      <c r="F153" s="117"/>
      <c r="G153" s="117"/>
      <c r="H153" s="117"/>
      <c r="I153" s="117"/>
      <c r="J153" s="117"/>
      <c r="K153" s="117"/>
      <c r="L153" s="117"/>
      <c r="M153" s="27"/>
      <c r="N153" s="1"/>
    </row>
    <row r="154" spans="1:14">
      <c r="A154" s="163"/>
      <c r="B154" s="117"/>
      <c r="C154" s="117"/>
      <c r="D154" s="117"/>
      <c r="E154" s="117"/>
      <c r="F154" s="117"/>
      <c r="G154" s="117"/>
      <c r="H154" s="117"/>
      <c r="I154" s="117"/>
      <c r="J154" s="117"/>
      <c r="K154" s="117"/>
      <c r="L154" s="117"/>
      <c r="M154" s="27"/>
      <c r="N154" s="1"/>
    </row>
    <row r="155" spans="1:14">
      <c r="A155" s="163"/>
      <c r="B155" s="117"/>
      <c r="C155" s="117"/>
      <c r="D155" s="117"/>
      <c r="E155" s="117"/>
      <c r="F155" s="117"/>
      <c r="G155" s="117"/>
      <c r="H155" s="117"/>
      <c r="I155" s="117"/>
      <c r="J155" s="117"/>
      <c r="K155" s="117"/>
      <c r="L155" s="117"/>
      <c r="M155" s="27"/>
      <c r="N155" s="1"/>
    </row>
    <row r="156" spans="1:14">
      <c r="A156" s="163"/>
      <c r="B156" s="117"/>
      <c r="C156" s="117"/>
      <c r="D156" s="117"/>
      <c r="E156" s="117"/>
      <c r="F156" s="117"/>
      <c r="G156" s="117"/>
      <c r="H156" s="117"/>
      <c r="I156" s="117"/>
      <c r="J156" s="117"/>
      <c r="K156" s="117"/>
      <c r="L156" s="117"/>
      <c r="M156" s="27"/>
      <c r="N156" s="1"/>
    </row>
    <row r="157" spans="1:14">
      <c r="A157" s="163"/>
      <c r="B157" s="117"/>
      <c r="C157" s="117"/>
      <c r="D157" s="117"/>
      <c r="E157" s="117"/>
      <c r="F157" s="117"/>
      <c r="G157" s="117"/>
      <c r="H157" s="117"/>
      <c r="I157" s="117"/>
      <c r="J157" s="117"/>
      <c r="K157" s="117"/>
      <c r="L157" s="117"/>
      <c r="M157" s="27"/>
      <c r="N157" s="1"/>
    </row>
    <row r="158" spans="1:14">
      <c r="A158" s="163"/>
      <c r="B158" s="117"/>
      <c r="C158" s="117"/>
      <c r="D158" s="117"/>
      <c r="E158" s="117"/>
      <c r="F158" s="117"/>
      <c r="G158" s="117"/>
      <c r="H158" s="117"/>
      <c r="I158" s="117"/>
      <c r="J158" s="117"/>
      <c r="K158" s="117"/>
      <c r="L158" s="117"/>
      <c r="M158" s="27"/>
      <c r="N158" s="1"/>
    </row>
    <row r="159" spans="1:14">
      <c r="A159" s="163"/>
      <c r="B159" s="117"/>
      <c r="C159" s="117"/>
      <c r="D159" s="117"/>
      <c r="E159" s="117"/>
      <c r="F159" s="117"/>
      <c r="G159" s="117"/>
      <c r="H159" s="117"/>
      <c r="I159" s="117"/>
      <c r="J159" s="117"/>
      <c r="K159" s="117"/>
      <c r="L159" s="117"/>
      <c r="M159" s="27"/>
      <c r="N159" s="1"/>
    </row>
    <row r="160" spans="1:14">
      <c r="A160" s="163"/>
      <c r="B160" s="117"/>
      <c r="C160" s="117"/>
      <c r="D160" s="117"/>
      <c r="E160" s="117"/>
      <c r="F160" s="117"/>
      <c r="G160" s="117"/>
      <c r="H160" s="117"/>
      <c r="I160" s="117"/>
      <c r="J160" s="117"/>
      <c r="K160" s="117"/>
      <c r="L160" s="117"/>
      <c r="M160" s="27"/>
      <c r="N160" s="1"/>
    </row>
    <row r="161" spans="1:14">
      <c r="A161" s="163"/>
      <c r="B161" s="117"/>
      <c r="C161" s="117"/>
      <c r="D161" s="117"/>
      <c r="E161" s="117"/>
      <c r="F161" s="117"/>
      <c r="G161" s="117"/>
      <c r="H161" s="117"/>
      <c r="I161" s="117"/>
      <c r="J161" s="117"/>
      <c r="K161" s="117"/>
      <c r="L161" s="117"/>
      <c r="M161" s="27"/>
      <c r="N161" s="1"/>
    </row>
    <row r="162" spans="1:14">
      <c r="A162" s="163"/>
      <c r="B162" s="117"/>
      <c r="C162" s="117"/>
      <c r="D162" s="117"/>
      <c r="E162" s="117"/>
      <c r="F162" s="117"/>
      <c r="G162" s="117"/>
      <c r="H162" s="117"/>
      <c r="I162" s="117"/>
      <c r="J162" s="117"/>
      <c r="K162" s="117"/>
      <c r="L162" s="117"/>
      <c r="M162" s="27"/>
      <c r="N162" s="1"/>
    </row>
    <row r="163" spans="1:14">
      <c r="A163" s="163"/>
      <c r="B163" s="117"/>
      <c r="C163" s="117"/>
      <c r="D163" s="117"/>
      <c r="E163" s="117"/>
      <c r="F163" s="117"/>
      <c r="G163" s="117"/>
      <c r="H163" s="117"/>
      <c r="I163" s="117"/>
      <c r="J163" s="117"/>
      <c r="K163" s="117"/>
      <c r="L163" s="117"/>
      <c r="M163" s="27"/>
      <c r="N163" s="1"/>
    </row>
    <row r="164" spans="1:14">
      <c r="A164" s="163"/>
      <c r="B164" s="117"/>
      <c r="C164" s="117"/>
      <c r="D164" s="117"/>
      <c r="E164" s="117"/>
      <c r="F164" s="117"/>
      <c r="G164" s="117"/>
      <c r="H164" s="117"/>
      <c r="I164" s="117"/>
      <c r="J164" s="117"/>
      <c r="K164" s="117"/>
      <c r="L164" s="117"/>
      <c r="M164" s="27"/>
      <c r="N164" s="1"/>
    </row>
    <row r="165" spans="1:14">
      <c r="A165" s="163"/>
      <c r="B165" s="117"/>
      <c r="C165" s="117"/>
      <c r="D165" s="117"/>
      <c r="E165" s="117"/>
      <c r="F165" s="117"/>
      <c r="G165" s="117"/>
      <c r="H165" s="117"/>
      <c r="I165" s="117"/>
      <c r="J165" s="117"/>
      <c r="K165" s="117"/>
      <c r="L165" s="117"/>
      <c r="M165" s="27"/>
      <c r="N165" s="1"/>
    </row>
    <row r="166" spans="1:14">
      <c r="B166" s="1"/>
      <c r="C166" s="1"/>
      <c r="D166" s="1"/>
      <c r="E166" s="1"/>
      <c r="F166" s="1"/>
      <c r="G166" s="1"/>
      <c r="H166" s="1"/>
      <c r="I166" s="1"/>
      <c r="J166" s="1"/>
      <c r="K166" s="1"/>
      <c r="L166" s="1"/>
      <c r="M166" s="27"/>
      <c r="N166" s="1"/>
    </row>
    <row r="167" spans="1:14">
      <c r="B167" s="1"/>
      <c r="C167" s="1"/>
      <c r="D167" s="1"/>
      <c r="E167" s="1"/>
      <c r="F167" s="1"/>
      <c r="G167" s="1"/>
      <c r="H167" s="1"/>
      <c r="I167" s="1"/>
      <c r="J167" s="1"/>
      <c r="K167" s="1"/>
      <c r="L167" s="1"/>
      <c r="M167" s="27"/>
      <c r="N167" s="1"/>
    </row>
    <row r="168" spans="1:14">
      <c r="B168" s="1"/>
      <c r="C168" s="1"/>
      <c r="D168" s="1"/>
      <c r="E168" s="1"/>
      <c r="F168" s="1"/>
      <c r="G168" s="1"/>
      <c r="H168" s="1"/>
      <c r="I168" s="1"/>
      <c r="J168" s="1"/>
      <c r="K168" s="1"/>
      <c r="L168" s="1"/>
      <c r="M168" s="27"/>
      <c r="N168" s="1"/>
    </row>
    <row r="169" spans="1:14">
      <c r="B169" s="1"/>
      <c r="C169" s="1"/>
      <c r="D169" s="1"/>
      <c r="E169" s="1"/>
      <c r="F169" s="1"/>
      <c r="G169" s="1"/>
      <c r="H169" s="1"/>
      <c r="I169" s="1"/>
      <c r="J169" s="1"/>
      <c r="K169" s="1"/>
      <c r="L169" s="1"/>
      <c r="M169" s="27"/>
      <c r="N169" s="1"/>
    </row>
    <row r="170" spans="1:14">
      <c r="B170" s="1"/>
      <c r="C170" s="1"/>
      <c r="D170" s="1"/>
      <c r="E170" s="1"/>
      <c r="F170" s="1"/>
      <c r="G170" s="1"/>
      <c r="H170" s="1"/>
      <c r="I170" s="1"/>
      <c r="J170" s="1"/>
      <c r="K170" s="1"/>
      <c r="L170" s="1"/>
      <c r="M170" s="27"/>
      <c r="N170" s="1"/>
    </row>
    <row r="171" spans="1:14">
      <c r="B171" s="1"/>
      <c r="C171" s="1"/>
      <c r="D171" s="1"/>
      <c r="E171" s="1"/>
      <c r="F171" s="1"/>
      <c r="G171" s="1"/>
      <c r="H171" s="1"/>
      <c r="I171" s="1"/>
      <c r="J171" s="1"/>
      <c r="K171" s="1"/>
      <c r="L171" s="1"/>
      <c r="M171" s="27"/>
      <c r="N171" s="1"/>
    </row>
    <row r="172" spans="1:14">
      <c r="B172" s="1"/>
      <c r="C172" s="1"/>
      <c r="D172" s="1"/>
      <c r="E172" s="1"/>
      <c r="F172" s="1"/>
      <c r="G172" s="1"/>
      <c r="H172" s="1"/>
      <c r="I172" s="1"/>
      <c r="J172" s="1"/>
      <c r="K172" s="1"/>
      <c r="L172" s="1"/>
      <c r="M172" s="27"/>
      <c r="N172" s="1"/>
    </row>
    <row r="173" spans="1:14">
      <c r="B173" s="1"/>
      <c r="C173" s="1"/>
      <c r="D173" s="1"/>
      <c r="E173" s="1"/>
      <c r="F173" s="1"/>
      <c r="G173" s="1"/>
      <c r="H173" s="1"/>
      <c r="I173" s="1"/>
      <c r="J173" s="1"/>
      <c r="K173" s="1"/>
      <c r="L173" s="1"/>
      <c r="M173" s="27"/>
      <c r="N173" s="1"/>
    </row>
    <row r="174" spans="1:14">
      <c r="B174" s="1"/>
      <c r="C174" s="1"/>
      <c r="D174" s="1"/>
      <c r="E174" s="1"/>
      <c r="F174" s="1"/>
      <c r="G174" s="1"/>
      <c r="H174" s="1"/>
      <c r="I174" s="1"/>
      <c r="J174" s="1"/>
      <c r="K174" s="1"/>
      <c r="L174" s="1"/>
      <c r="M174" s="27"/>
      <c r="N174" s="1"/>
    </row>
    <row r="175" spans="1:14">
      <c r="B175" s="1"/>
      <c r="C175" s="1"/>
      <c r="D175" s="1"/>
      <c r="E175" s="1"/>
      <c r="F175" s="1"/>
      <c r="G175" s="1"/>
      <c r="H175" s="1"/>
      <c r="I175" s="1"/>
      <c r="J175" s="1"/>
      <c r="K175" s="1"/>
      <c r="L175" s="1"/>
      <c r="M175" s="27"/>
      <c r="N175" s="1"/>
    </row>
    <row r="176" spans="1:14">
      <c r="M176" s="19"/>
    </row>
    <row r="177" spans="13:13">
      <c r="M177" s="19"/>
    </row>
    <row r="178" spans="13:13">
      <c r="M178" s="19"/>
    </row>
    <row r="179" spans="13:13">
      <c r="M179" s="19"/>
    </row>
    <row r="180" spans="13:13">
      <c r="M180" s="19"/>
    </row>
    <row r="181" spans="13:13">
      <c r="M181" s="19"/>
    </row>
    <row r="182" spans="13:13">
      <c r="M182" s="19"/>
    </row>
    <row r="183" spans="13:13">
      <c r="M183" s="19"/>
    </row>
    <row r="184" spans="13:13">
      <c r="M184" s="19"/>
    </row>
    <row r="185" spans="13:13">
      <c r="M185" s="19"/>
    </row>
    <row r="186" spans="13:13">
      <c r="M186" s="19"/>
    </row>
    <row r="187" spans="13:13">
      <c r="M187" s="19"/>
    </row>
    <row r="188" spans="13:13">
      <c r="M188" s="19"/>
    </row>
    <row r="189" spans="13:13">
      <c r="M189" s="19"/>
    </row>
    <row r="190" spans="13:13">
      <c r="M190" s="19"/>
    </row>
    <row r="191" spans="13:13">
      <c r="M191" s="19"/>
    </row>
    <row r="192" spans="13:13">
      <c r="M192" s="19"/>
    </row>
    <row r="193" spans="13:13">
      <c r="M193" s="19"/>
    </row>
    <row r="194" spans="13:13">
      <c r="M194" s="19"/>
    </row>
    <row r="195" spans="13:13">
      <c r="M195" s="19"/>
    </row>
    <row r="196" spans="13:13">
      <c r="M196" s="19"/>
    </row>
    <row r="197" spans="13:13">
      <c r="M197" s="19"/>
    </row>
    <row r="198" spans="13:13">
      <c r="M198" s="19"/>
    </row>
    <row r="199" spans="13:13">
      <c r="M199" s="19"/>
    </row>
    <row r="200" spans="13:13">
      <c r="M200" s="19"/>
    </row>
    <row r="201" spans="13:13">
      <c r="M201" s="19"/>
    </row>
    <row r="202" spans="13:13">
      <c r="M202" s="19"/>
    </row>
    <row r="203" spans="13:13">
      <c r="M203" s="19"/>
    </row>
    <row r="204" spans="13:13">
      <c r="M204" s="19"/>
    </row>
    <row r="205" spans="13:13">
      <c r="M205" s="19"/>
    </row>
    <row r="206" spans="13:13">
      <c r="M206" s="19"/>
    </row>
    <row r="207" spans="13:13">
      <c r="M207" s="19"/>
    </row>
    <row r="208" spans="13:13">
      <c r="M208" s="19"/>
    </row>
    <row r="209" spans="13:13">
      <c r="M209" s="19"/>
    </row>
    <row r="210" spans="13:13">
      <c r="M210" s="19"/>
    </row>
    <row r="211" spans="13:13">
      <c r="M211" s="19"/>
    </row>
    <row r="212" spans="13:13">
      <c r="M212" s="19"/>
    </row>
    <row r="213" spans="13:13">
      <c r="M213" s="19"/>
    </row>
    <row r="214" spans="13:13">
      <c r="M214" s="19"/>
    </row>
    <row r="215" spans="13:13">
      <c r="M215" s="19"/>
    </row>
    <row r="216" spans="13:13">
      <c r="M216" s="19"/>
    </row>
    <row r="217" spans="13:13">
      <c r="M217" s="19"/>
    </row>
    <row r="218" spans="13:13">
      <c r="M218" s="19"/>
    </row>
    <row r="219" spans="13:13">
      <c r="M219" s="19"/>
    </row>
    <row r="220" spans="13:13">
      <c r="M220" s="19"/>
    </row>
    <row r="221" spans="13:13">
      <c r="M221" s="19"/>
    </row>
    <row r="222" spans="13:13">
      <c r="M222" s="19"/>
    </row>
    <row r="223" spans="13:13">
      <c r="M223" s="19"/>
    </row>
    <row r="224" spans="13:13">
      <c r="M224" s="19"/>
    </row>
    <row r="225" spans="13:13">
      <c r="M225" s="19"/>
    </row>
    <row r="226" spans="13:13">
      <c r="M226" s="19"/>
    </row>
    <row r="227" spans="13:13">
      <c r="M227" s="19"/>
    </row>
    <row r="228" spans="13:13">
      <c r="M228" s="19"/>
    </row>
    <row r="229" spans="13:13">
      <c r="M229" s="19"/>
    </row>
    <row r="230" spans="13:13">
      <c r="M230" s="19"/>
    </row>
    <row r="231" spans="13:13">
      <c r="M231" s="19"/>
    </row>
    <row r="232" spans="13:13">
      <c r="M232" s="19"/>
    </row>
    <row r="233" spans="13:13">
      <c r="M233" s="19"/>
    </row>
    <row r="234" spans="13:13">
      <c r="M234" s="19"/>
    </row>
    <row r="235" spans="13:13">
      <c r="M235" s="19"/>
    </row>
    <row r="236" spans="13:13">
      <c r="M236" s="19"/>
    </row>
    <row r="237" spans="13:13">
      <c r="M237" s="19"/>
    </row>
    <row r="238" spans="13:13">
      <c r="M238" s="19"/>
    </row>
    <row r="239" spans="13:13">
      <c r="M239" s="19"/>
    </row>
    <row r="240" spans="13:13">
      <c r="M240" s="19"/>
    </row>
    <row r="241" spans="13:13">
      <c r="M241" s="19"/>
    </row>
    <row r="242" spans="13:13">
      <c r="M242" s="19"/>
    </row>
    <row r="243" spans="13:13">
      <c r="M243" s="19"/>
    </row>
    <row r="244" spans="13:13">
      <c r="M244" s="19"/>
    </row>
    <row r="245" spans="13:13">
      <c r="M245" s="19"/>
    </row>
    <row r="246" spans="13:13">
      <c r="M246" s="19"/>
    </row>
    <row r="247" spans="13:13">
      <c r="M247" s="19"/>
    </row>
    <row r="248" spans="13:13">
      <c r="M248" s="19"/>
    </row>
    <row r="249" spans="13:13">
      <c r="M249" s="19"/>
    </row>
    <row r="250" spans="13:13">
      <c r="M250" s="19"/>
    </row>
    <row r="251" spans="13:13">
      <c r="M251" s="19"/>
    </row>
    <row r="252" spans="13:13">
      <c r="M252" s="19"/>
    </row>
    <row r="253" spans="13:13">
      <c r="M253" s="19"/>
    </row>
    <row r="254" spans="13:13">
      <c r="M254" s="19"/>
    </row>
    <row r="255" spans="13:13">
      <c r="M255" s="19"/>
    </row>
    <row r="256" spans="13:13">
      <c r="M256" s="19"/>
    </row>
    <row r="257" spans="13:13">
      <c r="M257" s="19"/>
    </row>
    <row r="258" spans="13:13">
      <c r="M258" s="19"/>
    </row>
    <row r="259" spans="13:13">
      <c r="M259" s="19"/>
    </row>
    <row r="260" spans="13:13">
      <c r="M260" s="19"/>
    </row>
    <row r="261" spans="13:13">
      <c r="M261" s="19"/>
    </row>
    <row r="262" spans="13:13">
      <c r="M262" s="19"/>
    </row>
    <row r="263" spans="13:13">
      <c r="M263" s="19"/>
    </row>
    <row r="264" spans="13:13">
      <c r="M264" s="19"/>
    </row>
    <row r="265" spans="13:13">
      <c r="M265" s="19"/>
    </row>
    <row r="266" spans="13:13">
      <c r="M266" s="19"/>
    </row>
    <row r="267" spans="13:13">
      <c r="M267" s="19"/>
    </row>
    <row r="268" spans="13:13">
      <c r="M268" s="19"/>
    </row>
    <row r="269" spans="13:13">
      <c r="M269" s="19"/>
    </row>
    <row r="270" spans="13:13">
      <c r="M270" s="19"/>
    </row>
    <row r="271" spans="13:13">
      <c r="M271" s="19"/>
    </row>
    <row r="272" spans="13:13">
      <c r="M272" s="19"/>
    </row>
    <row r="273" spans="13:13">
      <c r="M273" s="19"/>
    </row>
    <row r="274" spans="13:13">
      <c r="M274" s="19"/>
    </row>
    <row r="275" spans="13:13">
      <c r="M275" s="19"/>
    </row>
    <row r="276" spans="13:13">
      <c r="M276" s="19"/>
    </row>
    <row r="277" spans="13:13">
      <c r="M277" s="19"/>
    </row>
    <row r="278" spans="13:13">
      <c r="M278" s="19"/>
    </row>
    <row r="279" spans="13:13">
      <c r="M279" s="19"/>
    </row>
    <row r="280" spans="13:13">
      <c r="M280" s="19"/>
    </row>
    <row r="281" spans="13:13">
      <c r="M281" s="19"/>
    </row>
    <row r="282" spans="13:13">
      <c r="M282" s="19"/>
    </row>
    <row r="283" spans="13:13">
      <c r="M283" s="19"/>
    </row>
    <row r="284" spans="13:13">
      <c r="M284" s="19"/>
    </row>
    <row r="285" spans="13:13">
      <c r="M285" s="19"/>
    </row>
    <row r="286" spans="13:13">
      <c r="M286" s="19"/>
    </row>
    <row r="287" spans="13:13">
      <c r="M287" s="19"/>
    </row>
    <row r="288" spans="13:13">
      <c r="M288" s="19"/>
    </row>
    <row r="289" spans="13:13">
      <c r="M289" s="19"/>
    </row>
    <row r="290" spans="13:13">
      <c r="M290" s="19"/>
    </row>
    <row r="291" spans="13:13">
      <c r="M291" s="19"/>
    </row>
    <row r="292" spans="13:13">
      <c r="M292" s="19"/>
    </row>
    <row r="293" spans="13:13">
      <c r="M293" s="19"/>
    </row>
    <row r="294" spans="13:13">
      <c r="M294" s="19"/>
    </row>
    <row r="295" spans="13:13">
      <c r="M295" s="19"/>
    </row>
    <row r="296" spans="13:13">
      <c r="M296" s="19"/>
    </row>
    <row r="297" spans="13:13">
      <c r="M297" s="19"/>
    </row>
    <row r="298" spans="13:13">
      <c r="M298" s="19"/>
    </row>
    <row r="299" spans="13:13">
      <c r="M299" s="19"/>
    </row>
    <row r="300" spans="13:13">
      <c r="M300" s="19"/>
    </row>
    <row r="301" spans="13:13">
      <c r="M301" s="19"/>
    </row>
    <row r="302" spans="13:13">
      <c r="M302" s="19"/>
    </row>
    <row r="303" spans="13:13">
      <c r="M303" s="19"/>
    </row>
    <row r="304" spans="13:13">
      <c r="M304" s="19"/>
    </row>
    <row r="305" spans="13:13">
      <c r="M305" s="19"/>
    </row>
    <row r="306" spans="13:13">
      <c r="M306" s="19"/>
    </row>
    <row r="307" spans="13:13">
      <c r="M307" s="19"/>
    </row>
    <row r="308" spans="13:13">
      <c r="M308" s="19"/>
    </row>
    <row r="309" spans="13:13">
      <c r="M309" s="19"/>
    </row>
    <row r="310" spans="13:13">
      <c r="M310" s="19"/>
    </row>
    <row r="311" spans="13:13">
      <c r="M311" s="19"/>
    </row>
    <row r="312" spans="13:13">
      <c r="M312" s="19"/>
    </row>
    <row r="313" spans="13:13">
      <c r="M313" s="19"/>
    </row>
    <row r="314" spans="13:13">
      <c r="M314" s="19"/>
    </row>
    <row r="315" spans="13:13">
      <c r="M315" s="19"/>
    </row>
    <row r="316" spans="13:13">
      <c r="M316" s="19"/>
    </row>
    <row r="317" spans="13:13">
      <c r="M317" s="19"/>
    </row>
    <row r="318" spans="13:13">
      <c r="M318" s="19"/>
    </row>
    <row r="319" spans="13:13">
      <c r="M319" s="19"/>
    </row>
    <row r="320" spans="13:13">
      <c r="M320" s="19"/>
    </row>
    <row r="321" spans="13:13">
      <c r="M321" s="19"/>
    </row>
    <row r="322" spans="13:13">
      <c r="M322" s="19"/>
    </row>
    <row r="323" spans="13:13">
      <c r="M323" s="19"/>
    </row>
    <row r="324" spans="13:13">
      <c r="M324" s="19"/>
    </row>
    <row r="325" spans="13:13">
      <c r="M325" s="19"/>
    </row>
    <row r="326" spans="13:13">
      <c r="M326" s="19"/>
    </row>
    <row r="327" spans="13:13">
      <c r="M327" s="19"/>
    </row>
    <row r="328" spans="13:13">
      <c r="M328" s="19"/>
    </row>
    <row r="329" spans="13:13">
      <c r="M329" s="19"/>
    </row>
    <row r="330" spans="13:13">
      <c r="M330" s="19"/>
    </row>
    <row r="331" spans="13:13">
      <c r="M331" s="19"/>
    </row>
    <row r="332" spans="13:13">
      <c r="M332" s="19"/>
    </row>
    <row r="333" spans="13:13">
      <c r="M333" s="19"/>
    </row>
    <row r="334" spans="13:13">
      <c r="M334" s="19"/>
    </row>
    <row r="335" spans="13:13">
      <c r="M335" s="19"/>
    </row>
    <row r="336" spans="13:13">
      <c r="M336" s="19"/>
    </row>
    <row r="337" spans="2:13">
      <c r="M337" s="19"/>
    </row>
    <row r="338" spans="2:13">
      <c r="M338" s="19"/>
    </row>
    <row r="339" spans="2:13">
      <c r="M339" s="19"/>
    </row>
    <row r="340" spans="2:13">
      <c r="B340" s="1"/>
      <c r="C340" s="1"/>
      <c r="D340" s="1"/>
      <c r="E340" s="1"/>
      <c r="F340" s="1"/>
      <c r="G340" s="1"/>
      <c r="H340" s="1"/>
      <c r="I340" s="1"/>
      <c r="J340" s="1"/>
      <c r="K340" s="1"/>
      <c r="L340" s="1"/>
      <c r="M340" s="19"/>
    </row>
    <row r="341" spans="2:13">
      <c r="B341" s="1"/>
      <c r="C341" s="1"/>
      <c r="D341" s="1"/>
      <c r="E341" s="1"/>
      <c r="F341" s="1"/>
      <c r="G341" s="1"/>
      <c r="H341" s="1"/>
      <c r="I341" s="1"/>
      <c r="J341" s="1"/>
      <c r="K341" s="1"/>
      <c r="L341" s="1"/>
      <c r="M341" s="19"/>
    </row>
    <row r="342" spans="2:13">
      <c r="B342" s="1"/>
      <c r="C342" s="1"/>
      <c r="D342" s="1"/>
      <c r="E342" s="1"/>
      <c r="F342" s="1"/>
      <c r="G342" s="1"/>
      <c r="H342" s="1"/>
      <c r="I342" s="1"/>
      <c r="J342" s="1"/>
      <c r="K342" s="1"/>
      <c r="L342" s="1"/>
      <c r="M342" s="19"/>
    </row>
    <row r="343" spans="2:13">
      <c r="B343" s="1"/>
      <c r="C343" s="1"/>
      <c r="D343" s="1"/>
      <c r="E343" s="1"/>
      <c r="F343" s="1"/>
      <c r="G343" s="1"/>
      <c r="H343" s="1"/>
      <c r="I343" s="1"/>
      <c r="J343" s="1"/>
      <c r="K343" s="1"/>
      <c r="L343" s="1"/>
      <c r="M343" s="19"/>
    </row>
    <row r="344" spans="2:13">
      <c r="B344" s="1"/>
      <c r="C344" s="1"/>
      <c r="D344" s="1"/>
      <c r="E344" s="1"/>
      <c r="F344" s="1"/>
      <c r="G344" s="1"/>
      <c r="H344" s="1"/>
      <c r="I344" s="1"/>
      <c r="J344" s="1"/>
      <c r="K344" s="1"/>
      <c r="L344" s="1"/>
      <c r="M344" s="19"/>
    </row>
    <row r="345" spans="2:13">
      <c r="B345" s="1"/>
      <c r="C345" s="1"/>
      <c r="D345" s="1"/>
      <c r="E345" s="1"/>
      <c r="F345" s="1"/>
      <c r="G345" s="1"/>
      <c r="H345" s="1"/>
      <c r="I345" s="1"/>
      <c r="J345" s="1"/>
      <c r="K345" s="1"/>
      <c r="L345" s="1"/>
      <c r="M345" s="19"/>
    </row>
    <row r="346" spans="2:13">
      <c r="B346" s="1"/>
      <c r="C346" s="1"/>
      <c r="D346" s="1"/>
      <c r="E346" s="1"/>
      <c r="F346" s="1"/>
      <c r="G346" s="1"/>
      <c r="H346" s="1"/>
      <c r="I346" s="1"/>
      <c r="J346" s="1"/>
      <c r="K346" s="1"/>
      <c r="L346" s="1"/>
      <c r="M346" s="19"/>
    </row>
    <row r="347" spans="2:13">
      <c r="B347" s="1"/>
      <c r="C347" s="1"/>
      <c r="D347" s="1"/>
      <c r="E347" s="1"/>
      <c r="F347" s="1"/>
      <c r="G347" s="1"/>
      <c r="H347" s="1"/>
      <c r="I347" s="1"/>
      <c r="J347" s="1"/>
      <c r="K347" s="1"/>
      <c r="L347" s="1"/>
      <c r="M347" s="19"/>
    </row>
    <row r="348" spans="2:13">
      <c r="B348" s="1"/>
      <c r="C348" s="1"/>
      <c r="D348" s="1"/>
      <c r="E348" s="1"/>
      <c r="F348" s="1"/>
      <c r="G348" s="1"/>
      <c r="H348" s="1"/>
      <c r="I348" s="1"/>
      <c r="J348" s="1"/>
      <c r="K348" s="1"/>
      <c r="L348" s="1"/>
      <c r="M348" s="19"/>
    </row>
    <row r="349" spans="2:13">
      <c r="B349" s="1"/>
      <c r="C349" s="1"/>
      <c r="D349" s="1"/>
      <c r="E349" s="1"/>
      <c r="F349" s="1"/>
      <c r="G349" s="1"/>
      <c r="H349" s="1"/>
      <c r="I349" s="1"/>
      <c r="J349" s="1"/>
      <c r="K349" s="1"/>
      <c r="L349" s="1"/>
      <c r="M349" s="19"/>
    </row>
    <row r="350" spans="2:13">
      <c r="B350" s="1"/>
      <c r="C350" s="1"/>
      <c r="D350" s="1"/>
      <c r="E350" s="1"/>
      <c r="F350" s="1"/>
      <c r="G350" s="1"/>
      <c r="H350" s="1"/>
      <c r="I350" s="1"/>
      <c r="J350" s="1"/>
      <c r="K350" s="1"/>
      <c r="L350" s="1"/>
      <c r="M350" s="19"/>
    </row>
    <row r="351" spans="2:13">
      <c r="B351" s="1"/>
      <c r="C351" s="1"/>
      <c r="D351" s="1"/>
      <c r="E351" s="1"/>
      <c r="F351" s="1"/>
      <c r="G351" s="1"/>
      <c r="H351" s="1"/>
      <c r="I351" s="1"/>
      <c r="J351" s="1"/>
      <c r="K351" s="1"/>
      <c r="L351" s="1"/>
      <c r="M351" s="19"/>
    </row>
    <row r="352" spans="2:13">
      <c r="B352" s="1"/>
      <c r="C352" s="1"/>
      <c r="D352" s="1"/>
      <c r="E352" s="1"/>
      <c r="F352" s="1"/>
      <c r="G352" s="1"/>
      <c r="H352" s="1"/>
      <c r="I352" s="1"/>
      <c r="J352" s="1"/>
      <c r="K352" s="1"/>
      <c r="L352" s="1"/>
      <c r="M352" s="19"/>
    </row>
    <row r="353" spans="2:13">
      <c r="B353" s="1"/>
      <c r="C353" s="1"/>
      <c r="D353" s="1"/>
      <c r="E353" s="1"/>
      <c r="F353" s="1"/>
      <c r="G353" s="1"/>
      <c r="H353" s="1"/>
      <c r="I353" s="1"/>
      <c r="J353" s="1"/>
      <c r="K353" s="1"/>
      <c r="L353" s="1"/>
      <c r="M353" s="19"/>
    </row>
    <row r="354" spans="2:13">
      <c r="B354" s="1"/>
      <c r="C354" s="1"/>
      <c r="D354" s="1"/>
      <c r="E354" s="1"/>
      <c r="F354" s="1"/>
      <c r="G354" s="1"/>
      <c r="H354" s="1"/>
      <c r="I354" s="1"/>
      <c r="J354" s="1"/>
      <c r="K354" s="1"/>
      <c r="L354" s="1"/>
      <c r="M354" s="19"/>
    </row>
    <row r="355" spans="2:13">
      <c r="B355" s="1"/>
      <c r="C355" s="1"/>
      <c r="D355" s="1"/>
      <c r="E355" s="1"/>
      <c r="F355" s="1"/>
      <c r="G355" s="1"/>
      <c r="H355" s="1"/>
      <c r="I355" s="1"/>
      <c r="J355" s="1"/>
      <c r="K355" s="1"/>
      <c r="L355" s="1"/>
      <c r="M355" s="19"/>
    </row>
    <row r="356" spans="2:13">
      <c r="B356" s="1"/>
      <c r="C356" s="1"/>
      <c r="D356" s="1"/>
      <c r="E356" s="1"/>
      <c r="F356" s="1"/>
      <c r="G356" s="1"/>
      <c r="H356" s="1"/>
      <c r="I356" s="1"/>
      <c r="J356" s="1"/>
      <c r="K356" s="1"/>
      <c r="L356" s="1"/>
      <c r="M356" s="19"/>
    </row>
    <row r="357" spans="2:13">
      <c r="B357" s="1"/>
      <c r="C357" s="1"/>
      <c r="D357" s="1"/>
      <c r="E357" s="1"/>
      <c r="F357" s="1"/>
      <c r="G357" s="1"/>
      <c r="H357" s="1"/>
      <c r="I357" s="1"/>
      <c r="J357" s="1"/>
      <c r="K357" s="1"/>
      <c r="L357" s="1"/>
      <c r="M357" s="19"/>
    </row>
    <row r="358" spans="2:13">
      <c r="B358" s="1"/>
      <c r="C358" s="1"/>
      <c r="D358" s="1"/>
      <c r="E358" s="1"/>
      <c r="F358" s="1"/>
      <c r="G358" s="1"/>
      <c r="H358" s="1"/>
      <c r="I358" s="1"/>
      <c r="J358" s="1"/>
      <c r="K358" s="1"/>
      <c r="L358" s="1"/>
      <c r="M358" s="19"/>
    </row>
    <row r="359" spans="2:13">
      <c r="B359" s="1"/>
      <c r="C359" s="1"/>
      <c r="D359" s="1"/>
      <c r="E359" s="1"/>
      <c r="F359" s="1"/>
      <c r="G359" s="1"/>
      <c r="H359" s="1"/>
      <c r="I359" s="1"/>
      <c r="J359" s="1"/>
      <c r="K359" s="1"/>
      <c r="L359" s="1"/>
      <c r="M359" s="19"/>
    </row>
    <row r="360" spans="2:13">
      <c r="B360" s="1"/>
      <c r="C360" s="1"/>
      <c r="D360" s="1"/>
      <c r="E360" s="1"/>
      <c r="F360" s="1"/>
      <c r="G360" s="1"/>
      <c r="H360" s="1"/>
      <c r="I360" s="1"/>
      <c r="J360" s="1"/>
      <c r="K360" s="1"/>
      <c r="L360" s="1"/>
      <c r="M360" s="19"/>
    </row>
    <row r="361" spans="2:13">
      <c r="B361" s="1"/>
      <c r="C361" s="1"/>
      <c r="D361" s="1"/>
      <c r="E361" s="1"/>
      <c r="F361" s="1"/>
      <c r="G361" s="1"/>
      <c r="H361" s="1"/>
      <c r="I361" s="1"/>
      <c r="J361" s="1"/>
      <c r="K361" s="1"/>
      <c r="L361" s="1"/>
      <c r="M361" s="19"/>
    </row>
    <row r="362" spans="2:13">
      <c r="B362" s="1"/>
      <c r="C362" s="1"/>
      <c r="D362" s="1"/>
      <c r="E362" s="1"/>
      <c r="F362" s="1"/>
      <c r="G362" s="1"/>
      <c r="H362" s="1"/>
      <c r="I362" s="1"/>
      <c r="J362" s="1"/>
      <c r="K362" s="1"/>
      <c r="L362" s="1"/>
      <c r="M362" s="19"/>
    </row>
    <row r="363" spans="2:13">
      <c r="B363" s="1"/>
      <c r="C363" s="1"/>
      <c r="D363" s="1"/>
      <c r="E363" s="1"/>
      <c r="F363" s="1"/>
      <c r="G363" s="1"/>
      <c r="H363" s="1"/>
      <c r="I363" s="1"/>
      <c r="J363" s="1"/>
      <c r="K363" s="1"/>
      <c r="L363" s="1"/>
      <c r="M363" s="19"/>
    </row>
    <row r="364" spans="2:13">
      <c r="B364" s="1"/>
      <c r="C364" s="1"/>
      <c r="D364" s="1"/>
      <c r="E364" s="1"/>
      <c r="F364" s="1"/>
      <c r="G364" s="1"/>
      <c r="H364" s="1"/>
      <c r="I364" s="1"/>
      <c r="J364" s="1"/>
      <c r="K364" s="1"/>
      <c r="L364" s="1"/>
      <c r="M364" s="19"/>
    </row>
    <row r="365" spans="2:13">
      <c r="B365" s="1"/>
      <c r="C365" s="1"/>
      <c r="D365" s="1"/>
      <c r="E365" s="1"/>
      <c r="F365" s="1"/>
      <c r="G365" s="1"/>
      <c r="H365" s="1"/>
      <c r="I365" s="1"/>
      <c r="J365" s="1"/>
      <c r="K365" s="1"/>
      <c r="L365" s="1"/>
      <c r="M365" s="19"/>
    </row>
    <row r="366" spans="2:13">
      <c r="B366" s="1"/>
      <c r="C366" s="1"/>
      <c r="D366" s="1"/>
      <c r="E366" s="1"/>
      <c r="F366" s="1"/>
      <c r="G366" s="1"/>
      <c r="H366" s="1"/>
      <c r="I366" s="1"/>
      <c r="J366" s="1"/>
      <c r="K366" s="1"/>
      <c r="L366" s="1"/>
      <c r="M366" s="19"/>
    </row>
    <row r="367" spans="2:13">
      <c r="B367" s="1"/>
      <c r="C367" s="1"/>
      <c r="D367" s="1"/>
      <c r="E367" s="1"/>
      <c r="F367" s="1"/>
      <c r="G367" s="1"/>
      <c r="H367" s="1"/>
      <c r="I367" s="1"/>
      <c r="J367" s="1"/>
      <c r="K367" s="1"/>
      <c r="L367" s="1"/>
      <c r="M367" s="19"/>
    </row>
    <row r="368" spans="2:13">
      <c r="B368" s="1"/>
      <c r="C368" s="1"/>
      <c r="D368" s="1"/>
      <c r="E368" s="1"/>
      <c r="F368" s="1"/>
      <c r="G368" s="1"/>
      <c r="H368" s="1"/>
      <c r="I368" s="1"/>
      <c r="J368" s="1"/>
      <c r="K368" s="1"/>
      <c r="L368" s="1"/>
      <c r="M368" s="19"/>
    </row>
    <row r="369" spans="2:12">
      <c r="B369" s="1"/>
      <c r="C369" s="1"/>
      <c r="D369" s="1"/>
      <c r="E369" s="1"/>
      <c r="F369" s="1"/>
      <c r="G369" s="1"/>
      <c r="H369" s="1"/>
      <c r="I369" s="1"/>
      <c r="J369" s="1"/>
      <c r="K369" s="1"/>
      <c r="L369" s="1"/>
    </row>
    <row r="370" spans="2:12">
      <c r="B370" s="1"/>
      <c r="C370" s="1"/>
      <c r="D370" s="1"/>
      <c r="E370" s="1"/>
      <c r="F370" s="1"/>
      <c r="G370" s="1"/>
      <c r="H370" s="1"/>
      <c r="I370" s="1"/>
      <c r="J370" s="1"/>
      <c r="K370" s="1"/>
      <c r="L370" s="1"/>
    </row>
  </sheetData>
  <mergeCells count="1">
    <mergeCell ref="J1:L1"/>
  </mergeCells>
  <pageMargins left="0.75" right="0.75" top="1" bottom="1" header="0.5" footer="0.5"/>
  <pageSetup orientation="portrait" horizontalDpi="4294967292" verticalDpi="4294967292"/>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AA329"/>
  <sheetViews>
    <sheetView topLeftCell="M1" workbookViewId="0">
      <selection activeCell="X17" sqref="X17"/>
    </sheetView>
  </sheetViews>
  <sheetFormatPr defaultColWidth="11" defaultRowHeight="15.75"/>
  <cols>
    <col min="1" max="1" width="25.625" customWidth="1"/>
    <col min="2" max="2" width="15.125" bestFit="1" customWidth="1"/>
    <col min="3" max="9" width="12.5" bestFit="1" customWidth="1"/>
    <col min="10" max="12" width="13.875" customWidth="1"/>
    <col min="13" max="13" width="11" style="190"/>
    <col min="22" max="27" width="11" style="19"/>
  </cols>
  <sheetData>
    <row r="1" spans="1:14" ht="18.75">
      <c r="A1" s="37" t="s">
        <v>40</v>
      </c>
      <c r="J1" s="494" t="s">
        <v>215</v>
      </c>
      <c r="K1" s="494"/>
      <c r="L1" s="494"/>
    </row>
    <row r="2" spans="1:14">
      <c r="A2" s="2"/>
    </row>
    <row r="3" spans="1:14">
      <c r="A3" s="2"/>
      <c r="B3" s="82" t="s">
        <v>61</v>
      </c>
      <c r="C3" s="82" t="s">
        <v>61</v>
      </c>
      <c r="D3" s="82" t="s">
        <v>61</v>
      </c>
      <c r="E3" s="82" t="s">
        <v>61</v>
      </c>
      <c r="F3" s="82" t="s">
        <v>61</v>
      </c>
      <c r="G3" s="82" t="s">
        <v>61</v>
      </c>
      <c r="H3" s="82" t="s">
        <v>61</v>
      </c>
      <c r="I3" s="82" t="s">
        <v>61</v>
      </c>
      <c r="J3" s="82" t="s">
        <v>61</v>
      </c>
      <c r="K3" s="82" t="s">
        <v>61</v>
      </c>
      <c r="L3" s="82" t="s">
        <v>61</v>
      </c>
    </row>
    <row r="4" spans="1:14">
      <c r="A4" s="2"/>
      <c r="B4" s="30" t="s">
        <v>57</v>
      </c>
      <c r="C4" s="30" t="s">
        <v>57</v>
      </c>
      <c r="D4" s="30" t="s">
        <v>57</v>
      </c>
      <c r="E4" s="30" t="s">
        <v>57</v>
      </c>
      <c r="F4" s="30" t="s">
        <v>57</v>
      </c>
      <c r="G4" s="30" t="s">
        <v>57</v>
      </c>
      <c r="H4" s="30" t="s">
        <v>57</v>
      </c>
      <c r="I4" s="30" t="s">
        <v>57</v>
      </c>
      <c r="J4" s="30" t="s">
        <v>57</v>
      </c>
      <c r="K4" s="30" t="s">
        <v>202</v>
      </c>
      <c r="L4" s="30" t="s">
        <v>58</v>
      </c>
    </row>
    <row r="5" spans="1:14" ht="18.75">
      <c r="A5" s="93" t="s">
        <v>98</v>
      </c>
      <c r="B5" s="254">
        <v>2009</v>
      </c>
      <c r="C5" s="254">
        <v>2010</v>
      </c>
      <c r="D5" s="254">
        <v>2011</v>
      </c>
      <c r="E5" s="254">
        <v>2012</v>
      </c>
      <c r="F5" s="254">
        <v>2013</v>
      </c>
      <c r="G5" s="254">
        <v>2014</v>
      </c>
      <c r="H5" s="254">
        <v>2015</v>
      </c>
      <c r="I5" s="254">
        <v>2016</v>
      </c>
      <c r="J5" s="254">
        <v>2017</v>
      </c>
      <c r="K5" s="254">
        <v>2018</v>
      </c>
      <c r="L5" s="254">
        <v>2019</v>
      </c>
      <c r="M5" s="195"/>
      <c r="N5" s="2"/>
    </row>
    <row r="6" spans="1:14">
      <c r="A6" s="10" t="s">
        <v>100</v>
      </c>
      <c r="B6" s="32">
        <v>2075661</v>
      </c>
      <c r="C6" s="32">
        <v>2394183</v>
      </c>
      <c r="D6" s="32">
        <v>2318491</v>
      </c>
      <c r="E6" s="32">
        <v>2408997</v>
      </c>
      <c r="F6" s="32">
        <v>2799235</v>
      </c>
      <c r="G6" s="32">
        <v>3065549</v>
      </c>
      <c r="H6" s="32">
        <v>3158827</v>
      </c>
      <c r="I6" s="32">
        <v>3283976</v>
      </c>
      <c r="J6" s="32">
        <v>104603</v>
      </c>
      <c r="K6" s="32">
        <v>149644</v>
      </c>
      <c r="L6" s="32">
        <v>94256</v>
      </c>
      <c r="M6" s="174"/>
      <c r="N6" s="3"/>
    </row>
    <row r="7" spans="1:14">
      <c r="A7" s="96" t="s">
        <v>93</v>
      </c>
      <c r="B7" s="32">
        <v>0</v>
      </c>
      <c r="C7" s="32">
        <v>0</v>
      </c>
      <c r="D7" s="32">
        <v>0</v>
      </c>
      <c r="E7" s="32">
        <v>0</v>
      </c>
      <c r="F7" s="32">
        <v>0</v>
      </c>
      <c r="G7" s="32">
        <v>0</v>
      </c>
      <c r="H7" s="32">
        <v>0</v>
      </c>
      <c r="I7" s="32">
        <v>0</v>
      </c>
      <c r="J7" s="32">
        <v>0</v>
      </c>
      <c r="K7" s="32">
        <v>0</v>
      </c>
      <c r="L7" s="32">
        <v>0</v>
      </c>
      <c r="M7" s="174"/>
      <c r="N7" s="3"/>
    </row>
    <row r="8" spans="1:14">
      <c r="A8" s="94" t="s">
        <v>101</v>
      </c>
      <c r="B8" s="32">
        <v>0</v>
      </c>
      <c r="C8" s="32">
        <v>0</v>
      </c>
      <c r="D8" s="32">
        <v>0</v>
      </c>
      <c r="E8" s="32">
        <v>0</v>
      </c>
      <c r="F8" s="32">
        <v>0</v>
      </c>
      <c r="G8" s="32">
        <v>0</v>
      </c>
      <c r="H8" s="32">
        <v>0</v>
      </c>
      <c r="I8" s="32">
        <v>0</v>
      </c>
      <c r="J8" s="32">
        <v>0</v>
      </c>
      <c r="K8" s="32">
        <v>0</v>
      </c>
      <c r="L8" s="32">
        <v>0</v>
      </c>
      <c r="M8" s="174"/>
      <c r="N8" s="3"/>
    </row>
    <row r="9" spans="1:14">
      <c r="A9" s="73" t="s">
        <v>83</v>
      </c>
      <c r="B9" s="32">
        <v>0</v>
      </c>
      <c r="C9" s="32">
        <v>0</v>
      </c>
      <c r="D9" s="32">
        <v>0</v>
      </c>
      <c r="E9" s="32">
        <v>0</v>
      </c>
      <c r="F9" s="32">
        <v>0</v>
      </c>
      <c r="G9" s="32">
        <v>0</v>
      </c>
      <c r="H9" s="32">
        <v>0</v>
      </c>
      <c r="I9" s="32">
        <v>0</v>
      </c>
      <c r="J9" s="32">
        <v>235607</v>
      </c>
      <c r="K9" s="32">
        <v>459456</v>
      </c>
      <c r="L9" s="32">
        <v>405207</v>
      </c>
      <c r="M9" s="174"/>
      <c r="N9" s="3"/>
    </row>
    <row r="10" spans="1:14" ht="16.5" thickBot="1">
      <c r="A10" s="39" t="s">
        <v>128</v>
      </c>
      <c r="B10" s="125">
        <f>-B9</f>
        <v>0</v>
      </c>
      <c r="C10" s="125">
        <f>-C9</f>
        <v>0</v>
      </c>
      <c r="D10" s="125">
        <v>0</v>
      </c>
      <c r="E10" s="125">
        <v>0</v>
      </c>
      <c r="F10" s="125">
        <v>0</v>
      </c>
      <c r="G10" s="125">
        <v>0</v>
      </c>
      <c r="H10" s="125">
        <v>0</v>
      </c>
      <c r="I10" s="125">
        <f>-I9</f>
        <v>0</v>
      </c>
      <c r="J10" s="125">
        <v>0</v>
      </c>
      <c r="K10" s="125">
        <v>0</v>
      </c>
      <c r="L10" s="125">
        <v>0</v>
      </c>
      <c r="M10" s="195"/>
      <c r="N10" s="2"/>
    </row>
    <row r="11" spans="1:14">
      <c r="A11" s="95" t="s">
        <v>108</v>
      </c>
      <c r="B11" s="32">
        <f>SUM(B6:B10)</f>
        <v>2075661</v>
      </c>
      <c r="C11" s="32">
        <f>SUM(C6:C10)</f>
        <v>2394183</v>
      </c>
      <c r="D11" s="32">
        <f>SUM(D6:D10)</f>
        <v>2318491</v>
      </c>
      <c r="E11" s="32">
        <f>SUM(E6:E10)</f>
        <v>2408997</v>
      </c>
      <c r="F11" s="32">
        <f t="shared" ref="F11:L11" si="0">SUM(F6:F10)</f>
        <v>2799235</v>
      </c>
      <c r="G11" s="32">
        <f t="shared" si="0"/>
        <v>3065549</v>
      </c>
      <c r="H11" s="32">
        <f t="shared" si="0"/>
        <v>3158827</v>
      </c>
      <c r="I11" s="32">
        <f t="shared" si="0"/>
        <v>3283976</v>
      </c>
      <c r="J11" s="32">
        <f t="shared" si="0"/>
        <v>340210</v>
      </c>
      <c r="K11" s="32">
        <f t="shared" si="0"/>
        <v>609100</v>
      </c>
      <c r="L11" s="32">
        <f t="shared" si="0"/>
        <v>499463</v>
      </c>
      <c r="M11" s="195"/>
      <c r="N11" s="2"/>
    </row>
    <row r="12" spans="1:14">
      <c r="A12" s="2"/>
      <c r="B12" s="31"/>
      <c r="C12" s="31"/>
      <c r="D12" s="31"/>
      <c r="E12" s="31"/>
      <c r="F12" s="31"/>
      <c r="G12" s="31"/>
      <c r="H12" s="31"/>
      <c r="I12" s="31"/>
      <c r="J12" s="31"/>
      <c r="K12" s="31"/>
      <c r="L12" s="31"/>
      <c r="M12" s="195"/>
      <c r="N12" s="2"/>
    </row>
    <row r="13" spans="1:14">
      <c r="A13" s="88"/>
      <c r="B13" s="32"/>
      <c r="C13" s="32"/>
      <c r="D13" s="32"/>
      <c r="E13" s="32"/>
      <c r="F13" s="32"/>
      <c r="G13" s="32"/>
      <c r="H13" s="32"/>
      <c r="I13" s="32"/>
      <c r="J13" s="32"/>
      <c r="K13" s="32"/>
      <c r="L13" s="32"/>
      <c r="M13" s="195"/>
      <c r="N13" s="2"/>
    </row>
    <row r="14" spans="1:14" ht="18.75">
      <c r="A14" s="93" t="s">
        <v>73</v>
      </c>
      <c r="B14" s="254">
        <v>2009</v>
      </c>
      <c r="C14" s="254">
        <v>2010</v>
      </c>
      <c r="D14" s="254">
        <v>2011</v>
      </c>
      <c r="E14" s="254">
        <v>2012</v>
      </c>
      <c r="F14" s="254">
        <v>2013</v>
      </c>
      <c r="G14" s="254">
        <v>2014</v>
      </c>
      <c r="H14" s="254">
        <v>2015</v>
      </c>
      <c r="I14" s="254">
        <v>2016</v>
      </c>
      <c r="J14" s="254">
        <v>2017</v>
      </c>
      <c r="K14" s="254">
        <v>2018</v>
      </c>
      <c r="L14" s="254">
        <v>2019</v>
      </c>
      <c r="M14" s="195"/>
      <c r="N14" s="2"/>
    </row>
    <row r="15" spans="1:14">
      <c r="A15" s="10" t="s">
        <v>100</v>
      </c>
      <c r="B15" s="3">
        <v>2705755</v>
      </c>
      <c r="C15" s="3">
        <v>2423439</v>
      </c>
      <c r="D15" s="3">
        <v>2318491</v>
      </c>
      <c r="E15" s="3">
        <v>2799235</v>
      </c>
      <c r="F15" s="3">
        <v>2799235</v>
      </c>
      <c r="G15" s="3">
        <v>3065549</v>
      </c>
      <c r="H15" s="3">
        <v>3158827</v>
      </c>
      <c r="I15" s="3">
        <v>3283976</v>
      </c>
      <c r="J15" s="3">
        <v>3762506</v>
      </c>
      <c r="K15" s="3">
        <v>4389757</v>
      </c>
      <c r="L15" s="3">
        <v>3230342</v>
      </c>
      <c r="M15" s="196"/>
      <c r="N15" s="10"/>
    </row>
    <row r="16" spans="1:14">
      <c r="A16" s="96" t="s">
        <v>93</v>
      </c>
      <c r="B16" s="3">
        <v>0</v>
      </c>
      <c r="C16" s="3">
        <v>0</v>
      </c>
      <c r="D16" s="3">
        <v>0</v>
      </c>
      <c r="E16" s="3">
        <v>0</v>
      </c>
      <c r="F16" s="3">
        <v>0</v>
      </c>
      <c r="G16" s="3">
        <v>0</v>
      </c>
      <c r="H16" s="3">
        <v>0</v>
      </c>
      <c r="I16" s="3">
        <v>0</v>
      </c>
      <c r="J16" s="3">
        <v>0</v>
      </c>
      <c r="K16" s="3">
        <v>0</v>
      </c>
      <c r="L16" s="3">
        <v>0</v>
      </c>
    </row>
    <row r="17" spans="1:14">
      <c r="A17" s="94" t="s">
        <v>101</v>
      </c>
      <c r="B17" s="3">
        <v>0</v>
      </c>
      <c r="C17" s="3">
        <v>0</v>
      </c>
      <c r="D17" s="3">
        <v>0</v>
      </c>
      <c r="E17" s="3">
        <v>0</v>
      </c>
      <c r="F17" s="3">
        <v>0</v>
      </c>
      <c r="G17" s="3">
        <v>0</v>
      </c>
      <c r="H17" s="3">
        <v>0</v>
      </c>
      <c r="I17" s="3">
        <v>0</v>
      </c>
      <c r="J17" s="3">
        <v>0</v>
      </c>
      <c r="K17" s="3">
        <v>0</v>
      </c>
      <c r="L17" s="3">
        <v>0</v>
      </c>
    </row>
    <row r="18" spans="1:14">
      <c r="A18" s="73" t="s">
        <v>83</v>
      </c>
      <c r="B18" s="1">
        <v>0</v>
      </c>
      <c r="C18" s="1">
        <v>0</v>
      </c>
      <c r="D18" s="1">
        <v>0</v>
      </c>
      <c r="E18" s="1">
        <v>0</v>
      </c>
      <c r="F18" s="1">
        <v>0</v>
      </c>
      <c r="G18" s="1">
        <v>0</v>
      </c>
      <c r="H18" s="1">
        <v>0</v>
      </c>
      <c r="I18" s="1">
        <v>0</v>
      </c>
      <c r="J18" s="1">
        <v>0</v>
      </c>
      <c r="K18" s="1"/>
      <c r="L18" s="1">
        <v>0</v>
      </c>
      <c r="M18" s="173"/>
      <c r="N18" s="1"/>
    </row>
    <row r="19" spans="1:14" ht="16.5" thickBot="1">
      <c r="A19" s="153" t="s">
        <v>157</v>
      </c>
      <c r="B19" s="69"/>
      <c r="C19" s="69"/>
      <c r="D19" s="69"/>
      <c r="E19" s="69"/>
      <c r="F19" s="69"/>
      <c r="G19" s="69"/>
      <c r="H19" s="69"/>
      <c r="I19" s="69"/>
      <c r="J19" s="69"/>
      <c r="K19" s="69"/>
      <c r="L19" s="69"/>
      <c r="M19" s="173"/>
      <c r="N19" s="1"/>
    </row>
    <row r="20" spans="1:14">
      <c r="A20" s="95" t="s">
        <v>119</v>
      </c>
      <c r="B20" s="1">
        <f t="shared" ref="B20:L20" si="1">SUM(B15:B18)</f>
        <v>2705755</v>
      </c>
      <c r="C20" s="1">
        <f t="shared" si="1"/>
        <v>2423439</v>
      </c>
      <c r="D20" s="1">
        <f t="shared" si="1"/>
        <v>2318491</v>
      </c>
      <c r="E20" s="1">
        <f t="shared" si="1"/>
        <v>2799235</v>
      </c>
      <c r="F20" s="1">
        <f t="shared" si="1"/>
        <v>2799235</v>
      </c>
      <c r="G20" s="1">
        <f t="shared" si="1"/>
        <v>3065549</v>
      </c>
      <c r="H20" s="1">
        <f t="shared" si="1"/>
        <v>3158827</v>
      </c>
      <c r="I20" s="1">
        <f t="shared" si="1"/>
        <v>3283976</v>
      </c>
      <c r="J20" s="1">
        <f t="shared" si="1"/>
        <v>3762506</v>
      </c>
      <c r="K20" s="1">
        <f t="shared" si="1"/>
        <v>4389757</v>
      </c>
      <c r="L20" s="1">
        <f t="shared" si="1"/>
        <v>3230342</v>
      </c>
      <c r="M20" s="173"/>
      <c r="N20" s="1"/>
    </row>
    <row r="21" spans="1:14" ht="18.75">
      <c r="A21" s="223"/>
      <c r="B21" s="173"/>
      <c r="C21" s="173"/>
      <c r="D21" s="173"/>
      <c r="E21" s="173"/>
      <c r="F21" s="173"/>
      <c r="G21" s="173"/>
      <c r="H21" s="173"/>
      <c r="I21" s="173"/>
      <c r="J21" s="173"/>
      <c r="K21" s="173"/>
      <c r="L21" s="173"/>
      <c r="M21" s="173"/>
      <c r="N21" s="1"/>
    </row>
    <row r="22" spans="1:14">
      <c r="M22" s="173"/>
      <c r="N22" s="1"/>
    </row>
    <row r="23" spans="1:14">
      <c r="M23" s="173"/>
      <c r="N23" s="1"/>
    </row>
    <row r="24" spans="1:14" ht="18.75">
      <c r="A24" s="37"/>
      <c r="B24" s="254">
        <v>2009</v>
      </c>
      <c r="C24" s="254">
        <v>2010</v>
      </c>
      <c r="D24" s="254">
        <v>2011</v>
      </c>
      <c r="E24" s="254">
        <v>2012</v>
      </c>
      <c r="F24" s="254">
        <v>2013</v>
      </c>
      <c r="G24" s="254">
        <v>2014</v>
      </c>
      <c r="H24" s="254">
        <v>2015</v>
      </c>
      <c r="I24" s="254">
        <v>2016</v>
      </c>
      <c r="J24" s="254">
        <v>2017</v>
      </c>
      <c r="K24" s="254">
        <v>2018</v>
      </c>
      <c r="L24" s="254">
        <v>2019</v>
      </c>
      <c r="M24" s="173"/>
      <c r="N24" s="1"/>
    </row>
    <row r="25" spans="1:14">
      <c r="A25" s="2" t="s">
        <v>203</v>
      </c>
      <c r="B25" s="8">
        <f t="shared" ref="B25:L25" si="2">+B15/B26</f>
        <v>42.838336341471141</v>
      </c>
      <c r="C25" s="8">
        <f t="shared" si="2"/>
        <v>35.774541643293674</v>
      </c>
      <c r="D25" s="8">
        <f t="shared" si="2"/>
        <v>33.718110556856359</v>
      </c>
      <c r="E25" s="8">
        <f t="shared" si="2"/>
        <v>40.369117837931384</v>
      </c>
      <c r="F25" s="8">
        <f t="shared" si="2"/>
        <v>39.778811993747333</v>
      </c>
      <c r="G25" s="8">
        <f t="shared" si="2"/>
        <v>43.160333394342999</v>
      </c>
      <c r="H25" s="8">
        <f t="shared" si="2"/>
        <v>43.024067011713427</v>
      </c>
      <c r="I25" s="8">
        <f t="shared" si="2"/>
        <v>44.148363245277949</v>
      </c>
      <c r="J25" s="8">
        <f t="shared" si="2"/>
        <v>49.611102320675109</v>
      </c>
      <c r="K25" s="8">
        <f t="shared" si="2"/>
        <v>56.816507468095573</v>
      </c>
      <c r="L25" s="8">
        <f t="shared" si="2"/>
        <v>40.900759685996455</v>
      </c>
      <c r="M25" s="173"/>
      <c r="N25" s="1"/>
    </row>
    <row r="26" spans="1:14">
      <c r="A26" s="45" t="s">
        <v>21</v>
      </c>
      <c r="B26" s="12">
        <f>Stats!D4</f>
        <v>63162</v>
      </c>
      <c r="C26" s="12">
        <f>Stats!E4</f>
        <v>67742</v>
      </c>
      <c r="D26" s="12">
        <f>Stats!F4</f>
        <v>68761</v>
      </c>
      <c r="E26" s="12">
        <f>Stats!G4</f>
        <v>69341</v>
      </c>
      <c r="F26" s="12">
        <f>Stats!H4</f>
        <v>70370</v>
      </c>
      <c r="G26" s="12">
        <f>Stats!I4</f>
        <v>71027</v>
      </c>
      <c r="H26" s="12">
        <f>Stats!J4</f>
        <v>73420</v>
      </c>
      <c r="I26" s="12">
        <f>Stats!K4</f>
        <v>74385</v>
      </c>
      <c r="J26" s="12">
        <f>Stats!L4</f>
        <v>75840</v>
      </c>
      <c r="K26" s="12">
        <f>Stats!M4</f>
        <v>77262</v>
      </c>
      <c r="L26" s="12">
        <f>Stats!N4</f>
        <v>78980</v>
      </c>
      <c r="M26" s="173"/>
      <c r="N26" s="1"/>
    </row>
    <row r="27" spans="1:14">
      <c r="M27" s="173"/>
      <c r="N27" s="1"/>
    </row>
    <row r="28" spans="1:14">
      <c r="A28" s="253" t="s">
        <v>159</v>
      </c>
      <c r="B28" s="1">
        <f t="shared" ref="B28:L28" si="3">+B15/B29</f>
        <v>98248.184458968783</v>
      </c>
      <c r="C28" s="1">
        <f t="shared" si="3"/>
        <v>87997.058823529413</v>
      </c>
      <c r="D28" s="1">
        <f t="shared" si="3"/>
        <v>77463.782158369533</v>
      </c>
      <c r="E28" s="1">
        <f t="shared" si="3"/>
        <v>52557.923394667661</v>
      </c>
      <c r="F28" s="1">
        <f t="shared" si="3"/>
        <v>90884.253246753244</v>
      </c>
      <c r="G28" s="1">
        <f t="shared" si="3"/>
        <v>99112.479793081147</v>
      </c>
      <c r="H28" s="1">
        <f t="shared" si="3"/>
        <v>99084.912170639902</v>
      </c>
      <c r="I28" s="1">
        <f t="shared" si="3"/>
        <v>102209.02583255526</v>
      </c>
      <c r="J28" s="1">
        <f t="shared" si="3"/>
        <v>114885.67938931298</v>
      </c>
      <c r="K28" s="1">
        <f t="shared" si="3"/>
        <v>134038.38167938931</v>
      </c>
      <c r="L28" s="1">
        <f t="shared" si="3"/>
        <v>97519.758490566033</v>
      </c>
      <c r="M28" s="173"/>
      <c r="N28" s="1"/>
    </row>
    <row r="29" spans="1:14">
      <c r="A29" s="45" t="s">
        <v>64</v>
      </c>
      <c r="B29" s="34">
        <f>+B42</f>
        <v>27.54</v>
      </c>
      <c r="C29" s="34">
        <f t="shared" ref="C29:L29" si="4">+C42</f>
        <v>27.54</v>
      </c>
      <c r="D29" s="34">
        <f t="shared" si="4"/>
        <v>29.93</v>
      </c>
      <c r="E29" s="34">
        <f t="shared" si="4"/>
        <v>53.260000000000005</v>
      </c>
      <c r="F29" s="34">
        <f t="shared" si="4"/>
        <v>30.8</v>
      </c>
      <c r="G29" s="34">
        <f t="shared" si="4"/>
        <v>30.93</v>
      </c>
      <c r="H29" s="34">
        <f t="shared" si="4"/>
        <v>31.88</v>
      </c>
      <c r="I29" s="34">
        <f t="shared" si="4"/>
        <v>32.129999999999995</v>
      </c>
      <c r="J29" s="34">
        <f t="shared" si="4"/>
        <v>32.75</v>
      </c>
      <c r="K29" s="34">
        <f t="shared" si="4"/>
        <v>32.75</v>
      </c>
      <c r="L29" s="34">
        <f t="shared" si="4"/>
        <v>33.125</v>
      </c>
      <c r="M29" s="173"/>
      <c r="N29" s="1"/>
    </row>
    <row r="30" spans="1:14">
      <c r="M30" s="173"/>
      <c r="N30" s="1"/>
    </row>
    <row r="31" spans="1:14">
      <c r="A31" s="190"/>
      <c r="B31" s="190"/>
      <c r="C31" s="190"/>
      <c r="D31" s="190"/>
      <c r="E31" s="190"/>
      <c r="F31" s="190"/>
      <c r="G31" s="190"/>
      <c r="H31" s="190"/>
      <c r="I31" s="190"/>
      <c r="J31" s="190"/>
      <c r="K31" s="190"/>
      <c r="L31" s="190"/>
      <c r="M31" s="173"/>
      <c r="N31" s="1"/>
    </row>
    <row r="32" spans="1:14">
      <c r="A32" s="190"/>
      <c r="B32" s="190"/>
      <c r="C32" s="190"/>
      <c r="D32" s="190"/>
      <c r="E32" s="190"/>
      <c r="F32" s="190"/>
      <c r="G32" s="190"/>
      <c r="H32" s="190"/>
      <c r="I32" s="190"/>
      <c r="J32" s="190"/>
      <c r="K32" s="190"/>
      <c r="L32" s="190"/>
      <c r="M32" s="173"/>
      <c r="N32" s="1"/>
    </row>
    <row r="33" spans="1:16">
      <c r="A33" s="366"/>
      <c r="B33" s="117"/>
      <c r="C33" s="117"/>
      <c r="D33" s="117"/>
      <c r="E33" s="117"/>
      <c r="F33" s="117"/>
      <c r="G33" s="117"/>
      <c r="H33" s="117"/>
      <c r="I33" s="117"/>
      <c r="J33" s="117"/>
      <c r="K33" s="117"/>
      <c r="L33" s="117"/>
      <c r="M33" s="173"/>
      <c r="N33" s="1"/>
    </row>
    <row r="34" spans="1:16">
      <c r="A34" s="9" t="s">
        <v>63</v>
      </c>
      <c r="B34" s="254"/>
      <c r="C34" s="254"/>
      <c r="D34" s="254"/>
      <c r="E34" s="254"/>
      <c r="F34" s="254"/>
      <c r="G34" s="254"/>
      <c r="H34" s="254"/>
      <c r="I34" s="254"/>
      <c r="J34" s="254"/>
      <c r="K34" s="254"/>
      <c r="L34" s="254"/>
      <c r="M34" s="173"/>
      <c r="N34" s="1"/>
    </row>
    <row r="35" spans="1:16">
      <c r="A35" s="40" t="s">
        <v>241</v>
      </c>
      <c r="B35" s="22">
        <v>27.54</v>
      </c>
      <c r="C35" s="22">
        <v>27.54</v>
      </c>
      <c r="D35" s="22">
        <v>29.93</v>
      </c>
      <c r="E35" s="22">
        <v>30.26</v>
      </c>
      <c r="F35" s="22">
        <v>7.89</v>
      </c>
      <c r="G35" s="22">
        <v>7.89</v>
      </c>
      <c r="H35" s="22">
        <v>7.65</v>
      </c>
      <c r="I35" s="22">
        <v>7.77</v>
      </c>
      <c r="J35" s="22">
        <v>6.125</v>
      </c>
      <c r="K35" s="22">
        <v>6.125</v>
      </c>
      <c r="L35" s="22">
        <v>6.125</v>
      </c>
      <c r="M35" s="173"/>
      <c r="N35" s="1"/>
    </row>
    <row r="36" spans="1:16">
      <c r="A36" s="40" t="s">
        <v>242</v>
      </c>
      <c r="B36" s="22">
        <v>0</v>
      </c>
      <c r="C36" s="22">
        <v>0</v>
      </c>
      <c r="D36" s="22">
        <v>0</v>
      </c>
      <c r="E36" s="22">
        <v>6.37</v>
      </c>
      <c r="F36" s="22">
        <v>6.38</v>
      </c>
      <c r="G36" s="22">
        <v>6.38</v>
      </c>
      <c r="H36" s="22">
        <v>6.38</v>
      </c>
      <c r="I36" s="22">
        <v>6.38</v>
      </c>
      <c r="J36" s="22">
        <v>6.25</v>
      </c>
      <c r="K36" s="22">
        <v>6.25</v>
      </c>
      <c r="L36" s="22">
        <v>6.25</v>
      </c>
      <c r="M36" s="173"/>
      <c r="N36" s="1"/>
    </row>
    <row r="37" spans="1:16">
      <c r="A37" s="40" t="s">
        <v>243</v>
      </c>
      <c r="B37" s="22">
        <v>0</v>
      </c>
      <c r="C37" s="22">
        <v>0</v>
      </c>
      <c r="D37" s="22">
        <v>0</v>
      </c>
      <c r="E37" s="22">
        <v>5.38</v>
      </c>
      <c r="F37" s="22">
        <v>5.39</v>
      </c>
      <c r="G37" s="22">
        <v>5.39</v>
      </c>
      <c r="H37" s="22">
        <v>5.39</v>
      </c>
      <c r="I37" s="22">
        <v>5.46</v>
      </c>
      <c r="J37" s="22">
        <v>6</v>
      </c>
      <c r="K37" s="22">
        <v>6</v>
      </c>
      <c r="L37" s="22">
        <v>6.375</v>
      </c>
      <c r="M37" s="173"/>
      <c r="N37" s="1"/>
    </row>
    <row r="38" spans="1:16">
      <c r="A38" s="40" t="s">
        <v>244</v>
      </c>
      <c r="B38" s="22">
        <v>0</v>
      </c>
      <c r="C38" s="22">
        <v>0</v>
      </c>
      <c r="D38" s="22">
        <v>0</v>
      </c>
      <c r="E38" s="22">
        <v>5</v>
      </c>
      <c r="F38" s="22">
        <v>4.8899999999999997</v>
      </c>
      <c r="G38" s="22">
        <v>5.0199999999999996</v>
      </c>
      <c r="H38" s="22">
        <v>5.08</v>
      </c>
      <c r="I38" s="22">
        <v>5.14</v>
      </c>
      <c r="J38" s="22">
        <v>5.875</v>
      </c>
      <c r="K38" s="22">
        <v>5.875</v>
      </c>
      <c r="L38" s="22">
        <v>5.875</v>
      </c>
      <c r="M38" s="173"/>
      <c r="N38" s="1"/>
    </row>
    <row r="39" spans="1:16">
      <c r="A39" s="40" t="s">
        <v>245</v>
      </c>
      <c r="B39" s="22">
        <v>0</v>
      </c>
      <c r="C39" s="22">
        <v>0</v>
      </c>
      <c r="D39" s="22">
        <v>0</v>
      </c>
      <c r="E39" s="22">
        <v>4</v>
      </c>
      <c r="F39" s="22">
        <v>4</v>
      </c>
      <c r="G39" s="22">
        <v>4</v>
      </c>
      <c r="H39" s="22">
        <v>4.13</v>
      </c>
      <c r="I39" s="22">
        <v>4.13</v>
      </c>
      <c r="J39" s="22">
        <v>4.75</v>
      </c>
      <c r="K39" s="22">
        <v>4.75</v>
      </c>
      <c r="L39" s="22">
        <v>4.75</v>
      </c>
      <c r="M39" s="173"/>
      <c r="N39" s="1"/>
    </row>
    <row r="40" spans="1:16">
      <c r="A40" s="40" t="s">
        <v>246</v>
      </c>
      <c r="B40" s="461">
        <v>0</v>
      </c>
      <c r="C40" s="461">
        <v>0</v>
      </c>
      <c r="D40" s="461">
        <v>0</v>
      </c>
      <c r="E40" s="461">
        <v>2.25</v>
      </c>
      <c r="F40" s="461">
        <v>2.25</v>
      </c>
      <c r="G40" s="461">
        <v>2.25</v>
      </c>
      <c r="H40" s="461">
        <v>3.25</v>
      </c>
      <c r="I40" s="461">
        <v>3.25</v>
      </c>
      <c r="J40" s="461">
        <v>3.75</v>
      </c>
      <c r="K40" s="461">
        <v>3.75</v>
      </c>
      <c r="L40" s="461">
        <v>3.75</v>
      </c>
      <c r="M40" s="173"/>
      <c r="N40" s="1"/>
    </row>
    <row r="41" spans="1:16" ht="16.5" thickBot="1">
      <c r="A41" s="40" t="s">
        <v>247</v>
      </c>
      <c r="B41" s="459"/>
      <c r="C41" s="459"/>
      <c r="D41" s="459"/>
      <c r="E41" s="459"/>
      <c r="F41" s="459"/>
      <c r="G41" s="459"/>
      <c r="H41" s="459"/>
      <c r="I41" s="459"/>
      <c r="J41" s="459"/>
      <c r="K41" s="459"/>
      <c r="L41" s="459"/>
      <c r="M41" s="173"/>
      <c r="N41" s="1"/>
      <c r="O41" s="1"/>
      <c r="P41" s="1"/>
    </row>
    <row r="42" spans="1:16">
      <c r="A42" s="46" t="s">
        <v>64</v>
      </c>
      <c r="B42" s="34">
        <f t="shared" ref="B42:L42" si="5">SUM(B35:B40)</f>
        <v>27.54</v>
      </c>
      <c r="C42" s="34">
        <f t="shared" si="5"/>
        <v>27.54</v>
      </c>
      <c r="D42" s="34">
        <f t="shared" si="5"/>
        <v>29.93</v>
      </c>
      <c r="E42" s="34">
        <f t="shared" si="5"/>
        <v>53.260000000000005</v>
      </c>
      <c r="F42" s="34">
        <f t="shared" si="5"/>
        <v>30.8</v>
      </c>
      <c r="G42" s="34">
        <f t="shared" si="5"/>
        <v>30.93</v>
      </c>
      <c r="H42" s="34">
        <f t="shared" si="5"/>
        <v>31.88</v>
      </c>
      <c r="I42" s="34">
        <f t="shared" si="5"/>
        <v>32.129999999999995</v>
      </c>
      <c r="J42" s="41">
        <f t="shared" si="5"/>
        <v>32.75</v>
      </c>
      <c r="K42" s="41">
        <f t="shared" si="5"/>
        <v>32.75</v>
      </c>
      <c r="L42" s="352">
        <f t="shared" si="5"/>
        <v>33.125</v>
      </c>
      <c r="M42" s="173"/>
      <c r="N42" s="1"/>
    </row>
    <row r="43" spans="1:16">
      <c r="A43" s="368"/>
      <c r="B43" s="117"/>
      <c r="C43" s="117"/>
      <c r="D43" s="117"/>
      <c r="E43" s="117"/>
      <c r="F43" s="117"/>
      <c r="G43" s="117"/>
      <c r="H43" s="117"/>
      <c r="I43" s="117"/>
      <c r="J43" s="117"/>
      <c r="K43" s="117"/>
      <c r="L43" s="339"/>
      <c r="M43" s="173"/>
      <c r="N43" s="1"/>
    </row>
    <row r="44" spans="1:16">
      <c r="A44" s="163"/>
      <c r="B44" s="117"/>
      <c r="C44" s="117"/>
      <c r="D44" s="117"/>
      <c r="E44" s="117"/>
      <c r="F44" s="117"/>
      <c r="G44" s="117"/>
      <c r="H44" s="117"/>
      <c r="I44" s="117"/>
      <c r="J44" s="117"/>
      <c r="K44" s="117"/>
      <c r="L44" s="117"/>
      <c r="M44" s="173"/>
      <c r="N44" s="1"/>
    </row>
    <row r="45" spans="1:16">
      <c r="A45" s="369"/>
      <c r="B45" s="117"/>
      <c r="C45" s="117"/>
      <c r="D45" s="117"/>
      <c r="E45" s="117"/>
      <c r="F45" s="117"/>
      <c r="G45" s="117"/>
      <c r="H45" s="117"/>
      <c r="I45" s="117"/>
      <c r="J45" s="117"/>
      <c r="K45" s="117"/>
      <c r="L45" s="117"/>
      <c r="M45" s="173"/>
      <c r="N45" s="1"/>
    </row>
    <row r="46" spans="1:16">
      <c r="A46" s="383"/>
      <c r="B46" s="117"/>
      <c r="C46" s="117"/>
      <c r="D46" s="117"/>
      <c r="E46" s="117"/>
      <c r="F46" s="117"/>
      <c r="G46" s="117"/>
      <c r="H46" s="117"/>
      <c r="I46" s="117"/>
      <c r="J46" s="117"/>
      <c r="K46" s="117"/>
      <c r="L46" s="117"/>
      <c r="M46" s="173"/>
      <c r="N46" s="1"/>
    </row>
    <row r="47" spans="1:16">
      <c r="A47" s="383"/>
      <c r="B47" s="117"/>
      <c r="C47" s="117"/>
      <c r="D47" s="117"/>
      <c r="E47" s="117"/>
      <c r="F47" s="117"/>
      <c r="G47" s="117"/>
      <c r="H47" s="117"/>
      <c r="I47" s="117"/>
      <c r="J47" s="117"/>
      <c r="K47" s="117"/>
      <c r="L47" s="117"/>
      <c r="M47" s="173"/>
      <c r="N47" s="1"/>
    </row>
    <row r="48" spans="1:16">
      <c r="A48" s="385"/>
      <c r="B48" s="117"/>
      <c r="C48" s="117"/>
      <c r="D48" s="117"/>
      <c r="E48" s="117"/>
      <c r="F48" s="117"/>
      <c r="G48" s="117"/>
      <c r="H48" s="117"/>
      <c r="I48" s="117"/>
      <c r="J48" s="117"/>
      <c r="K48" s="117"/>
      <c r="L48" s="117"/>
      <c r="M48" s="173"/>
      <c r="N48" s="1"/>
    </row>
    <row r="49" spans="1:14">
      <c r="A49" s="163"/>
      <c r="B49" s="117"/>
      <c r="C49" s="117"/>
      <c r="D49" s="117"/>
      <c r="E49" s="117"/>
      <c r="F49" s="117"/>
      <c r="G49" s="117"/>
      <c r="H49" s="117"/>
      <c r="I49" s="117"/>
      <c r="J49" s="117"/>
      <c r="K49" s="117"/>
      <c r="L49" s="117"/>
      <c r="M49" s="173"/>
      <c r="N49" s="1"/>
    </row>
    <row r="50" spans="1:14">
      <c r="A50" s="356"/>
      <c r="B50" s="145"/>
      <c r="C50" s="145"/>
      <c r="D50" s="145"/>
      <c r="E50" s="145"/>
      <c r="F50" s="145"/>
      <c r="G50" s="145"/>
      <c r="H50" s="145"/>
      <c r="I50" s="145"/>
      <c r="J50" s="145"/>
      <c r="K50" s="145"/>
      <c r="L50" s="145"/>
      <c r="M50" s="173"/>
      <c r="N50" s="1"/>
    </row>
    <row r="51" spans="1:14">
      <c r="A51" s="356"/>
      <c r="B51" s="165"/>
      <c r="C51" s="165"/>
      <c r="D51" s="165"/>
      <c r="E51" s="165"/>
      <c r="F51" s="165"/>
      <c r="G51" s="165"/>
      <c r="H51" s="165"/>
      <c r="I51" s="165"/>
      <c r="J51" s="165"/>
      <c r="K51" s="165"/>
      <c r="L51" s="165"/>
      <c r="M51" s="173"/>
      <c r="N51" s="1"/>
    </row>
    <row r="52" spans="1:14">
      <c r="A52" s="371"/>
      <c r="B52" s="144"/>
      <c r="C52" s="144"/>
      <c r="D52" s="144"/>
      <c r="E52" s="144"/>
      <c r="F52" s="144"/>
      <c r="G52" s="144"/>
      <c r="H52" s="144"/>
      <c r="I52" s="144"/>
      <c r="J52" s="144"/>
      <c r="K52" s="144"/>
      <c r="L52" s="144"/>
      <c r="M52" s="173"/>
      <c r="N52" s="1"/>
    </row>
    <row r="53" spans="1:14">
      <c r="A53" s="371"/>
      <c r="B53" s="144"/>
      <c r="C53" s="144"/>
      <c r="D53" s="144"/>
      <c r="E53" s="144"/>
      <c r="F53" s="144"/>
      <c r="G53" s="144"/>
      <c r="H53" s="144"/>
      <c r="I53" s="144"/>
      <c r="J53" s="144"/>
      <c r="K53" s="144"/>
      <c r="L53" s="144"/>
      <c r="M53" s="173"/>
      <c r="N53" s="1"/>
    </row>
    <row r="54" spans="1:14">
      <c r="A54" s="371"/>
      <c r="B54" s="373"/>
      <c r="C54" s="373"/>
      <c r="D54" s="373"/>
      <c r="E54" s="373"/>
      <c r="F54" s="373"/>
      <c r="G54" s="373"/>
      <c r="H54" s="373"/>
      <c r="I54" s="373"/>
      <c r="J54" s="373"/>
      <c r="K54" s="373"/>
      <c r="L54" s="373"/>
      <c r="M54" s="173"/>
      <c r="N54" s="1"/>
    </row>
    <row r="55" spans="1:14">
      <c r="A55" s="356"/>
      <c r="B55" s="144"/>
      <c r="C55" s="144"/>
      <c r="D55" s="144"/>
      <c r="E55" s="144"/>
      <c r="F55" s="144"/>
      <c r="G55" s="144"/>
      <c r="H55" s="144"/>
      <c r="I55" s="144"/>
      <c r="J55" s="144"/>
      <c r="K55" s="144"/>
      <c r="L55" s="144"/>
      <c r="M55" s="173"/>
      <c r="N55" s="1"/>
    </row>
    <row r="56" spans="1:14">
      <c r="A56" s="356"/>
      <c r="B56" s="117"/>
      <c r="C56" s="117"/>
      <c r="D56" s="117"/>
      <c r="E56" s="117"/>
      <c r="F56" s="117"/>
      <c r="G56" s="117"/>
      <c r="H56" s="117"/>
      <c r="I56" s="117"/>
      <c r="J56" s="117"/>
      <c r="K56" s="117"/>
      <c r="L56" s="117"/>
      <c r="M56" s="173"/>
      <c r="N56" s="1"/>
    </row>
    <row r="57" spans="1:14">
      <c r="A57" s="163"/>
      <c r="B57" s="117"/>
      <c r="C57" s="117"/>
      <c r="D57" s="117"/>
      <c r="E57" s="117"/>
      <c r="F57" s="117"/>
      <c r="G57" s="117"/>
      <c r="H57" s="117"/>
      <c r="I57" s="117"/>
      <c r="J57" s="117"/>
      <c r="K57" s="117"/>
      <c r="L57" s="117"/>
      <c r="M57" s="173"/>
      <c r="N57" s="1"/>
    </row>
    <row r="58" spans="1:14">
      <c r="A58" s="163"/>
      <c r="B58" s="163"/>
      <c r="C58" s="163"/>
      <c r="D58" s="163"/>
      <c r="E58" s="163"/>
      <c r="F58" s="163"/>
      <c r="G58" s="163"/>
      <c r="H58" s="163"/>
      <c r="I58" s="163"/>
      <c r="J58" s="163"/>
      <c r="K58" s="163"/>
      <c r="L58" s="163"/>
      <c r="M58" s="173"/>
      <c r="N58" s="1"/>
    </row>
    <row r="59" spans="1:14">
      <c r="A59" s="357"/>
      <c r="B59" s="163"/>
      <c r="C59" s="163"/>
      <c r="D59" s="163"/>
      <c r="E59" s="163"/>
      <c r="F59" s="163"/>
      <c r="G59" s="163"/>
      <c r="H59" s="163"/>
      <c r="I59" s="163"/>
      <c r="J59" s="163"/>
      <c r="K59" s="163"/>
      <c r="L59" s="163"/>
      <c r="M59" s="173"/>
      <c r="N59" s="1"/>
    </row>
    <row r="60" spans="1:14">
      <c r="A60" s="357"/>
      <c r="B60" s="117"/>
      <c r="C60" s="117"/>
      <c r="D60" s="117"/>
      <c r="E60" s="117"/>
      <c r="F60" s="117"/>
      <c r="G60" s="117"/>
      <c r="H60" s="117"/>
      <c r="I60" s="117"/>
      <c r="J60" s="117"/>
      <c r="K60" s="117"/>
      <c r="L60" s="117"/>
      <c r="M60" s="173"/>
      <c r="N60" s="1"/>
    </row>
    <row r="61" spans="1:14">
      <c r="A61" s="357"/>
      <c r="B61" s="373"/>
      <c r="C61" s="373"/>
      <c r="D61" s="373"/>
      <c r="E61" s="373"/>
      <c r="F61" s="373"/>
      <c r="G61" s="373"/>
      <c r="H61" s="373"/>
      <c r="I61" s="373"/>
      <c r="J61" s="373"/>
      <c r="K61" s="373"/>
      <c r="L61" s="373"/>
      <c r="M61" s="173"/>
      <c r="N61" s="1"/>
    </row>
    <row r="62" spans="1:14">
      <c r="A62" s="359"/>
      <c r="B62" s="360"/>
      <c r="C62" s="360"/>
      <c r="D62" s="360"/>
      <c r="E62" s="360"/>
      <c r="F62" s="360"/>
      <c r="G62" s="360"/>
      <c r="H62" s="360"/>
      <c r="I62" s="360"/>
      <c r="J62" s="360"/>
      <c r="K62" s="360"/>
      <c r="L62" s="360"/>
    </row>
    <row r="63" spans="1:14">
      <c r="A63" s="359"/>
      <c r="B63" s="360"/>
      <c r="C63" s="360"/>
      <c r="D63" s="360"/>
      <c r="E63" s="360"/>
      <c r="F63" s="360"/>
      <c r="G63" s="360"/>
      <c r="H63" s="360"/>
      <c r="I63" s="360"/>
      <c r="J63" s="360"/>
      <c r="K63" s="360"/>
      <c r="L63" s="360"/>
      <c r="M63" s="173"/>
      <c r="N63" s="1"/>
    </row>
    <row r="64" spans="1:14">
      <c r="A64" s="359"/>
      <c r="B64" s="360"/>
      <c r="C64" s="360"/>
      <c r="D64" s="360"/>
      <c r="E64" s="360"/>
      <c r="F64" s="360"/>
      <c r="G64" s="360"/>
      <c r="H64" s="360"/>
      <c r="I64" s="360"/>
      <c r="J64" s="360"/>
      <c r="K64" s="360"/>
      <c r="L64" s="360"/>
      <c r="M64" s="173"/>
      <c r="N64" s="1"/>
    </row>
    <row r="65" spans="1:27">
      <c r="A65" s="359"/>
      <c r="B65" s="360"/>
      <c r="C65" s="360"/>
      <c r="D65" s="360"/>
      <c r="E65" s="360"/>
      <c r="F65" s="360"/>
      <c r="G65" s="360"/>
      <c r="H65" s="360"/>
      <c r="I65" s="360"/>
      <c r="J65" s="360"/>
      <c r="K65" s="360"/>
      <c r="L65" s="360"/>
      <c r="M65" s="173"/>
      <c r="N65" s="1"/>
    </row>
    <row r="66" spans="1:27">
      <c r="A66" s="359"/>
      <c r="B66" s="360"/>
      <c r="C66" s="360"/>
      <c r="D66" s="360"/>
      <c r="E66" s="360"/>
      <c r="F66" s="360"/>
      <c r="G66" s="360"/>
      <c r="H66" s="360"/>
      <c r="I66" s="360"/>
      <c r="J66" s="360"/>
      <c r="K66" s="360"/>
      <c r="L66" s="360"/>
      <c r="M66" s="173"/>
      <c r="N66" s="1"/>
    </row>
    <row r="67" spans="1:27">
      <c r="A67" s="359"/>
      <c r="B67" s="360"/>
      <c r="C67" s="360"/>
      <c r="D67" s="360"/>
      <c r="E67" s="360"/>
      <c r="F67" s="360"/>
      <c r="G67" s="360"/>
      <c r="H67" s="360"/>
      <c r="I67" s="360"/>
      <c r="J67" s="360"/>
      <c r="K67" s="360"/>
      <c r="L67" s="360"/>
      <c r="M67" s="173"/>
      <c r="N67" s="1"/>
    </row>
    <row r="68" spans="1:27">
      <c r="A68" s="359"/>
      <c r="B68" s="159"/>
      <c r="C68" s="159"/>
      <c r="D68" s="159"/>
      <c r="E68" s="159"/>
      <c r="F68" s="159"/>
      <c r="G68" s="159"/>
      <c r="H68" s="159"/>
      <c r="I68" s="159"/>
      <c r="J68" s="159"/>
      <c r="K68" s="159"/>
      <c r="L68" s="159"/>
      <c r="M68" s="173"/>
      <c r="N68" s="1"/>
    </row>
    <row r="69" spans="1:27">
      <c r="A69" s="163"/>
      <c r="B69" s="163"/>
      <c r="C69" s="163"/>
      <c r="D69" s="163"/>
      <c r="E69" s="163"/>
      <c r="F69" s="163"/>
      <c r="G69" s="163"/>
      <c r="H69" s="163"/>
      <c r="I69" s="163"/>
      <c r="J69" s="163"/>
      <c r="K69" s="163"/>
      <c r="L69" s="163"/>
      <c r="M69" s="173"/>
      <c r="N69" s="1"/>
    </row>
    <row r="70" spans="1:27">
      <c r="A70" s="363"/>
      <c r="B70" s="358"/>
      <c r="C70" s="237"/>
      <c r="D70" s="237"/>
      <c r="E70" s="237"/>
      <c r="F70" s="237"/>
      <c r="G70" s="237"/>
      <c r="H70" s="237"/>
      <c r="I70" s="237"/>
      <c r="J70" s="237"/>
      <c r="K70" s="237"/>
      <c r="L70" s="237"/>
      <c r="M70" s="173"/>
      <c r="N70" s="1"/>
    </row>
    <row r="71" spans="1:27">
      <c r="A71" s="242"/>
      <c r="B71" s="358"/>
      <c r="C71" s="237"/>
      <c r="D71" s="237"/>
      <c r="E71" s="237"/>
      <c r="F71" s="237"/>
      <c r="G71" s="237"/>
      <c r="H71" s="237"/>
      <c r="I71" s="237"/>
      <c r="J71" s="237"/>
      <c r="K71" s="237"/>
      <c r="L71" s="237"/>
      <c r="M71" s="173"/>
      <c r="N71" s="1"/>
    </row>
    <row r="72" spans="1:27" s="17" customFormat="1">
      <c r="A72" s="163"/>
      <c r="B72" s="117"/>
      <c r="C72" s="117"/>
      <c r="D72" s="117"/>
      <c r="E72" s="117"/>
      <c r="F72" s="117"/>
      <c r="G72" s="117"/>
      <c r="H72" s="117"/>
      <c r="I72" s="117"/>
      <c r="J72" s="117"/>
      <c r="K72" s="117"/>
      <c r="L72" s="117"/>
      <c r="M72" s="197"/>
      <c r="N72" s="33"/>
      <c r="V72" s="81"/>
      <c r="W72" s="81"/>
      <c r="X72" s="81"/>
      <c r="Y72" s="81"/>
      <c r="Z72" s="81"/>
      <c r="AA72" s="81"/>
    </row>
    <row r="73" spans="1:27" ht="18.75">
      <c r="A73" s="364"/>
      <c r="B73" s="373"/>
      <c r="C73" s="373"/>
      <c r="D73" s="373"/>
      <c r="E73" s="373"/>
      <c r="F73" s="373"/>
      <c r="G73" s="373"/>
      <c r="H73" s="373"/>
      <c r="I73" s="373"/>
      <c r="J73" s="373"/>
      <c r="K73" s="373"/>
      <c r="L73" s="373"/>
      <c r="M73" s="173"/>
      <c r="N73" s="1"/>
    </row>
    <row r="74" spans="1:27">
      <c r="A74" s="165"/>
      <c r="B74" s="365"/>
      <c r="C74" s="365"/>
      <c r="D74" s="365"/>
      <c r="E74" s="365"/>
      <c r="F74" s="365"/>
      <c r="G74" s="365"/>
      <c r="H74" s="365"/>
      <c r="I74" s="365"/>
      <c r="J74" s="365"/>
      <c r="K74" s="365"/>
      <c r="L74" s="365"/>
      <c r="M74" s="173"/>
      <c r="N74" s="1"/>
    </row>
    <row r="75" spans="1:27">
      <c r="A75" s="163"/>
      <c r="B75" s="117"/>
      <c r="C75" s="117"/>
      <c r="D75" s="117"/>
      <c r="E75" s="117"/>
      <c r="F75" s="117"/>
      <c r="G75" s="117"/>
      <c r="H75" s="117"/>
      <c r="I75" s="117"/>
      <c r="J75" s="117"/>
      <c r="K75" s="117"/>
      <c r="L75" s="117"/>
      <c r="M75" s="173"/>
      <c r="N75" s="1"/>
    </row>
    <row r="76" spans="1:27">
      <c r="A76" s="163"/>
      <c r="B76" s="117"/>
      <c r="C76" s="117"/>
      <c r="D76" s="117"/>
      <c r="E76" s="117"/>
      <c r="F76" s="117"/>
      <c r="G76" s="117"/>
      <c r="H76" s="117"/>
      <c r="I76" s="117"/>
      <c r="J76" s="117"/>
      <c r="K76" s="117"/>
      <c r="L76" s="117"/>
      <c r="M76" s="173"/>
      <c r="N76" s="1"/>
    </row>
    <row r="77" spans="1:27">
      <c r="A77" s="359"/>
      <c r="B77" s="117"/>
      <c r="C77" s="117"/>
      <c r="D77" s="117"/>
      <c r="E77" s="117"/>
      <c r="F77" s="117"/>
      <c r="G77" s="117"/>
      <c r="H77" s="117"/>
      <c r="I77" s="117"/>
      <c r="J77" s="117"/>
      <c r="K77" s="117"/>
      <c r="L77" s="117"/>
      <c r="M77" s="173"/>
      <c r="N77" s="1"/>
    </row>
    <row r="78" spans="1:27">
      <c r="A78" s="359"/>
      <c r="B78" s="117"/>
      <c r="C78" s="117"/>
      <c r="D78" s="117"/>
      <c r="E78" s="117"/>
      <c r="F78" s="117"/>
      <c r="G78" s="117"/>
      <c r="H78" s="117"/>
      <c r="I78" s="117"/>
      <c r="J78" s="117"/>
      <c r="K78" s="117"/>
      <c r="L78" s="117"/>
      <c r="M78" s="173"/>
      <c r="N78" s="1"/>
    </row>
    <row r="79" spans="1:27">
      <c r="A79" s="359"/>
      <c r="B79" s="117"/>
      <c r="C79" s="117"/>
      <c r="D79" s="117"/>
      <c r="E79" s="117"/>
      <c r="F79" s="117"/>
      <c r="G79" s="117"/>
      <c r="H79" s="117"/>
      <c r="I79" s="117"/>
      <c r="J79" s="117"/>
      <c r="K79" s="117"/>
      <c r="L79" s="117"/>
      <c r="M79" s="173"/>
      <c r="N79" s="1"/>
    </row>
    <row r="80" spans="1:27">
      <c r="A80" s="359"/>
      <c r="B80" s="117"/>
      <c r="C80" s="117"/>
      <c r="D80" s="117"/>
      <c r="E80" s="117"/>
      <c r="F80" s="117"/>
      <c r="G80" s="117"/>
      <c r="H80" s="117"/>
      <c r="I80" s="117"/>
      <c r="J80" s="117"/>
      <c r="K80" s="117"/>
      <c r="L80" s="117"/>
      <c r="M80" s="173"/>
      <c r="N80" s="1"/>
    </row>
    <row r="81" spans="1:14">
      <c r="A81" s="357"/>
      <c r="B81" s="117"/>
      <c r="C81" s="117"/>
      <c r="D81" s="117"/>
      <c r="E81" s="117"/>
      <c r="F81" s="117"/>
      <c r="G81" s="117"/>
      <c r="H81" s="117"/>
      <c r="I81" s="117"/>
      <c r="J81" s="117"/>
      <c r="K81" s="117"/>
      <c r="L81" s="117"/>
      <c r="M81" s="173"/>
      <c r="N81" s="1"/>
    </row>
    <row r="82" spans="1:14">
      <c r="A82" s="163"/>
      <c r="B82" s="117"/>
      <c r="C82" s="117"/>
      <c r="D82" s="117"/>
      <c r="E82" s="117"/>
      <c r="F82" s="117"/>
      <c r="G82" s="117"/>
      <c r="H82" s="117"/>
      <c r="I82" s="117"/>
      <c r="J82" s="117"/>
      <c r="K82" s="117"/>
      <c r="L82" s="117"/>
      <c r="M82" s="173"/>
      <c r="N82" s="1"/>
    </row>
    <row r="83" spans="1:14">
      <c r="A83" s="163"/>
      <c r="B83" s="373"/>
      <c r="C83" s="373"/>
      <c r="D83" s="373"/>
      <c r="E83" s="373"/>
      <c r="F83" s="373"/>
      <c r="G83" s="373"/>
      <c r="H83" s="373"/>
      <c r="I83" s="373"/>
      <c r="J83" s="373"/>
      <c r="K83" s="373"/>
      <c r="L83" s="373"/>
      <c r="M83" s="173"/>
      <c r="N83" s="1"/>
    </row>
    <row r="84" spans="1:14">
      <c r="A84" s="163"/>
      <c r="B84" s="159"/>
      <c r="C84" s="159"/>
      <c r="D84" s="159"/>
      <c r="E84" s="159"/>
      <c r="F84" s="159"/>
      <c r="G84" s="159"/>
      <c r="H84" s="159"/>
      <c r="I84" s="159"/>
      <c r="J84" s="159"/>
      <c r="K84" s="159"/>
      <c r="L84" s="159"/>
      <c r="M84" s="173"/>
      <c r="N84" s="1"/>
    </row>
    <row r="85" spans="1:14">
      <c r="A85" s="163"/>
      <c r="B85" s="117"/>
      <c r="C85" s="117"/>
      <c r="D85" s="117"/>
      <c r="E85" s="117"/>
      <c r="F85" s="117"/>
      <c r="G85" s="117"/>
      <c r="H85" s="117"/>
      <c r="I85" s="117"/>
      <c r="J85" s="117"/>
      <c r="K85" s="117"/>
      <c r="L85" s="117"/>
      <c r="M85" s="27"/>
      <c r="N85" s="1"/>
    </row>
    <row r="86" spans="1:14">
      <c r="A86" s="163"/>
      <c r="B86" s="117"/>
      <c r="C86" s="117"/>
      <c r="D86" s="117"/>
      <c r="E86" s="117"/>
      <c r="F86" s="117"/>
      <c r="G86" s="117"/>
      <c r="H86" s="117"/>
      <c r="I86" s="117"/>
      <c r="J86" s="117"/>
      <c r="K86" s="117"/>
      <c r="L86" s="117"/>
      <c r="M86" s="27"/>
      <c r="N86" s="1"/>
    </row>
    <row r="87" spans="1:14">
      <c r="A87" s="163"/>
      <c r="B87" s="117"/>
      <c r="C87" s="117"/>
      <c r="D87" s="117"/>
      <c r="E87" s="117"/>
      <c r="F87" s="117"/>
      <c r="G87" s="117"/>
      <c r="H87" s="117"/>
      <c r="I87" s="117"/>
      <c r="J87" s="117"/>
      <c r="K87" s="117"/>
      <c r="L87" s="117"/>
      <c r="M87" s="27"/>
      <c r="N87" s="1"/>
    </row>
    <row r="88" spans="1:14">
      <c r="A88" s="163"/>
      <c r="B88" s="117"/>
      <c r="C88" s="117"/>
      <c r="D88" s="117"/>
      <c r="E88" s="117"/>
      <c r="F88" s="117"/>
      <c r="G88" s="117"/>
      <c r="H88" s="117"/>
      <c r="I88" s="117"/>
      <c r="J88" s="117"/>
      <c r="K88" s="117"/>
      <c r="L88" s="117"/>
      <c r="M88" s="27"/>
      <c r="N88" s="1"/>
    </row>
    <row r="89" spans="1:14">
      <c r="A89" s="163"/>
      <c r="B89" s="117"/>
      <c r="C89" s="117"/>
      <c r="D89" s="117"/>
      <c r="E89" s="117"/>
      <c r="F89" s="117"/>
      <c r="G89" s="117"/>
      <c r="H89" s="117"/>
      <c r="I89" s="117"/>
      <c r="J89" s="117"/>
      <c r="K89" s="117"/>
      <c r="L89" s="117"/>
      <c r="M89" s="27"/>
      <c r="N89" s="1"/>
    </row>
    <row r="90" spans="1:14">
      <c r="A90" s="163"/>
      <c r="B90" s="117"/>
      <c r="C90" s="117"/>
      <c r="D90" s="117"/>
      <c r="E90" s="117"/>
      <c r="F90" s="117"/>
      <c r="G90" s="117"/>
      <c r="H90" s="117"/>
      <c r="I90" s="117"/>
      <c r="J90" s="117"/>
      <c r="K90" s="117"/>
      <c r="L90" s="117"/>
      <c r="M90" s="27"/>
      <c r="N90" s="1"/>
    </row>
    <row r="91" spans="1:14">
      <c r="A91" s="163"/>
      <c r="B91" s="117"/>
      <c r="C91" s="117"/>
      <c r="D91" s="117"/>
      <c r="E91" s="117"/>
      <c r="F91" s="117"/>
      <c r="G91" s="117"/>
      <c r="H91" s="117"/>
      <c r="I91" s="117"/>
      <c r="J91" s="117"/>
      <c r="K91" s="117"/>
      <c r="L91" s="117"/>
      <c r="M91" s="27"/>
      <c r="N91" s="1"/>
    </row>
    <row r="92" spans="1:14">
      <c r="A92" s="163"/>
      <c r="B92" s="117"/>
      <c r="C92" s="117"/>
      <c r="D92" s="117"/>
      <c r="E92" s="117"/>
      <c r="F92" s="117"/>
      <c r="G92" s="117"/>
      <c r="H92" s="117"/>
      <c r="I92" s="117"/>
      <c r="J92" s="117"/>
      <c r="K92" s="117"/>
      <c r="L92" s="117"/>
      <c r="M92" s="27"/>
      <c r="N92" s="1"/>
    </row>
    <row r="93" spans="1:14">
      <c r="A93" s="163"/>
      <c r="B93" s="117"/>
      <c r="C93" s="117"/>
      <c r="D93" s="117"/>
      <c r="E93" s="117"/>
      <c r="F93" s="117"/>
      <c r="G93" s="117"/>
      <c r="H93" s="117"/>
      <c r="I93" s="117"/>
      <c r="J93" s="117"/>
      <c r="K93" s="117"/>
      <c r="L93" s="117"/>
      <c r="M93" s="27"/>
      <c r="N93" s="1"/>
    </row>
    <row r="94" spans="1:14">
      <c r="A94" s="163"/>
      <c r="B94" s="117"/>
      <c r="C94" s="117"/>
      <c r="D94" s="117"/>
      <c r="E94" s="117"/>
      <c r="F94" s="117"/>
      <c r="G94" s="117"/>
      <c r="H94" s="117"/>
      <c r="I94" s="117"/>
      <c r="J94" s="117"/>
      <c r="K94" s="117"/>
      <c r="L94" s="117"/>
      <c r="M94" s="27"/>
      <c r="N94" s="1"/>
    </row>
    <row r="95" spans="1:14">
      <c r="A95" s="163"/>
      <c r="B95" s="117"/>
      <c r="C95" s="117"/>
      <c r="D95" s="117"/>
      <c r="E95" s="117"/>
      <c r="F95" s="117"/>
      <c r="G95" s="117"/>
      <c r="H95" s="117"/>
      <c r="I95" s="117"/>
      <c r="J95" s="117"/>
      <c r="K95" s="117"/>
      <c r="L95" s="117"/>
      <c r="M95" s="27"/>
      <c r="N95" s="1"/>
    </row>
    <row r="96" spans="1:14">
      <c r="A96" s="163"/>
      <c r="B96" s="117"/>
      <c r="C96" s="117"/>
      <c r="D96" s="117"/>
      <c r="E96" s="117"/>
      <c r="F96" s="117"/>
      <c r="G96" s="117"/>
      <c r="H96" s="117"/>
      <c r="I96" s="117"/>
      <c r="J96" s="117"/>
      <c r="K96" s="117"/>
      <c r="L96" s="117"/>
      <c r="M96" s="27"/>
      <c r="N96" s="1"/>
    </row>
    <row r="97" spans="1:14">
      <c r="A97" s="163"/>
      <c r="B97" s="117"/>
      <c r="C97" s="117"/>
      <c r="D97" s="117"/>
      <c r="E97" s="117"/>
      <c r="F97" s="117"/>
      <c r="G97" s="117"/>
      <c r="H97" s="117"/>
      <c r="I97" s="117"/>
      <c r="J97" s="117"/>
      <c r="K97" s="117"/>
      <c r="L97" s="117"/>
      <c r="M97" s="27"/>
      <c r="N97" s="1"/>
    </row>
    <row r="98" spans="1:14">
      <c r="A98" s="163"/>
      <c r="B98" s="163"/>
      <c r="C98" s="163"/>
      <c r="D98" s="163"/>
      <c r="E98" s="163"/>
      <c r="F98" s="163"/>
      <c r="G98" s="163"/>
      <c r="H98" s="163"/>
      <c r="I98" s="163"/>
      <c r="J98" s="163"/>
      <c r="K98" s="163"/>
      <c r="L98" s="163"/>
      <c r="M98" s="27"/>
      <c r="N98" s="1"/>
    </row>
    <row r="99" spans="1:14">
      <c r="A99" s="163"/>
      <c r="B99" s="163"/>
      <c r="C99" s="163"/>
      <c r="D99" s="163"/>
      <c r="E99" s="163"/>
      <c r="F99" s="163"/>
      <c r="G99" s="163"/>
      <c r="H99" s="163"/>
      <c r="I99" s="163"/>
      <c r="J99" s="163"/>
      <c r="K99" s="163"/>
      <c r="L99" s="163"/>
      <c r="M99" s="27"/>
      <c r="N99" s="1"/>
    </row>
    <row r="100" spans="1:14">
      <c r="A100" s="163"/>
      <c r="B100" s="117"/>
      <c r="C100" s="117"/>
      <c r="D100" s="117"/>
      <c r="E100" s="117"/>
      <c r="F100" s="117"/>
      <c r="G100" s="117"/>
      <c r="H100" s="117"/>
      <c r="I100" s="117"/>
      <c r="J100" s="117"/>
      <c r="K100" s="117"/>
      <c r="L100" s="117"/>
      <c r="M100" s="27"/>
      <c r="N100" s="1"/>
    </row>
    <row r="101" spans="1:14">
      <c r="A101" s="163"/>
      <c r="B101" s="117"/>
      <c r="C101" s="117"/>
      <c r="D101" s="117"/>
      <c r="E101" s="117"/>
      <c r="F101" s="117"/>
      <c r="G101" s="117"/>
      <c r="H101" s="117"/>
      <c r="I101" s="117"/>
      <c r="J101" s="117"/>
      <c r="K101" s="117"/>
      <c r="L101" s="117"/>
      <c r="M101" s="27"/>
      <c r="N101" s="1"/>
    </row>
    <row r="102" spans="1:14">
      <c r="A102" s="163"/>
      <c r="B102" s="117"/>
      <c r="C102" s="117"/>
      <c r="D102" s="117"/>
      <c r="E102" s="117"/>
      <c r="F102" s="117"/>
      <c r="G102" s="117"/>
      <c r="H102" s="117"/>
      <c r="I102" s="117"/>
      <c r="J102" s="117"/>
      <c r="K102" s="117"/>
      <c r="L102" s="117"/>
      <c r="M102" s="27"/>
      <c r="N102" s="1"/>
    </row>
    <row r="103" spans="1:14">
      <c r="A103" s="163"/>
      <c r="B103" s="117"/>
      <c r="C103" s="117"/>
      <c r="D103" s="117"/>
      <c r="E103" s="117"/>
      <c r="F103" s="117"/>
      <c r="G103" s="117"/>
      <c r="H103" s="117"/>
      <c r="I103" s="117"/>
      <c r="J103" s="117"/>
      <c r="K103" s="117"/>
      <c r="L103" s="117"/>
      <c r="M103" s="27"/>
      <c r="N103" s="1"/>
    </row>
    <row r="104" spans="1:14">
      <c r="A104" s="163"/>
      <c r="B104" s="117"/>
      <c r="C104" s="117"/>
      <c r="D104" s="117"/>
      <c r="E104" s="117"/>
      <c r="F104" s="117"/>
      <c r="G104" s="117"/>
      <c r="H104" s="117"/>
      <c r="I104" s="117"/>
      <c r="J104" s="117"/>
      <c r="K104" s="117"/>
      <c r="L104" s="117"/>
      <c r="M104" s="27"/>
      <c r="N104" s="1"/>
    </row>
    <row r="105" spans="1:14">
      <c r="A105" s="163"/>
      <c r="B105" s="117"/>
      <c r="C105" s="117"/>
      <c r="D105" s="117"/>
      <c r="E105" s="117"/>
      <c r="F105" s="117"/>
      <c r="G105" s="117"/>
      <c r="H105" s="117"/>
      <c r="I105" s="117"/>
      <c r="J105" s="117"/>
      <c r="K105" s="117"/>
      <c r="L105" s="117"/>
      <c r="M105" s="27"/>
      <c r="N105" s="1"/>
    </row>
    <row r="106" spans="1:14">
      <c r="A106" s="163"/>
      <c r="B106" s="117"/>
      <c r="C106" s="117"/>
      <c r="D106" s="117"/>
      <c r="E106" s="117"/>
      <c r="F106" s="117"/>
      <c r="G106" s="117"/>
      <c r="H106" s="117"/>
      <c r="I106" s="117"/>
      <c r="J106" s="117"/>
      <c r="K106" s="117"/>
      <c r="L106" s="117"/>
      <c r="M106" s="27"/>
      <c r="N106" s="1"/>
    </row>
    <row r="107" spans="1:14">
      <c r="A107" s="163"/>
      <c r="B107" s="117"/>
      <c r="C107" s="117"/>
      <c r="D107" s="117"/>
      <c r="E107" s="117"/>
      <c r="F107" s="117"/>
      <c r="G107" s="117"/>
      <c r="H107" s="117"/>
      <c r="I107" s="117"/>
      <c r="J107" s="117"/>
      <c r="K107" s="117"/>
      <c r="L107" s="117"/>
      <c r="M107" s="27"/>
      <c r="N107" s="1"/>
    </row>
    <row r="108" spans="1:14">
      <c r="A108" s="163"/>
      <c r="B108" s="117"/>
      <c r="C108" s="117"/>
      <c r="D108" s="117"/>
      <c r="E108" s="117"/>
      <c r="F108" s="117"/>
      <c r="G108" s="117"/>
      <c r="H108" s="117"/>
      <c r="I108" s="117"/>
      <c r="J108" s="117"/>
      <c r="K108" s="117"/>
      <c r="L108" s="117"/>
      <c r="M108" s="27"/>
      <c r="N108" s="1"/>
    </row>
    <row r="109" spans="1:14">
      <c r="A109" s="163"/>
      <c r="B109" s="117"/>
      <c r="C109" s="117"/>
      <c r="D109" s="117"/>
      <c r="E109" s="117"/>
      <c r="F109" s="117"/>
      <c r="G109" s="117"/>
      <c r="H109" s="117"/>
      <c r="I109" s="117"/>
      <c r="J109" s="117"/>
      <c r="K109" s="117"/>
      <c r="L109" s="117"/>
      <c r="M109" s="27"/>
      <c r="N109" s="1"/>
    </row>
    <row r="110" spans="1:14">
      <c r="A110" s="163"/>
      <c r="B110" s="117"/>
      <c r="C110" s="117"/>
      <c r="D110" s="117"/>
      <c r="E110" s="117"/>
      <c r="F110" s="117"/>
      <c r="G110" s="117"/>
      <c r="H110" s="117"/>
      <c r="I110" s="117"/>
      <c r="J110" s="117"/>
      <c r="K110" s="117"/>
      <c r="L110" s="117"/>
      <c r="M110" s="27"/>
      <c r="N110" s="1"/>
    </row>
    <row r="111" spans="1:14">
      <c r="A111" s="163"/>
      <c r="B111" s="117"/>
      <c r="C111" s="117"/>
      <c r="D111" s="117"/>
      <c r="E111" s="117"/>
      <c r="F111" s="117"/>
      <c r="G111" s="117"/>
      <c r="H111" s="117"/>
      <c r="I111" s="117"/>
      <c r="J111" s="117"/>
      <c r="K111" s="117"/>
      <c r="L111" s="117"/>
      <c r="M111" s="27"/>
      <c r="N111" s="1"/>
    </row>
    <row r="112" spans="1:14">
      <c r="A112" s="163"/>
      <c r="B112" s="117"/>
      <c r="C112" s="117"/>
      <c r="D112" s="117"/>
      <c r="E112" s="117"/>
      <c r="F112" s="117"/>
      <c r="G112" s="117"/>
      <c r="H112" s="117"/>
      <c r="I112" s="117"/>
      <c r="J112" s="117"/>
      <c r="K112" s="117"/>
      <c r="L112" s="117"/>
      <c r="M112" s="27"/>
      <c r="N112" s="1"/>
    </row>
    <row r="113" spans="1:14">
      <c r="A113" s="163"/>
      <c r="B113" s="117"/>
      <c r="C113" s="117"/>
      <c r="D113" s="117"/>
      <c r="E113" s="117"/>
      <c r="F113" s="117"/>
      <c r="G113" s="117"/>
      <c r="H113" s="117"/>
      <c r="I113" s="117"/>
      <c r="J113" s="117"/>
      <c r="K113" s="117"/>
      <c r="L113" s="117"/>
      <c r="M113" s="27"/>
      <c r="N113" s="1"/>
    </row>
    <row r="114" spans="1:14">
      <c r="A114" s="163"/>
      <c r="B114" s="117"/>
      <c r="C114" s="117"/>
      <c r="D114" s="117"/>
      <c r="E114" s="117"/>
      <c r="F114" s="117"/>
      <c r="G114" s="117"/>
      <c r="H114" s="117"/>
      <c r="I114" s="117"/>
      <c r="J114" s="117"/>
      <c r="K114" s="117"/>
      <c r="L114" s="117"/>
      <c r="M114" s="27"/>
      <c r="N114" s="1"/>
    </row>
    <row r="115" spans="1:14">
      <c r="A115" s="163"/>
      <c r="B115" s="117"/>
      <c r="C115" s="117"/>
      <c r="D115" s="117"/>
      <c r="E115" s="117"/>
      <c r="F115" s="117"/>
      <c r="G115" s="117"/>
      <c r="H115" s="117"/>
      <c r="I115" s="117"/>
      <c r="J115" s="117"/>
      <c r="K115" s="117"/>
      <c r="L115" s="117"/>
      <c r="M115" s="27"/>
      <c r="N115" s="1"/>
    </row>
    <row r="116" spans="1:14">
      <c r="A116" s="163"/>
      <c r="B116" s="117"/>
      <c r="C116" s="117"/>
      <c r="D116" s="117"/>
      <c r="E116" s="117"/>
      <c r="F116" s="117"/>
      <c r="G116" s="117"/>
      <c r="H116" s="117"/>
      <c r="I116" s="117"/>
      <c r="J116" s="117"/>
      <c r="K116" s="117"/>
      <c r="L116" s="117"/>
      <c r="M116" s="27"/>
      <c r="N116" s="1"/>
    </row>
    <row r="117" spans="1:14">
      <c r="A117" s="163"/>
      <c r="B117" s="117"/>
      <c r="C117" s="117"/>
      <c r="D117" s="117"/>
      <c r="E117" s="117"/>
      <c r="F117" s="117"/>
      <c r="G117" s="117"/>
      <c r="H117" s="117"/>
      <c r="I117" s="117"/>
      <c r="J117" s="117"/>
      <c r="K117" s="117"/>
      <c r="L117" s="117"/>
      <c r="M117" s="27"/>
      <c r="N117" s="1"/>
    </row>
    <row r="118" spans="1:14">
      <c r="A118" s="163"/>
      <c r="B118" s="117"/>
      <c r="C118" s="117"/>
      <c r="D118" s="117"/>
      <c r="E118" s="117"/>
      <c r="F118" s="117"/>
      <c r="G118" s="117"/>
      <c r="H118" s="117"/>
      <c r="I118" s="117"/>
      <c r="J118" s="117"/>
      <c r="K118" s="117"/>
      <c r="L118" s="117"/>
      <c r="M118" s="27"/>
      <c r="N118" s="1"/>
    </row>
    <row r="119" spans="1:14">
      <c r="A119" s="163"/>
      <c r="B119" s="117"/>
      <c r="C119" s="117"/>
      <c r="D119" s="117"/>
      <c r="E119" s="117"/>
      <c r="F119" s="117"/>
      <c r="G119" s="117"/>
      <c r="H119" s="117"/>
      <c r="I119" s="117"/>
      <c r="J119" s="117"/>
      <c r="K119" s="117"/>
      <c r="L119" s="117"/>
      <c r="M119" s="27"/>
      <c r="N119" s="1"/>
    </row>
    <row r="120" spans="1:14">
      <c r="A120" s="163"/>
      <c r="B120" s="117"/>
      <c r="C120" s="117"/>
      <c r="D120" s="117"/>
      <c r="E120" s="117"/>
      <c r="F120" s="117"/>
      <c r="G120" s="117"/>
      <c r="H120" s="117"/>
      <c r="I120" s="117"/>
      <c r="J120" s="117"/>
      <c r="K120" s="117"/>
      <c r="L120" s="117"/>
      <c r="M120" s="27"/>
      <c r="N120" s="1"/>
    </row>
    <row r="121" spans="1:14">
      <c r="A121" s="163"/>
      <c r="B121" s="117"/>
      <c r="C121" s="117"/>
      <c r="D121" s="117"/>
      <c r="E121" s="117"/>
      <c r="F121" s="117"/>
      <c r="G121" s="117"/>
      <c r="H121" s="117"/>
      <c r="I121" s="117"/>
      <c r="J121" s="117"/>
      <c r="K121" s="117"/>
      <c r="L121" s="117"/>
      <c r="M121" s="27"/>
      <c r="N121" s="1"/>
    </row>
    <row r="122" spans="1:14">
      <c r="A122" s="163"/>
      <c r="B122" s="117"/>
      <c r="C122" s="117"/>
      <c r="D122" s="117"/>
      <c r="E122" s="117"/>
      <c r="F122" s="117"/>
      <c r="G122" s="117"/>
      <c r="H122" s="117"/>
      <c r="I122" s="117"/>
      <c r="J122" s="117"/>
      <c r="K122" s="117"/>
      <c r="L122" s="117"/>
      <c r="M122" s="27"/>
      <c r="N122" s="1"/>
    </row>
    <row r="123" spans="1:14">
      <c r="A123" s="163"/>
      <c r="B123" s="117"/>
      <c r="C123" s="117"/>
      <c r="D123" s="117"/>
      <c r="E123" s="117"/>
      <c r="F123" s="117"/>
      <c r="G123" s="117"/>
      <c r="H123" s="117"/>
      <c r="I123" s="117"/>
      <c r="J123" s="117"/>
      <c r="K123" s="117"/>
      <c r="L123" s="117"/>
      <c r="M123" s="27"/>
      <c r="N123" s="1"/>
    </row>
    <row r="124" spans="1:14">
      <c r="A124" s="163"/>
      <c r="B124" s="117"/>
      <c r="C124" s="117"/>
      <c r="D124" s="117"/>
      <c r="E124" s="117"/>
      <c r="F124" s="117"/>
      <c r="G124" s="117"/>
      <c r="H124" s="117"/>
      <c r="I124" s="117"/>
      <c r="J124" s="117"/>
      <c r="K124" s="117"/>
      <c r="L124" s="117"/>
      <c r="M124" s="27"/>
      <c r="N124" s="1"/>
    </row>
    <row r="125" spans="1:14">
      <c r="A125" s="163"/>
      <c r="B125" s="117"/>
      <c r="C125" s="117"/>
      <c r="D125" s="117"/>
      <c r="E125" s="117"/>
      <c r="F125" s="117"/>
      <c r="G125" s="117"/>
      <c r="H125" s="117"/>
      <c r="I125" s="117"/>
      <c r="J125" s="117"/>
      <c r="K125" s="117"/>
      <c r="L125" s="117"/>
      <c r="M125" s="27"/>
      <c r="N125" s="1"/>
    </row>
    <row r="126" spans="1:14">
      <c r="A126" s="163"/>
      <c r="B126" s="117"/>
      <c r="C126" s="117"/>
      <c r="D126" s="117"/>
      <c r="E126" s="117"/>
      <c r="F126" s="117"/>
      <c r="G126" s="117"/>
      <c r="H126" s="117"/>
      <c r="I126" s="117"/>
      <c r="J126" s="117"/>
      <c r="K126" s="117"/>
      <c r="L126" s="117"/>
      <c r="M126" s="27"/>
      <c r="N126" s="1"/>
    </row>
    <row r="127" spans="1:14">
      <c r="A127" s="163"/>
      <c r="B127" s="117"/>
      <c r="C127" s="117"/>
      <c r="D127" s="117"/>
      <c r="E127" s="117"/>
      <c r="F127" s="117"/>
      <c r="G127" s="117"/>
      <c r="H127" s="117"/>
      <c r="I127" s="117"/>
      <c r="J127" s="117"/>
      <c r="K127" s="117"/>
      <c r="L127" s="117"/>
      <c r="M127" s="27"/>
      <c r="N127" s="1"/>
    </row>
    <row r="128" spans="1:14">
      <c r="A128" s="163"/>
      <c r="B128" s="117"/>
      <c r="C128" s="117"/>
      <c r="D128" s="117"/>
      <c r="E128" s="117"/>
      <c r="F128" s="117"/>
      <c r="G128" s="117"/>
      <c r="H128" s="117"/>
      <c r="I128" s="117"/>
      <c r="J128" s="117"/>
      <c r="K128" s="117"/>
      <c r="L128" s="117"/>
      <c r="M128" s="27"/>
      <c r="N128" s="1"/>
    </row>
    <row r="129" spans="1:14">
      <c r="A129" s="163"/>
      <c r="B129" s="117"/>
      <c r="C129" s="117"/>
      <c r="D129" s="117"/>
      <c r="E129" s="117"/>
      <c r="F129" s="117"/>
      <c r="G129" s="117"/>
      <c r="H129" s="117"/>
      <c r="I129" s="117"/>
      <c r="J129" s="117"/>
      <c r="K129" s="117"/>
      <c r="L129" s="117"/>
      <c r="M129" s="27"/>
      <c r="N129" s="1"/>
    </row>
    <row r="130" spans="1:14">
      <c r="A130" s="163"/>
      <c r="B130" s="117"/>
      <c r="C130" s="117"/>
      <c r="D130" s="117"/>
      <c r="E130" s="117"/>
      <c r="F130" s="117"/>
      <c r="G130" s="117"/>
      <c r="H130" s="117"/>
      <c r="I130" s="117"/>
      <c r="J130" s="117"/>
      <c r="K130" s="117"/>
      <c r="L130" s="117"/>
      <c r="M130" s="27"/>
      <c r="N130" s="1"/>
    </row>
    <row r="131" spans="1:14">
      <c r="A131" s="163"/>
      <c r="B131" s="117"/>
      <c r="C131" s="117"/>
      <c r="D131" s="117"/>
      <c r="E131" s="117"/>
      <c r="F131" s="117"/>
      <c r="G131" s="117"/>
      <c r="H131" s="117"/>
      <c r="I131" s="117"/>
      <c r="J131" s="117"/>
      <c r="K131" s="117"/>
      <c r="L131" s="117"/>
      <c r="M131" s="27"/>
      <c r="N131" s="1"/>
    </row>
    <row r="132" spans="1:14">
      <c r="A132" s="163"/>
      <c r="B132" s="117"/>
      <c r="C132" s="117"/>
      <c r="D132" s="117"/>
      <c r="E132" s="117"/>
      <c r="F132" s="117"/>
      <c r="G132" s="117"/>
      <c r="H132" s="117"/>
      <c r="I132" s="117"/>
      <c r="J132" s="117"/>
      <c r="K132" s="117"/>
      <c r="L132" s="117"/>
      <c r="M132" s="27"/>
      <c r="N132" s="1"/>
    </row>
    <row r="133" spans="1:14">
      <c r="A133" s="163"/>
      <c r="B133" s="117"/>
      <c r="C133" s="117"/>
      <c r="D133" s="117"/>
      <c r="E133" s="117"/>
      <c r="F133" s="117"/>
      <c r="G133" s="117"/>
      <c r="H133" s="117"/>
      <c r="I133" s="117"/>
      <c r="J133" s="117"/>
      <c r="K133" s="117"/>
      <c r="L133" s="117"/>
      <c r="M133" s="27"/>
      <c r="N133" s="1"/>
    </row>
    <row r="134" spans="1:14">
      <c r="A134" s="163"/>
      <c r="B134" s="117"/>
      <c r="C134" s="117"/>
      <c r="D134" s="117"/>
      <c r="E134" s="117"/>
      <c r="F134" s="117"/>
      <c r="G134" s="117"/>
      <c r="H134" s="117"/>
      <c r="I134" s="117"/>
      <c r="J134" s="117"/>
      <c r="K134" s="117"/>
      <c r="L134" s="117"/>
      <c r="M134" s="27"/>
      <c r="N134" s="1"/>
    </row>
    <row r="135" spans="1:14">
      <c r="A135" s="163"/>
      <c r="B135" s="117"/>
      <c r="C135" s="117"/>
      <c r="D135" s="117"/>
      <c r="E135" s="117"/>
      <c r="F135" s="117"/>
      <c r="G135" s="117"/>
      <c r="H135" s="117"/>
      <c r="I135" s="117"/>
      <c r="J135" s="117"/>
      <c r="K135" s="117"/>
      <c r="L135" s="117"/>
      <c r="M135" s="27"/>
      <c r="N135" s="1"/>
    </row>
    <row r="136" spans="1:14">
      <c r="A136" s="163"/>
      <c r="B136" s="117"/>
      <c r="C136" s="117"/>
      <c r="D136" s="117"/>
      <c r="E136" s="117"/>
      <c r="F136" s="117"/>
      <c r="G136" s="117"/>
      <c r="H136" s="117"/>
      <c r="I136" s="117"/>
      <c r="J136" s="117"/>
      <c r="K136" s="117"/>
      <c r="L136" s="117"/>
      <c r="M136" s="27"/>
      <c r="N136" s="1"/>
    </row>
    <row r="137" spans="1:14">
      <c r="A137" s="163"/>
      <c r="B137" s="117"/>
      <c r="C137" s="117"/>
      <c r="D137" s="117"/>
      <c r="E137" s="117"/>
      <c r="F137" s="117"/>
      <c r="G137" s="117"/>
      <c r="H137" s="117"/>
      <c r="I137" s="117"/>
      <c r="J137" s="117"/>
      <c r="K137" s="117"/>
      <c r="L137" s="117"/>
      <c r="M137" s="27"/>
      <c r="N137" s="1"/>
    </row>
    <row r="138" spans="1:14">
      <c r="A138" s="163"/>
      <c r="B138" s="117"/>
      <c r="C138" s="117"/>
      <c r="D138" s="117"/>
      <c r="E138" s="117"/>
      <c r="F138" s="117"/>
      <c r="G138" s="117"/>
      <c r="H138" s="117"/>
      <c r="I138" s="117"/>
      <c r="J138" s="117"/>
      <c r="K138" s="117"/>
      <c r="L138" s="117"/>
      <c r="M138" s="27"/>
      <c r="N138" s="1"/>
    </row>
    <row r="139" spans="1:14">
      <c r="A139" s="163"/>
      <c r="B139" s="117"/>
      <c r="C139" s="117"/>
      <c r="D139" s="117"/>
      <c r="E139" s="117"/>
      <c r="F139" s="117"/>
      <c r="G139" s="117"/>
      <c r="H139" s="117"/>
      <c r="I139" s="117"/>
      <c r="J139" s="117"/>
      <c r="K139" s="117"/>
      <c r="L139" s="117"/>
      <c r="M139" s="27"/>
      <c r="N139" s="1"/>
    </row>
    <row r="140" spans="1:14">
      <c r="A140" s="163"/>
      <c r="B140" s="117"/>
      <c r="C140" s="117"/>
      <c r="D140" s="117"/>
      <c r="E140" s="117"/>
      <c r="F140" s="117"/>
      <c r="G140" s="117"/>
      <c r="H140" s="117"/>
      <c r="I140" s="117"/>
      <c r="J140" s="117"/>
      <c r="K140" s="117"/>
      <c r="L140" s="117"/>
      <c r="M140" s="27"/>
      <c r="N140" s="1"/>
    </row>
    <row r="141" spans="1:14">
      <c r="A141" s="163"/>
      <c r="B141" s="117"/>
      <c r="C141" s="117"/>
      <c r="D141" s="117"/>
      <c r="E141" s="117"/>
      <c r="F141" s="117"/>
      <c r="G141" s="117"/>
      <c r="H141" s="117"/>
      <c r="I141" s="117"/>
      <c r="J141" s="117"/>
      <c r="K141" s="117"/>
      <c r="L141" s="117"/>
      <c r="M141" s="27"/>
      <c r="N141" s="1"/>
    </row>
    <row r="142" spans="1:14">
      <c r="A142" s="163"/>
      <c r="B142" s="117"/>
      <c r="C142" s="117"/>
      <c r="D142" s="117"/>
      <c r="E142" s="117"/>
      <c r="F142" s="117"/>
      <c r="G142" s="117"/>
      <c r="H142" s="117"/>
      <c r="I142" s="117"/>
      <c r="J142" s="117"/>
      <c r="K142" s="117"/>
      <c r="L142" s="117"/>
      <c r="M142" s="27"/>
      <c r="N142" s="1"/>
    </row>
    <row r="143" spans="1:14">
      <c r="A143" s="163"/>
      <c r="B143" s="163"/>
      <c r="C143" s="163"/>
      <c r="D143" s="163"/>
      <c r="E143" s="163"/>
      <c r="F143" s="163"/>
      <c r="G143" s="163"/>
      <c r="H143" s="163"/>
      <c r="I143" s="163"/>
      <c r="J143" s="163"/>
      <c r="K143" s="163"/>
      <c r="L143" s="163"/>
      <c r="M143" s="27"/>
      <c r="N143" s="1"/>
    </row>
    <row r="144" spans="1:14">
      <c r="A144" s="163"/>
      <c r="B144" s="163"/>
      <c r="C144" s="163"/>
      <c r="D144" s="163"/>
      <c r="E144" s="163"/>
      <c r="F144" s="163"/>
      <c r="G144" s="163"/>
      <c r="H144" s="163"/>
      <c r="I144" s="163"/>
      <c r="J144" s="163"/>
      <c r="K144" s="163"/>
      <c r="L144" s="163"/>
      <c r="M144" s="27"/>
      <c r="N144" s="1"/>
    </row>
    <row r="145" spans="1:14">
      <c r="A145" s="163"/>
      <c r="B145" s="163"/>
      <c r="C145" s="163"/>
      <c r="D145" s="163"/>
      <c r="E145" s="163"/>
      <c r="F145" s="163"/>
      <c r="G145" s="163"/>
      <c r="H145" s="163"/>
      <c r="I145" s="163"/>
      <c r="J145" s="163"/>
      <c r="K145" s="163"/>
      <c r="L145" s="163"/>
      <c r="M145" s="27"/>
      <c r="N145" s="1"/>
    </row>
    <row r="146" spans="1:14">
      <c r="A146" s="163"/>
      <c r="B146" s="163"/>
      <c r="C146" s="163"/>
      <c r="D146" s="163"/>
      <c r="E146" s="163"/>
      <c r="F146" s="163"/>
      <c r="G146" s="163"/>
      <c r="H146" s="163"/>
      <c r="I146" s="163"/>
      <c r="J146" s="163"/>
      <c r="K146" s="163"/>
      <c r="L146" s="163"/>
      <c r="M146" s="27"/>
      <c r="N146" s="1"/>
    </row>
    <row r="147" spans="1:14">
      <c r="A147" s="163"/>
      <c r="B147" s="163"/>
      <c r="C147" s="163"/>
      <c r="D147" s="163"/>
      <c r="E147" s="163"/>
      <c r="F147" s="163"/>
      <c r="G147" s="163"/>
      <c r="H147" s="163"/>
      <c r="I147" s="163"/>
      <c r="J147" s="163"/>
      <c r="K147" s="163"/>
      <c r="L147" s="163"/>
      <c r="M147" s="27"/>
      <c r="N147" s="1"/>
    </row>
    <row r="148" spans="1:14">
      <c r="A148" s="163"/>
      <c r="B148" s="163"/>
      <c r="C148" s="163"/>
      <c r="D148" s="163"/>
      <c r="E148" s="163"/>
      <c r="F148" s="163"/>
      <c r="G148" s="163"/>
      <c r="H148" s="163"/>
      <c r="I148" s="163"/>
      <c r="J148" s="163"/>
      <c r="K148" s="163"/>
      <c r="L148" s="163"/>
      <c r="M148" s="27"/>
      <c r="N148" s="1"/>
    </row>
    <row r="149" spans="1:14">
      <c r="A149" s="163"/>
      <c r="B149" s="163"/>
      <c r="C149" s="163"/>
      <c r="D149" s="163"/>
      <c r="E149" s="163"/>
      <c r="F149" s="163"/>
      <c r="G149" s="163"/>
      <c r="H149" s="163"/>
      <c r="I149" s="163"/>
      <c r="J149" s="163"/>
      <c r="K149" s="163"/>
      <c r="L149" s="163"/>
      <c r="M149" s="27"/>
      <c r="N149" s="1"/>
    </row>
    <row r="150" spans="1:14">
      <c r="A150" s="163"/>
      <c r="B150" s="163"/>
      <c r="C150" s="163"/>
      <c r="D150" s="163"/>
      <c r="E150" s="163"/>
      <c r="F150" s="163"/>
      <c r="G150" s="163"/>
      <c r="H150" s="163"/>
      <c r="I150" s="163"/>
      <c r="J150" s="163"/>
      <c r="K150" s="163"/>
      <c r="L150" s="163"/>
      <c r="M150" s="27"/>
      <c r="N150" s="1"/>
    </row>
    <row r="151" spans="1:14">
      <c r="A151" s="163"/>
      <c r="B151" s="117"/>
      <c r="C151" s="117"/>
      <c r="D151" s="117"/>
      <c r="E151" s="117"/>
      <c r="F151" s="117"/>
      <c r="G151" s="117"/>
      <c r="H151" s="117"/>
      <c r="I151" s="117"/>
      <c r="J151" s="117"/>
      <c r="K151" s="117"/>
      <c r="L151" s="117"/>
      <c r="M151" s="27"/>
      <c r="N151" s="1"/>
    </row>
    <row r="152" spans="1:14">
      <c r="A152" s="163"/>
      <c r="B152" s="117"/>
      <c r="C152" s="117"/>
      <c r="D152" s="117"/>
      <c r="E152" s="117"/>
      <c r="F152" s="117"/>
      <c r="G152" s="117"/>
      <c r="H152" s="117"/>
      <c r="I152" s="117"/>
      <c r="J152" s="117"/>
      <c r="K152" s="117"/>
      <c r="L152" s="117"/>
      <c r="M152" s="27"/>
      <c r="N152" s="1"/>
    </row>
    <row r="153" spans="1:14">
      <c r="A153" s="163"/>
      <c r="B153" s="117"/>
      <c r="C153" s="117"/>
      <c r="D153" s="117"/>
      <c r="E153" s="117"/>
      <c r="F153" s="117"/>
      <c r="G153" s="117"/>
      <c r="H153" s="117"/>
      <c r="I153" s="117"/>
      <c r="J153" s="117"/>
      <c r="K153" s="117"/>
      <c r="L153" s="117"/>
      <c r="M153" s="27"/>
      <c r="N153" s="1"/>
    </row>
    <row r="154" spans="1:14">
      <c r="A154" s="163"/>
      <c r="B154" s="117"/>
      <c r="C154" s="117"/>
      <c r="D154" s="117"/>
      <c r="E154" s="117"/>
      <c r="F154" s="117"/>
      <c r="G154" s="117"/>
      <c r="H154" s="117"/>
      <c r="I154" s="117"/>
      <c r="J154" s="117"/>
      <c r="K154" s="117"/>
      <c r="L154" s="117"/>
      <c r="M154" s="27"/>
      <c r="N154" s="1"/>
    </row>
    <row r="155" spans="1:14">
      <c r="A155" s="163"/>
      <c r="B155" s="117"/>
      <c r="C155" s="117"/>
      <c r="D155" s="117"/>
      <c r="E155" s="117"/>
      <c r="F155" s="117"/>
      <c r="G155" s="117"/>
      <c r="H155" s="117"/>
      <c r="I155" s="117"/>
      <c r="J155" s="117"/>
      <c r="K155" s="117"/>
      <c r="L155" s="117"/>
      <c r="M155" s="27"/>
      <c r="N155" s="1"/>
    </row>
    <row r="156" spans="1:14">
      <c r="A156" s="163"/>
      <c r="B156" s="117"/>
      <c r="C156" s="117"/>
      <c r="D156" s="117"/>
      <c r="E156" s="117"/>
      <c r="F156" s="117"/>
      <c r="G156" s="117"/>
      <c r="H156" s="117"/>
      <c r="I156" s="117"/>
      <c r="J156" s="117"/>
      <c r="K156" s="117"/>
      <c r="L156" s="117"/>
      <c r="M156" s="27"/>
      <c r="N156" s="1"/>
    </row>
    <row r="157" spans="1:14">
      <c r="A157" s="163"/>
      <c r="B157" s="117"/>
      <c r="C157" s="117"/>
      <c r="D157" s="117"/>
      <c r="E157" s="117"/>
      <c r="F157" s="117"/>
      <c r="G157" s="117"/>
      <c r="H157" s="117"/>
      <c r="I157" s="117"/>
      <c r="J157" s="117"/>
      <c r="K157" s="117"/>
      <c r="L157" s="117"/>
      <c r="M157" s="27"/>
      <c r="N157" s="1"/>
    </row>
    <row r="158" spans="1:14">
      <c r="A158" s="163"/>
      <c r="B158" s="117"/>
      <c r="C158" s="117"/>
      <c r="D158" s="117"/>
      <c r="E158" s="117"/>
      <c r="F158" s="117"/>
      <c r="G158" s="117"/>
      <c r="H158" s="117"/>
      <c r="I158" s="117"/>
      <c r="J158" s="117"/>
      <c r="K158" s="117"/>
      <c r="L158" s="117"/>
      <c r="M158" s="27"/>
      <c r="N158" s="1"/>
    </row>
    <row r="159" spans="1:14">
      <c r="A159" s="163"/>
      <c r="B159" s="117"/>
      <c r="C159" s="117"/>
      <c r="D159" s="117"/>
      <c r="E159" s="117"/>
      <c r="F159" s="117"/>
      <c r="G159" s="117"/>
      <c r="H159" s="117"/>
      <c r="I159" s="117"/>
      <c r="J159" s="117"/>
      <c r="K159" s="117"/>
      <c r="L159" s="117"/>
      <c r="M159" s="27"/>
      <c r="N159" s="1"/>
    </row>
    <row r="160" spans="1:14">
      <c r="A160" s="163"/>
      <c r="B160" s="117"/>
      <c r="C160" s="117"/>
      <c r="D160" s="117"/>
      <c r="E160" s="117"/>
      <c r="F160" s="117"/>
      <c r="G160" s="117"/>
      <c r="H160" s="117"/>
      <c r="I160" s="117"/>
      <c r="J160" s="117"/>
      <c r="K160" s="117"/>
      <c r="L160" s="117"/>
      <c r="M160" s="27"/>
      <c r="N160" s="1"/>
    </row>
    <row r="161" spans="1:14">
      <c r="A161" s="163"/>
      <c r="B161" s="117"/>
      <c r="C161" s="117"/>
      <c r="D161" s="117"/>
      <c r="E161" s="117"/>
      <c r="F161" s="117"/>
      <c r="G161" s="117"/>
      <c r="H161" s="117"/>
      <c r="I161" s="117"/>
      <c r="J161" s="117"/>
      <c r="K161" s="117"/>
      <c r="L161" s="117"/>
      <c r="M161" s="27"/>
      <c r="N161" s="1"/>
    </row>
    <row r="162" spans="1:14">
      <c r="A162" s="163"/>
      <c r="B162" s="117"/>
      <c r="C162" s="117"/>
      <c r="D162" s="117"/>
      <c r="E162" s="117"/>
      <c r="F162" s="117"/>
      <c r="G162" s="117"/>
      <c r="H162" s="117"/>
      <c r="I162" s="117"/>
      <c r="J162" s="117"/>
      <c r="K162" s="117"/>
      <c r="L162" s="117"/>
      <c r="M162" s="27"/>
      <c r="N162" s="1"/>
    </row>
    <row r="163" spans="1:14">
      <c r="A163" s="163"/>
      <c r="B163" s="117"/>
      <c r="C163" s="117"/>
      <c r="D163" s="117"/>
      <c r="E163" s="117"/>
      <c r="F163" s="117"/>
      <c r="G163" s="117"/>
      <c r="H163" s="117"/>
      <c r="I163" s="117"/>
      <c r="J163" s="117"/>
      <c r="K163" s="117"/>
      <c r="L163" s="117"/>
      <c r="M163" s="27"/>
      <c r="N163" s="1"/>
    </row>
    <row r="164" spans="1:14">
      <c r="A164" s="163"/>
      <c r="B164" s="117"/>
      <c r="C164" s="117"/>
      <c r="D164" s="117"/>
      <c r="E164" s="117"/>
      <c r="F164" s="117"/>
      <c r="G164" s="117"/>
      <c r="H164" s="117"/>
      <c r="I164" s="117"/>
      <c r="J164" s="117"/>
      <c r="K164" s="117"/>
      <c r="L164" s="117"/>
      <c r="M164" s="27"/>
      <c r="N164" s="1"/>
    </row>
    <row r="165" spans="1:14">
      <c r="A165" s="163"/>
      <c r="B165" s="117"/>
      <c r="C165" s="117"/>
      <c r="D165" s="117"/>
      <c r="E165" s="117"/>
      <c r="F165" s="117"/>
      <c r="G165" s="117"/>
      <c r="H165" s="117"/>
      <c r="I165" s="117"/>
      <c r="J165" s="117"/>
      <c r="K165" s="117"/>
      <c r="L165" s="117"/>
      <c r="M165" s="27"/>
      <c r="N165" s="1"/>
    </row>
    <row r="166" spans="1:14">
      <c r="A166" s="163"/>
      <c r="B166" s="117"/>
      <c r="C166" s="117"/>
      <c r="D166" s="117"/>
      <c r="E166" s="117"/>
      <c r="F166" s="117"/>
      <c r="G166" s="117"/>
      <c r="H166" s="117"/>
      <c r="I166" s="117"/>
      <c r="J166" s="117"/>
      <c r="K166" s="117"/>
      <c r="L166" s="117"/>
      <c r="M166" s="27"/>
      <c r="N166" s="1"/>
    </row>
    <row r="167" spans="1:14">
      <c r="A167" s="163"/>
      <c r="B167" s="117"/>
      <c r="C167" s="117"/>
      <c r="D167" s="117"/>
      <c r="E167" s="117"/>
      <c r="F167" s="117"/>
      <c r="G167" s="117"/>
      <c r="H167" s="117"/>
      <c r="I167" s="117"/>
      <c r="J167" s="117"/>
      <c r="K167" s="117"/>
      <c r="L167" s="117"/>
      <c r="M167" s="27"/>
      <c r="N167" s="1"/>
    </row>
    <row r="168" spans="1:14">
      <c r="A168" s="163"/>
      <c r="B168" s="117"/>
      <c r="C168" s="117"/>
      <c r="D168" s="117"/>
      <c r="E168" s="117"/>
      <c r="F168" s="117"/>
      <c r="G168" s="117"/>
      <c r="H168" s="117"/>
      <c r="I168" s="117"/>
      <c r="J168" s="117"/>
      <c r="K168" s="117"/>
      <c r="L168" s="117"/>
      <c r="M168" s="27"/>
      <c r="N168" s="1"/>
    </row>
    <row r="169" spans="1:14">
      <c r="A169" s="163"/>
      <c r="B169" s="117"/>
      <c r="C169" s="117"/>
      <c r="D169" s="117"/>
      <c r="E169" s="117"/>
      <c r="F169" s="117"/>
      <c r="G169" s="117"/>
      <c r="H169" s="117"/>
      <c r="I169" s="117"/>
      <c r="J169" s="117"/>
      <c r="K169" s="117"/>
      <c r="L169" s="117"/>
      <c r="M169" s="27"/>
      <c r="N169" s="1"/>
    </row>
    <row r="170" spans="1:14">
      <c r="A170" s="163"/>
      <c r="B170" s="117"/>
      <c r="C170" s="117"/>
      <c r="D170" s="117"/>
      <c r="E170" s="117"/>
      <c r="F170" s="117"/>
      <c r="G170" s="117"/>
      <c r="H170" s="117"/>
      <c r="I170" s="117"/>
      <c r="J170" s="117"/>
      <c r="K170" s="117"/>
      <c r="L170" s="117"/>
      <c r="M170" s="27"/>
      <c r="N170" s="1"/>
    </row>
    <row r="171" spans="1:14">
      <c r="A171" s="163"/>
      <c r="B171" s="117"/>
      <c r="C171" s="117"/>
      <c r="D171" s="117"/>
      <c r="E171" s="117"/>
      <c r="F171" s="117"/>
      <c r="G171" s="117"/>
      <c r="H171" s="117"/>
      <c r="I171" s="117"/>
      <c r="J171" s="117"/>
      <c r="K171" s="117"/>
      <c r="L171" s="117"/>
      <c r="M171" s="27"/>
      <c r="N171" s="1"/>
    </row>
    <row r="172" spans="1:14">
      <c r="A172" s="163"/>
      <c r="B172" s="117"/>
      <c r="C172" s="117"/>
      <c r="D172" s="117"/>
      <c r="E172" s="117"/>
      <c r="F172" s="117"/>
      <c r="G172" s="117"/>
      <c r="H172" s="117"/>
      <c r="I172" s="117"/>
      <c r="J172" s="117"/>
      <c r="K172" s="117"/>
      <c r="L172" s="117"/>
      <c r="M172" s="27"/>
      <c r="N172" s="1"/>
    </row>
    <row r="173" spans="1:14">
      <c r="A173" s="163"/>
      <c r="B173" s="117"/>
      <c r="C173" s="117"/>
      <c r="D173" s="117"/>
      <c r="E173" s="117"/>
      <c r="F173" s="117"/>
      <c r="G173" s="117"/>
      <c r="H173" s="117"/>
      <c r="I173" s="117"/>
      <c r="J173" s="117"/>
      <c r="K173" s="117"/>
      <c r="L173" s="117"/>
      <c r="M173" s="27"/>
      <c r="N173" s="1"/>
    </row>
    <row r="174" spans="1:14">
      <c r="A174" s="163"/>
      <c r="B174" s="117"/>
      <c r="C174" s="117"/>
      <c r="D174" s="117"/>
      <c r="E174" s="117"/>
      <c r="F174" s="117"/>
      <c r="G174" s="117"/>
      <c r="H174" s="117"/>
      <c r="I174" s="117"/>
      <c r="J174" s="117"/>
      <c r="K174" s="117"/>
      <c r="L174" s="117"/>
      <c r="M174" s="27"/>
      <c r="N174" s="1"/>
    </row>
    <row r="175" spans="1:14">
      <c r="B175" s="1"/>
      <c r="C175" s="1"/>
      <c r="D175" s="1"/>
      <c r="E175" s="1"/>
      <c r="F175" s="1"/>
      <c r="G175" s="1"/>
      <c r="H175" s="1"/>
      <c r="I175" s="1"/>
      <c r="J175" s="1"/>
      <c r="K175" s="1"/>
      <c r="L175" s="1"/>
      <c r="M175" s="27"/>
      <c r="N175" s="1"/>
    </row>
    <row r="176" spans="1:14">
      <c r="B176" s="1"/>
      <c r="C176" s="1"/>
      <c r="D176" s="1"/>
      <c r="E176" s="1"/>
      <c r="F176" s="1"/>
      <c r="G176" s="1"/>
      <c r="H176" s="1"/>
      <c r="I176" s="1"/>
      <c r="J176" s="1"/>
      <c r="K176" s="1"/>
      <c r="L176" s="1"/>
      <c r="M176" s="27"/>
      <c r="N176" s="1"/>
    </row>
    <row r="177" spans="2:14">
      <c r="B177" s="1"/>
      <c r="C177" s="1"/>
      <c r="D177" s="1"/>
      <c r="E177" s="1"/>
      <c r="F177" s="1"/>
      <c r="G177" s="1"/>
      <c r="H177" s="1"/>
      <c r="I177" s="1"/>
      <c r="J177" s="1"/>
      <c r="K177" s="1"/>
      <c r="L177" s="1"/>
      <c r="M177" s="27"/>
      <c r="N177" s="1"/>
    </row>
    <row r="178" spans="2:14">
      <c r="B178" s="1"/>
      <c r="C178" s="1"/>
      <c r="D178" s="1"/>
      <c r="E178" s="1"/>
      <c r="F178" s="1"/>
      <c r="G178" s="1"/>
      <c r="H178" s="1"/>
      <c r="I178" s="1"/>
      <c r="J178" s="1"/>
      <c r="K178" s="1"/>
      <c r="L178" s="1"/>
      <c r="M178" s="27"/>
      <c r="N178" s="1"/>
    </row>
    <row r="179" spans="2:14">
      <c r="M179" s="19"/>
    </row>
    <row r="180" spans="2:14">
      <c r="M180" s="19"/>
    </row>
    <row r="181" spans="2:14">
      <c r="M181" s="19"/>
    </row>
    <row r="182" spans="2:14">
      <c r="M182" s="19"/>
    </row>
    <row r="183" spans="2:14">
      <c r="M183" s="19"/>
    </row>
    <row r="184" spans="2:14">
      <c r="M184" s="19"/>
    </row>
    <row r="185" spans="2:14">
      <c r="M185" s="19"/>
    </row>
    <row r="186" spans="2:14">
      <c r="M186" s="19"/>
    </row>
    <row r="187" spans="2:14">
      <c r="M187" s="19"/>
    </row>
    <row r="188" spans="2:14">
      <c r="M188" s="19"/>
    </row>
    <row r="189" spans="2:14">
      <c r="M189" s="19"/>
    </row>
    <row r="190" spans="2:14">
      <c r="M190" s="19"/>
    </row>
    <row r="191" spans="2:14">
      <c r="M191" s="19"/>
    </row>
    <row r="192" spans="2:14">
      <c r="M192" s="19"/>
    </row>
    <row r="193" spans="13:13">
      <c r="M193" s="19"/>
    </row>
    <row r="194" spans="13:13">
      <c r="M194" s="19"/>
    </row>
    <row r="195" spans="13:13">
      <c r="M195" s="19"/>
    </row>
    <row r="196" spans="13:13">
      <c r="M196" s="19"/>
    </row>
    <row r="197" spans="13:13">
      <c r="M197" s="19"/>
    </row>
    <row r="198" spans="13:13">
      <c r="M198" s="19"/>
    </row>
    <row r="199" spans="13:13">
      <c r="M199" s="19"/>
    </row>
    <row r="200" spans="13:13">
      <c r="M200" s="19"/>
    </row>
    <row r="201" spans="13:13">
      <c r="M201" s="19"/>
    </row>
    <row r="202" spans="13:13">
      <c r="M202" s="19"/>
    </row>
    <row r="203" spans="13:13">
      <c r="M203" s="19"/>
    </row>
    <row r="204" spans="13:13">
      <c r="M204" s="19"/>
    </row>
    <row r="205" spans="13:13">
      <c r="M205" s="19"/>
    </row>
    <row r="206" spans="13:13">
      <c r="M206" s="19"/>
    </row>
    <row r="207" spans="13:13">
      <c r="M207" s="19"/>
    </row>
    <row r="208" spans="13:13">
      <c r="M208" s="19"/>
    </row>
    <row r="209" spans="13:13">
      <c r="M209" s="19"/>
    </row>
    <row r="210" spans="13:13">
      <c r="M210" s="19"/>
    </row>
    <row r="211" spans="13:13">
      <c r="M211" s="19"/>
    </row>
    <row r="212" spans="13:13">
      <c r="M212" s="19"/>
    </row>
    <row r="213" spans="13:13">
      <c r="M213" s="19"/>
    </row>
    <row r="214" spans="13:13">
      <c r="M214" s="19"/>
    </row>
    <row r="215" spans="13:13">
      <c r="M215" s="19"/>
    </row>
    <row r="216" spans="13:13">
      <c r="M216" s="19"/>
    </row>
    <row r="217" spans="13:13">
      <c r="M217" s="19"/>
    </row>
    <row r="218" spans="13:13">
      <c r="M218" s="19"/>
    </row>
    <row r="219" spans="13:13">
      <c r="M219" s="19"/>
    </row>
    <row r="220" spans="13:13">
      <c r="M220" s="19"/>
    </row>
    <row r="221" spans="13:13">
      <c r="M221" s="19"/>
    </row>
    <row r="222" spans="13:13">
      <c r="M222" s="19"/>
    </row>
    <row r="223" spans="13:13">
      <c r="M223" s="19"/>
    </row>
    <row r="224" spans="13:13">
      <c r="M224" s="19"/>
    </row>
    <row r="225" spans="13:13">
      <c r="M225" s="19"/>
    </row>
    <row r="226" spans="13:13">
      <c r="M226" s="19"/>
    </row>
    <row r="227" spans="13:13">
      <c r="M227" s="19"/>
    </row>
    <row r="228" spans="13:13">
      <c r="M228" s="19"/>
    </row>
    <row r="229" spans="13:13">
      <c r="M229" s="19"/>
    </row>
    <row r="230" spans="13:13">
      <c r="M230" s="19"/>
    </row>
    <row r="231" spans="13:13">
      <c r="M231" s="19"/>
    </row>
    <row r="232" spans="13:13">
      <c r="M232" s="19"/>
    </row>
    <row r="233" spans="13:13">
      <c r="M233" s="19"/>
    </row>
    <row r="234" spans="13:13">
      <c r="M234" s="19"/>
    </row>
    <row r="235" spans="13:13">
      <c r="M235" s="19"/>
    </row>
    <row r="236" spans="13:13">
      <c r="M236" s="19"/>
    </row>
    <row r="237" spans="13:13">
      <c r="M237" s="19"/>
    </row>
    <row r="238" spans="13:13">
      <c r="M238" s="19"/>
    </row>
    <row r="239" spans="13:13">
      <c r="M239" s="19"/>
    </row>
    <row r="240" spans="13:13">
      <c r="M240" s="19"/>
    </row>
    <row r="241" spans="13:13">
      <c r="M241" s="19"/>
    </row>
    <row r="242" spans="13:13">
      <c r="M242" s="19"/>
    </row>
    <row r="243" spans="13:13">
      <c r="M243" s="19"/>
    </row>
    <row r="244" spans="13:13">
      <c r="M244" s="19"/>
    </row>
    <row r="245" spans="13:13">
      <c r="M245" s="19"/>
    </row>
    <row r="246" spans="13:13">
      <c r="M246" s="19"/>
    </row>
    <row r="247" spans="13:13">
      <c r="M247" s="19"/>
    </row>
    <row r="248" spans="13:13">
      <c r="M248" s="19"/>
    </row>
    <row r="249" spans="13:13">
      <c r="M249" s="19"/>
    </row>
    <row r="250" spans="13:13">
      <c r="M250" s="19"/>
    </row>
    <row r="251" spans="13:13">
      <c r="M251" s="19"/>
    </row>
    <row r="252" spans="13:13">
      <c r="M252" s="19"/>
    </row>
    <row r="253" spans="13:13">
      <c r="M253" s="19"/>
    </row>
    <row r="254" spans="13:13">
      <c r="M254" s="19"/>
    </row>
    <row r="255" spans="13:13">
      <c r="M255" s="19"/>
    </row>
    <row r="256" spans="13:13">
      <c r="M256" s="19"/>
    </row>
    <row r="257" spans="13:13">
      <c r="M257" s="19"/>
    </row>
    <row r="258" spans="13:13">
      <c r="M258" s="19"/>
    </row>
    <row r="259" spans="13:13">
      <c r="M259" s="19"/>
    </row>
    <row r="260" spans="13:13">
      <c r="M260" s="19"/>
    </row>
    <row r="261" spans="13:13">
      <c r="M261" s="19"/>
    </row>
    <row r="262" spans="13:13">
      <c r="M262" s="19"/>
    </row>
    <row r="263" spans="13:13">
      <c r="M263" s="19"/>
    </row>
    <row r="264" spans="13:13">
      <c r="M264" s="19"/>
    </row>
    <row r="265" spans="13:13">
      <c r="M265" s="19"/>
    </row>
    <row r="266" spans="13:13">
      <c r="M266" s="19"/>
    </row>
    <row r="267" spans="13:13">
      <c r="M267" s="19"/>
    </row>
    <row r="268" spans="13:13">
      <c r="M268" s="19"/>
    </row>
    <row r="269" spans="13:13">
      <c r="M269" s="19"/>
    </row>
    <row r="270" spans="13:13">
      <c r="M270" s="19"/>
    </row>
    <row r="271" spans="13:13">
      <c r="M271" s="19"/>
    </row>
    <row r="272" spans="13:13">
      <c r="M272" s="19"/>
    </row>
    <row r="273" spans="13:13">
      <c r="M273" s="19"/>
    </row>
    <row r="274" spans="13:13">
      <c r="M274" s="19"/>
    </row>
    <row r="275" spans="13:13">
      <c r="M275" s="19"/>
    </row>
    <row r="276" spans="13:13">
      <c r="M276" s="19"/>
    </row>
    <row r="277" spans="13:13">
      <c r="M277" s="19"/>
    </row>
    <row r="278" spans="13:13">
      <c r="M278" s="19"/>
    </row>
    <row r="279" spans="13:13">
      <c r="M279" s="19"/>
    </row>
    <row r="280" spans="13:13">
      <c r="M280" s="19"/>
    </row>
    <row r="281" spans="13:13">
      <c r="M281" s="19"/>
    </row>
    <row r="282" spans="13:13">
      <c r="M282" s="19"/>
    </row>
    <row r="283" spans="13:13">
      <c r="M283" s="19"/>
    </row>
    <row r="284" spans="13:13">
      <c r="M284" s="19"/>
    </row>
    <row r="285" spans="13:13">
      <c r="M285" s="19"/>
    </row>
    <row r="286" spans="13:13">
      <c r="M286" s="19"/>
    </row>
    <row r="287" spans="13:13">
      <c r="M287" s="19"/>
    </row>
    <row r="288" spans="13:13">
      <c r="M288" s="19"/>
    </row>
    <row r="289" spans="13:13">
      <c r="M289" s="19"/>
    </row>
    <row r="290" spans="13:13">
      <c r="M290" s="19"/>
    </row>
    <row r="291" spans="13:13">
      <c r="M291" s="19"/>
    </row>
    <row r="292" spans="13:13">
      <c r="M292" s="19"/>
    </row>
    <row r="293" spans="13:13">
      <c r="M293" s="19"/>
    </row>
    <row r="294" spans="13:13">
      <c r="M294" s="19"/>
    </row>
    <row r="295" spans="13:13">
      <c r="M295" s="19"/>
    </row>
    <row r="296" spans="13:13">
      <c r="M296" s="19"/>
    </row>
    <row r="297" spans="13:13">
      <c r="M297" s="19"/>
    </row>
    <row r="298" spans="13:13">
      <c r="M298" s="19"/>
    </row>
    <row r="299" spans="13:13">
      <c r="M299" s="19"/>
    </row>
    <row r="300" spans="13:13">
      <c r="M300" s="19"/>
    </row>
    <row r="301" spans="13:13">
      <c r="M301" s="19"/>
    </row>
    <row r="302" spans="13:13">
      <c r="M302" s="19"/>
    </row>
    <row r="303" spans="13:13">
      <c r="M303" s="19"/>
    </row>
    <row r="304" spans="13:13">
      <c r="M304" s="19"/>
    </row>
    <row r="305" spans="13:13">
      <c r="M305" s="19"/>
    </row>
    <row r="306" spans="13:13">
      <c r="M306" s="19"/>
    </row>
    <row r="307" spans="13:13">
      <c r="M307" s="19"/>
    </row>
    <row r="308" spans="13:13">
      <c r="M308" s="19"/>
    </row>
    <row r="309" spans="13:13">
      <c r="M309" s="19"/>
    </row>
    <row r="310" spans="13:13">
      <c r="M310" s="19"/>
    </row>
    <row r="311" spans="13:13">
      <c r="M311" s="19"/>
    </row>
    <row r="312" spans="13:13">
      <c r="M312" s="19"/>
    </row>
    <row r="313" spans="13:13">
      <c r="M313" s="19"/>
    </row>
    <row r="314" spans="13:13">
      <c r="M314" s="19"/>
    </row>
    <row r="315" spans="13:13">
      <c r="M315" s="19"/>
    </row>
    <row r="316" spans="13:13">
      <c r="M316" s="19"/>
    </row>
    <row r="317" spans="13:13">
      <c r="M317" s="19"/>
    </row>
    <row r="318" spans="13:13">
      <c r="M318" s="19"/>
    </row>
    <row r="319" spans="13:13">
      <c r="M319" s="19"/>
    </row>
    <row r="320" spans="13:13">
      <c r="M320" s="19"/>
    </row>
    <row r="321" spans="2:13">
      <c r="M321" s="19"/>
    </row>
    <row r="322" spans="2:13">
      <c r="M322" s="19"/>
    </row>
    <row r="323" spans="2:13">
      <c r="B323" s="1"/>
      <c r="C323" s="1"/>
      <c r="D323" s="1"/>
      <c r="E323" s="1"/>
      <c r="F323" s="1"/>
      <c r="G323" s="1"/>
      <c r="H323" s="1"/>
      <c r="I323" s="1"/>
      <c r="J323" s="1"/>
      <c r="K323" s="1"/>
      <c r="L323" s="1"/>
      <c r="M323" s="19"/>
    </row>
    <row r="324" spans="2:13">
      <c r="B324" s="1"/>
      <c r="C324" s="1"/>
      <c r="D324" s="1"/>
      <c r="E324" s="1"/>
      <c r="F324" s="1"/>
      <c r="G324" s="1"/>
      <c r="H324" s="1"/>
      <c r="I324" s="1"/>
      <c r="J324" s="1"/>
      <c r="K324" s="1"/>
      <c r="L324" s="1"/>
      <c r="M324" s="19"/>
    </row>
    <row r="325" spans="2:13">
      <c r="B325" s="1"/>
      <c r="C325" s="1"/>
      <c r="D325" s="1"/>
      <c r="E325" s="1"/>
      <c r="F325" s="1"/>
      <c r="G325" s="1"/>
      <c r="H325" s="1"/>
      <c r="I325" s="1"/>
      <c r="J325" s="1"/>
      <c r="K325" s="1"/>
      <c r="L325" s="1"/>
      <c r="M325" s="19"/>
    </row>
    <row r="326" spans="2:13">
      <c r="B326" s="1"/>
      <c r="C326" s="1"/>
      <c r="D326" s="1"/>
      <c r="E326" s="1"/>
      <c r="F326" s="1"/>
      <c r="G326" s="1"/>
      <c r="H326" s="1"/>
      <c r="I326" s="1"/>
      <c r="J326" s="1"/>
      <c r="K326" s="1"/>
      <c r="L326" s="1"/>
      <c r="M326" s="19"/>
    </row>
    <row r="327" spans="2:13">
      <c r="B327" s="1"/>
      <c r="C327" s="1"/>
      <c r="D327" s="1"/>
      <c r="E327" s="1"/>
      <c r="F327" s="1"/>
      <c r="G327" s="1"/>
      <c r="H327" s="1"/>
      <c r="I327" s="1"/>
      <c r="J327" s="1"/>
      <c r="K327" s="1"/>
      <c r="L327" s="1"/>
      <c r="M327" s="19"/>
    </row>
    <row r="328" spans="2:13">
      <c r="B328" s="1"/>
      <c r="C328" s="1"/>
      <c r="D328" s="1"/>
      <c r="E328" s="1"/>
      <c r="F328" s="1"/>
      <c r="G328" s="1"/>
      <c r="H328" s="1"/>
      <c r="I328" s="1"/>
      <c r="J328" s="1"/>
      <c r="K328" s="1"/>
      <c r="L328" s="1"/>
      <c r="M328" s="19"/>
    </row>
    <row r="329" spans="2:13">
      <c r="B329" s="1"/>
      <c r="C329" s="1"/>
      <c r="D329" s="1"/>
      <c r="E329" s="1"/>
      <c r="F329" s="1"/>
      <c r="G329" s="1"/>
      <c r="H329" s="1"/>
      <c r="I329" s="1"/>
      <c r="J329" s="1"/>
      <c r="K329" s="1"/>
      <c r="L329" s="1"/>
      <c r="M329" s="19"/>
    </row>
  </sheetData>
  <mergeCells count="1">
    <mergeCell ref="J1:L1"/>
  </mergeCells>
  <pageMargins left="0.75" right="0.75" top="1" bottom="1" header="0.5" footer="0.5"/>
  <pageSetup orientation="portrait" horizontalDpi="4294967292" verticalDpi="4294967292"/>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sheetPr>
  <dimension ref="A1:AB596"/>
  <sheetViews>
    <sheetView topLeftCell="M1" workbookViewId="0">
      <selection activeCell="Z3" sqref="Z3"/>
    </sheetView>
  </sheetViews>
  <sheetFormatPr defaultColWidth="11" defaultRowHeight="15.75"/>
  <cols>
    <col min="1" max="1" width="34.125" customWidth="1"/>
    <col min="2" max="12" width="12.875" customWidth="1"/>
    <col min="13" max="13" width="13.875" style="190" customWidth="1"/>
    <col min="16" max="16" width="12.5" customWidth="1"/>
    <col min="26" max="26" width="41.625" customWidth="1"/>
    <col min="28" max="28" width="25.25" customWidth="1"/>
  </cols>
  <sheetData>
    <row r="1" spans="1:14" ht="18.75">
      <c r="A1" s="37" t="s">
        <v>39</v>
      </c>
      <c r="J1" s="494" t="s">
        <v>215</v>
      </c>
      <c r="K1" s="494"/>
      <c r="L1" s="494"/>
    </row>
    <row r="2" spans="1:14">
      <c r="A2" s="2"/>
    </row>
    <row r="3" spans="1:14">
      <c r="A3" s="2"/>
      <c r="B3" s="82" t="s">
        <v>61</v>
      </c>
      <c r="C3" s="82" t="s">
        <v>61</v>
      </c>
      <c r="D3" s="82" t="s">
        <v>61</v>
      </c>
      <c r="E3" s="82" t="s">
        <v>61</v>
      </c>
      <c r="F3" s="82" t="s">
        <v>61</v>
      </c>
      <c r="G3" s="82" t="s">
        <v>61</v>
      </c>
      <c r="H3" s="82" t="s">
        <v>61</v>
      </c>
      <c r="I3" s="82" t="s">
        <v>61</v>
      </c>
      <c r="J3" s="82" t="s">
        <v>61</v>
      </c>
      <c r="K3" s="82" t="s">
        <v>61</v>
      </c>
      <c r="L3" s="82" t="s">
        <v>61</v>
      </c>
    </row>
    <row r="4" spans="1:14">
      <c r="A4" s="2"/>
      <c r="B4" s="30" t="s">
        <v>57</v>
      </c>
      <c r="C4" s="30" t="s">
        <v>57</v>
      </c>
      <c r="D4" s="30" t="s">
        <v>57</v>
      </c>
      <c r="E4" s="30" t="s">
        <v>57</v>
      </c>
      <c r="F4" s="30" t="s">
        <v>57</v>
      </c>
      <c r="G4" s="30" t="s">
        <v>57</v>
      </c>
      <c r="H4" s="30" t="s">
        <v>57</v>
      </c>
      <c r="I4" s="30" t="s">
        <v>57</v>
      </c>
      <c r="J4" s="30" t="s">
        <v>57</v>
      </c>
      <c r="K4" s="30" t="s">
        <v>202</v>
      </c>
      <c r="L4" s="30" t="s">
        <v>58</v>
      </c>
    </row>
    <row r="5" spans="1:14" ht="18.75">
      <c r="A5" s="93" t="s">
        <v>98</v>
      </c>
      <c r="B5" s="254">
        <v>2009</v>
      </c>
      <c r="C5" s="254">
        <v>2010</v>
      </c>
      <c r="D5" s="254">
        <v>2011</v>
      </c>
      <c r="E5" s="254">
        <v>2012</v>
      </c>
      <c r="F5" s="254">
        <v>2013</v>
      </c>
      <c r="G5" s="254">
        <v>2014</v>
      </c>
      <c r="H5" s="254">
        <v>2015</v>
      </c>
      <c r="I5" s="254">
        <v>2016</v>
      </c>
      <c r="J5" s="254">
        <v>2017</v>
      </c>
      <c r="K5" s="254">
        <v>2018</v>
      </c>
      <c r="L5" s="254">
        <v>2019</v>
      </c>
      <c r="M5" s="195"/>
      <c r="N5" s="2"/>
    </row>
    <row r="6" spans="1:14">
      <c r="A6" s="10" t="s">
        <v>100</v>
      </c>
      <c r="B6" s="32">
        <v>6924090</v>
      </c>
      <c r="C6" s="32">
        <v>7551787</v>
      </c>
      <c r="D6" s="32">
        <v>7789038</v>
      </c>
      <c r="E6" s="32">
        <v>8209400</v>
      </c>
      <c r="F6" s="32">
        <v>8639517</v>
      </c>
      <c r="G6" s="32">
        <v>11449771</v>
      </c>
      <c r="H6" s="32">
        <v>10457393</v>
      </c>
      <c r="I6" s="32">
        <v>10372472</v>
      </c>
      <c r="J6" s="32">
        <f>2445+3235896+507176</f>
        <v>3745517</v>
      </c>
      <c r="K6" s="32">
        <f>3522782+336320</f>
        <v>3859102</v>
      </c>
      <c r="L6" s="32">
        <f>3545853+236500</f>
        <v>3782353</v>
      </c>
      <c r="M6" s="174"/>
      <c r="N6" s="3"/>
    </row>
    <row r="7" spans="1:14">
      <c r="A7" s="96" t="s">
        <v>93</v>
      </c>
      <c r="B7" s="32">
        <v>0</v>
      </c>
      <c r="C7" s="32">
        <v>0</v>
      </c>
      <c r="D7" s="32">
        <v>0</v>
      </c>
      <c r="E7" s="32">
        <v>0</v>
      </c>
      <c r="F7" s="32">
        <v>0</v>
      </c>
      <c r="G7" s="32">
        <v>0</v>
      </c>
      <c r="H7" s="32">
        <v>0</v>
      </c>
      <c r="I7" s="32">
        <v>0</v>
      </c>
      <c r="J7" s="32">
        <v>0</v>
      </c>
      <c r="K7" s="32">
        <v>0</v>
      </c>
      <c r="L7" s="32">
        <v>0</v>
      </c>
      <c r="M7" s="174"/>
      <c r="N7" s="3"/>
    </row>
    <row r="8" spans="1:14">
      <c r="A8" s="94" t="s">
        <v>101</v>
      </c>
      <c r="B8" s="32">
        <v>3530693</v>
      </c>
      <c r="C8" s="32">
        <v>3546107</v>
      </c>
      <c r="D8" s="32">
        <v>3509743</v>
      </c>
      <c r="E8" s="32">
        <v>3766712</v>
      </c>
      <c r="F8" s="32">
        <v>3349296</v>
      </c>
      <c r="G8" s="32">
        <v>3635697</v>
      </c>
      <c r="H8" s="32">
        <v>4048723</v>
      </c>
      <c r="I8" s="32">
        <v>3994433</v>
      </c>
      <c r="J8" s="32">
        <v>3873351</v>
      </c>
      <c r="K8" s="32">
        <v>3992869</v>
      </c>
      <c r="L8" s="32">
        <v>4074782</v>
      </c>
      <c r="M8" s="174"/>
      <c r="N8" s="3"/>
    </row>
    <row r="9" spans="1:14">
      <c r="A9" s="73" t="s">
        <v>83</v>
      </c>
      <c r="B9" s="32">
        <v>2533160</v>
      </c>
      <c r="C9" s="32">
        <v>2342980</v>
      </c>
      <c r="D9" s="32">
        <v>2799311</v>
      </c>
      <c r="E9" s="32">
        <v>2712230</v>
      </c>
      <c r="F9" s="32">
        <v>2792361</v>
      </c>
      <c r="G9" s="32">
        <v>3721643</v>
      </c>
      <c r="H9" s="32">
        <v>3470366</v>
      </c>
      <c r="I9" s="32">
        <v>4572124</v>
      </c>
      <c r="J9" s="32">
        <f>1099074+556382+171317+278785+115549+71430+801320+2959957</f>
        <v>6053814</v>
      </c>
      <c r="K9" s="32">
        <f>2132259+1054517+307281+566733+135643+78465+1731714+2968936</f>
        <v>8975548</v>
      </c>
      <c r="L9" s="32">
        <f>1819651+1019285+278440+467100+119306+73267+1385760+3058780</f>
        <v>8221589</v>
      </c>
      <c r="M9" s="174"/>
      <c r="N9" s="3"/>
    </row>
    <row r="10" spans="1:14" ht="16.5" thickBot="1">
      <c r="A10" s="39"/>
      <c r="B10" s="125">
        <v>0</v>
      </c>
      <c r="C10" s="125">
        <v>0</v>
      </c>
      <c r="D10" s="125">
        <v>0</v>
      </c>
      <c r="E10" s="125">
        <v>0</v>
      </c>
      <c r="F10" s="125">
        <v>0</v>
      </c>
      <c r="G10" s="125">
        <v>0</v>
      </c>
      <c r="H10" s="125">
        <v>0</v>
      </c>
      <c r="I10" s="125">
        <v>0</v>
      </c>
      <c r="J10" s="125">
        <v>0</v>
      </c>
      <c r="K10" s="125">
        <v>0</v>
      </c>
      <c r="L10" s="125">
        <v>0</v>
      </c>
      <c r="M10" s="195"/>
      <c r="N10" s="2"/>
    </row>
    <row r="11" spans="1:14">
      <c r="A11" s="95" t="s">
        <v>108</v>
      </c>
      <c r="B11" s="32">
        <f t="shared" ref="B11:K11" si="0">SUM(B6:B9)</f>
        <v>12987943</v>
      </c>
      <c r="C11" s="32">
        <f t="shared" si="0"/>
        <v>13440874</v>
      </c>
      <c r="D11" s="32">
        <f t="shared" si="0"/>
        <v>14098092</v>
      </c>
      <c r="E11" s="32">
        <f t="shared" si="0"/>
        <v>14688342</v>
      </c>
      <c r="F11" s="32">
        <f t="shared" si="0"/>
        <v>14781174</v>
      </c>
      <c r="G11" s="32">
        <f t="shared" si="0"/>
        <v>18807111</v>
      </c>
      <c r="H11" s="32">
        <f t="shared" si="0"/>
        <v>17976482</v>
      </c>
      <c r="I11" s="32">
        <f t="shared" si="0"/>
        <v>18939029</v>
      </c>
      <c r="J11" s="32">
        <f t="shared" si="0"/>
        <v>13672682</v>
      </c>
      <c r="K11" s="32">
        <f t="shared" si="0"/>
        <v>16827519</v>
      </c>
      <c r="L11" s="32">
        <f>SUM(L6:L9)</f>
        <v>16078724</v>
      </c>
      <c r="M11" s="195"/>
      <c r="N11" s="2"/>
    </row>
    <row r="12" spans="1:14">
      <c r="A12" s="2"/>
      <c r="B12" s="31"/>
      <c r="C12" s="31"/>
      <c r="D12" s="31"/>
      <c r="E12" s="31"/>
      <c r="F12" s="31"/>
      <c r="G12" s="31"/>
      <c r="H12" s="31"/>
      <c r="I12" s="31"/>
      <c r="J12" s="31"/>
      <c r="K12" s="31"/>
      <c r="L12" s="31"/>
      <c r="M12" s="195"/>
      <c r="N12" s="2"/>
    </row>
    <row r="13" spans="1:14">
      <c r="A13" s="88"/>
      <c r="B13" s="32"/>
      <c r="C13" s="32"/>
      <c r="D13" s="32"/>
      <c r="E13" s="32"/>
      <c r="F13" s="32"/>
      <c r="G13" s="32"/>
      <c r="H13" s="32"/>
      <c r="I13" s="32"/>
      <c r="J13" s="32"/>
      <c r="K13" s="32"/>
      <c r="L13" s="32"/>
      <c r="M13" s="195"/>
      <c r="N13" s="2"/>
    </row>
    <row r="14" spans="1:14" ht="18.75">
      <c r="A14" s="93" t="s">
        <v>73</v>
      </c>
      <c r="B14" s="254">
        <v>2009</v>
      </c>
      <c r="C14" s="254">
        <v>2010</v>
      </c>
      <c r="D14" s="254">
        <v>2011</v>
      </c>
      <c r="E14" s="254">
        <v>2012</v>
      </c>
      <c r="F14" s="254">
        <v>2013</v>
      </c>
      <c r="G14" s="254">
        <v>2014</v>
      </c>
      <c r="H14" s="254">
        <v>2015</v>
      </c>
      <c r="I14" s="254">
        <v>2016</v>
      </c>
      <c r="J14" s="254">
        <v>2017</v>
      </c>
      <c r="K14" s="254">
        <v>2018</v>
      </c>
      <c r="L14" s="254">
        <v>2019</v>
      </c>
      <c r="M14" s="195"/>
      <c r="N14" s="2"/>
    </row>
    <row r="15" spans="1:14">
      <c r="A15" s="10" t="s">
        <v>100</v>
      </c>
      <c r="B15" s="3">
        <v>6924090</v>
      </c>
      <c r="C15" s="3">
        <v>7551787</v>
      </c>
      <c r="D15" s="3">
        <v>7789038</v>
      </c>
      <c r="E15" s="3">
        <v>8209400</v>
      </c>
      <c r="F15" s="3">
        <v>8639517</v>
      </c>
      <c r="G15" s="3">
        <v>11449771</v>
      </c>
      <c r="H15" s="3">
        <v>10457343</v>
      </c>
      <c r="I15" s="3">
        <v>10372472</v>
      </c>
      <c r="J15" s="3">
        <v>11803103</v>
      </c>
      <c r="K15" s="3">
        <v>13207903</v>
      </c>
      <c r="L15" s="3">
        <v>11891350</v>
      </c>
      <c r="M15" s="196"/>
      <c r="N15" s="10"/>
    </row>
    <row r="16" spans="1:14">
      <c r="A16" s="96" t="s">
        <v>93</v>
      </c>
      <c r="B16" s="3">
        <v>0</v>
      </c>
      <c r="C16" s="3">
        <v>0</v>
      </c>
      <c r="D16" s="3">
        <v>0</v>
      </c>
      <c r="E16" s="3">
        <v>0</v>
      </c>
      <c r="F16" s="3">
        <v>0</v>
      </c>
      <c r="G16" s="3">
        <v>0</v>
      </c>
      <c r="H16" s="3">
        <v>0</v>
      </c>
      <c r="I16" s="3">
        <v>0</v>
      </c>
      <c r="J16" s="3">
        <v>0</v>
      </c>
      <c r="K16" s="3">
        <v>0</v>
      </c>
      <c r="L16" s="3">
        <v>0</v>
      </c>
    </row>
    <row r="17" spans="1:26">
      <c r="A17" s="94" t="s">
        <v>101</v>
      </c>
      <c r="B17" s="3">
        <v>5241595</v>
      </c>
      <c r="C17" s="3">
        <v>3140781</v>
      </c>
      <c r="D17" s="3">
        <v>2833380</v>
      </c>
      <c r="E17" s="3">
        <v>3287046</v>
      </c>
      <c r="F17" s="3">
        <v>2806142</v>
      </c>
      <c r="G17" s="3">
        <v>3849000</v>
      </c>
      <c r="H17" s="3">
        <v>3764678</v>
      </c>
      <c r="I17" s="3">
        <v>4584652</v>
      </c>
      <c r="J17" s="3">
        <v>4185637</v>
      </c>
      <c r="K17" s="3">
        <v>4540987</v>
      </c>
      <c r="L17" s="3">
        <v>4002992</v>
      </c>
    </row>
    <row r="18" spans="1:26">
      <c r="A18" s="73" t="s">
        <v>83</v>
      </c>
      <c r="B18" s="1">
        <v>1851640</v>
      </c>
      <c r="C18" s="1">
        <v>1715645</v>
      </c>
      <c r="D18" s="1">
        <v>641189</v>
      </c>
      <c r="E18" s="1">
        <v>1207489</v>
      </c>
      <c r="F18" s="1">
        <v>3704651</v>
      </c>
      <c r="G18" s="1">
        <v>5010360</v>
      </c>
      <c r="H18" s="1">
        <v>9374069</v>
      </c>
      <c r="I18" s="1">
        <v>7460251</v>
      </c>
      <c r="J18" s="1">
        <v>6146405</v>
      </c>
      <c r="K18" s="1">
        <v>6512729</v>
      </c>
      <c r="L18" s="1">
        <v>8662467</v>
      </c>
      <c r="M18" s="173"/>
      <c r="N18" s="1"/>
    </row>
    <row r="19" spans="1:26" ht="16.5" thickBot="1">
      <c r="A19" s="153" t="s">
        <v>157</v>
      </c>
      <c r="B19" s="69"/>
      <c r="C19" s="69"/>
      <c r="D19" s="69"/>
      <c r="E19" s="69"/>
      <c r="F19" s="69"/>
      <c r="G19" s="69"/>
      <c r="H19" s="69"/>
      <c r="I19" s="69"/>
      <c r="J19" s="69"/>
      <c r="K19" s="69"/>
      <c r="L19" s="69"/>
      <c r="M19" s="173"/>
      <c r="N19" s="1"/>
    </row>
    <row r="20" spans="1:26">
      <c r="A20" s="95" t="s">
        <v>119</v>
      </c>
      <c r="B20" s="1">
        <f t="shared" ref="B20:L20" si="1">SUM(B15:B18)</f>
        <v>14017325</v>
      </c>
      <c r="C20" s="1">
        <f t="shared" si="1"/>
        <v>12408213</v>
      </c>
      <c r="D20" s="1">
        <f t="shared" si="1"/>
        <v>11263607</v>
      </c>
      <c r="E20" s="1">
        <f t="shared" si="1"/>
        <v>12703935</v>
      </c>
      <c r="F20" s="1">
        <f t="shared" si="1"/>
        <v>15150310</v>
      </c>
      <c r="G20" s="1">
        <f t="shared" si="1"/>
        <v>20309131</v>
      </c>
      <c r="H20" s="1">
        <f t="shared" si="1"/>
        <v>23596090</v>
      </c>
      <c r="I20" s="1">
        <f t="shared" si="1"/>
        <v>22417375</v>
      </c>
      <c r="J20" s="1">
        <f t="shared" si="1"/>
        <v>22135145</v>
      </c>
      <c r="K20" s="1">
        <f t="shared" si="1"/>
        <v>24261619</v>
      </c>
      <c r="L20" s="1">
        <f t="shared" si="1"/>
        <v>24556809</v>
      </c>
      <c r="M20" s="173"/>
      <c r="N20" s="1"/>
    </row>
    <row r="21" spans="1:26" ht="18.75">
      <c r="A21" s="223"/>
      <c r="B21" s="173"/>
      <c r="C21" s="173"/>
      <c r="D21" s="173"/>
      <c r="E21" s="173"/>
      <c r="F21" s="173"/>
      <c r="G21" s="173"/>
      <c r="H21" s="173"/>
      <c r="I21" s="173"/>
      <c r="J21" s="173"/>
      <c r="K21" s="173"/>
      <c r="L21" s="173"/>
      <c r="M21" s="173"/>
      <c r="N21" s="1"/>
    </row>
    <row r="22" spans="1:26" ht="18.75">
      <c r="A22" s="93"/>
      <c r="B22" s="1"/>
      <c r="C22" s="1"/>
      <c r="D22" s="1"/>
      <c r="E22" s="1"/>
      <c r="F22" s="1"/>
      <c r="G22" s="1"/>
      <c r="H22" s="1"/>
      <c r="I22" s="1"/>
      <c r="J22" s="1"/>
      <c r="K22" s="1"/>
      <c r="L22" s="1"/>
      <c r="M22" s="173"/>
      <c r="N22" s="1"/>
    </row>
    <row r="23" spans="1:26">
      <c r="M23" s="173"/>
      <c r="N23" s="1"/>
    </row>
    <row r="24" spans="1:26">
      <c r="B24" s="254">
        <v>2009</v>
      </c>
      <c r="C24" s="254">
        <v>2010</v>
      </c>
      <c r="D24" s="254">
        <v>2011</v>
      </c>
      <c r="E24" s="254">
        <v>2012</v>
      </c>
      <c r="F24" s="254">
        <v>2013</v>
      </c>
      <c r="G24" s="254">
        <v>2014</v>
      </c>
      <c r="H24" s="254">
        <v>2015</v>
      </c>
      <c r="I24" s="254">
        <v>2016</v>
      </c>
      <c r="J24" s="254">
        <v>2017</v>
      </c>
      <c r="K24" s="254">
        <v>2018</v>
      </c>
      <c r="L24" s="254">
        <v>2019</v>
      </c>
      <c r="M24" s="173"/>
      <c r="N24" s="1"/>
    </row>
    <row r="25" spans="1:26">
      <c r="A25" s="2" t="s">
        <v>203</v>
      </c>
      <c r="B25" s="8">
        <f t="shared" ref="B25:L25" si="2">+B15/B26</f>
        <v>109.62429942053767</v>
      </c>
      <c r="C25" s="8">
        <f t="shared" si="2"/>
        <v>111.47865430604352</v>
      </c>
      <c r="D25" s="8">
        <f t="shared" si="2"/>
        <v>113.27697386599962</v>
      </c>
      <c r="E25" s="8">
        <f t="shared" si="2"/>
        <v>118.39171630060137</v>
      </c>
      <c r="F25" s="8">
        <f t="shared" si="2"/>
        <v>122.77272985647294</v>
      </c>
      <c r="G25" s="8">
        <f t="shared" si="2"/>
        <v>161.20307770284541</v>
      </c>
      <c r="H25" s="8">
        <f t="shared" si="2"/>
        <v>142.43180332334515</v>
      </c>
      <c r="I25" s="8">
        <f t="shared" si="2"/>
        <v>139.44305975667137</v>
      </c>
      <c r="J25" s="8">
        <f t="shared" si="2"/>
        <v>155.63163238396623</v>
      </c>
      <c r="K25" s="8">
        <f t="shared" si="2"/>
        <v>170.94953534725997</v>
      </c>
      <c r="L25" s="8">
        <f t="shared" si="2"/>
        <v>150.56153456571283</v>
      </c>
      <c r="M25" s="173"/>
      <c r="N25" s="1"/>
    </row>
    <row r="26" spans="1:26">
      <c r="A26" s="45" t="s">
        <v>21</v>
      </c>
      <c r="B26" s="12">
        <f>+Stats!D4</f>
        <v>63162</v>
      </c>
      <c r="C26" s="12">
        <f>+Stats!E4</f>
        <v>67742</v>
      </c>
      <c r="D26" s="12">
        <f>+Stats!F4</f>
        <v>68761</v>
      </c>
      <c r="E26" s="12">
        <f>+Stats!G4</f>
        <v>69341</v>
      </c>
      <c r="F26" s="12">
        <f>+Stats!H4</f>
        <v>70370</v>
      </c>
      <c r="G26" s="12">
        <f>+Stats!I4</f>
        <v>71027</v>
      </c>
      <c r="H26" s="12">
        <f>+Stats!J4</f>
        <v>73420</v>
      </c>
      <c r="I26" s="12">
        <f>+Stats!K4</f>
        <v>74385</v>
      </c>
      <c r="J26" s="12">
        <f>+Stats!L4</f>
        <v>75840</v>
      </c>
      <c r="K26" s="12">
        <f>+Stats!M4</f>
        <v>77262</v>
      </c>
      <c r="L26" s="12">
        <f>+Stats!N4</f>
        <v>78980</v>
      </c>
      <c r="M26" s="173"/>
      <c r="N26" s="1"/>
    </row>
    <row r="27" spans="1:26">
      <c r="M27" s="173"/>
      <c r="N27" s="1"/>
    </row>
    <row r="28" spans="1:26" ht="15.75" customHeight="1">
      <c r="A28" s="253" t="s">
        <v>159</v>
      </c>
      <c r="B28" s="1">
        <f t="shared" ref="B28:L28" si="3">+B15/B29</f>
        <v>111642.85714285714</v>
      </c>
      <c r="C28" s="1">
        <f t="shared" si="3"/>
        <v>122753.36475942783</v>
      </c>
      <c r="D28" s="1">
        <f t="shared" si="3"/>
        <v>126465.95226497807</v>
      </c>
      <c r="E28" s="1">
        <f t="shared" si="3"/>
        <v>134956.43596909419</v>
      </c>
      <c r="F28" s="1">
        <f t="shared" si="3"/>
        <v>142027.23984875885</v>
      </c>
      <c r="G28" s="1">
        <f t="shared" si="3"/>
        <v>187424.63578327058</v>
      </c>
      <c r="H28" s="1">
        <f t="shared" si="3"/>
        <v>169349.68421052632</v>
      </c>
      <c r="I28" s="1">
        <f t="shared" si="3"/>
        <v>167568.20678513733</v>
      </c>
      <c r="J28" s="1">
        <f t="shared" si="3"/>
        <v>189608.08032128515</v>
      </c>
      <c r="K28" s="1">
        <f t="shared" si="3"/>
        <v>208820.60079051382</v>
      </c>
      <c r="L28" s="1">
        <f t="shared" si="3"/>
        <v>188751.58730158731</v>
      </c>
      <c r="M28" s="173"/>
      <c r="N28" s="1"/>
      <c r="Z28" s="250"/>
    </row>
    <row r="29" spans="1:26">
      <c r="A29" s="45" t="s">
        <v>64</v>
      </c>
      <c r="B29" s="34">
        <f>+B39</f>
        <v>62.019999999999996</v>
      </c>
      <c r="C29" s="34">
        <f t="shared" ref="C29:L29" si="4">+C39</f>
        <v>61.519999999999996</v>
      </c>
      <c r="D29" s="34">
        <f t="shared" si="4"/>
        <v>61.59</v>
      </c>
      <c r="E29" s="34">
        <f t="shared" si="4"/>
        <v>60.83</v>
      </c>
      <c r="F29" s="34">
        <f t="shared" si="4"/>
        <v>60.83</v>
      </c>
      <c r="G29" s="34">
        <f t="shared" si="4"/>
        <v>61.09</v>
      </c>
      <c r="H29" s="34">
        <f t="shared" si="4"/>
        <v>61.75</v>
      </c>
      <c r="I29" s="34">
        <f t="shared" si="4"/>
        <v>61.9</v>
      </c>
      <c r="J29" s="34">
        <f t="shared" si="4"/>
        <v>62.25</v>
      </c>
      <c r="K29" s="34">
        <f t="shared" si="4"/>
        <v>63.25</v>
      </c>
      <c r="L29" s="34">
        <f t="shared" si="4"/>
        <v>63</v>
      </c>
      <c r="M29" s="173"/>
      <c r="N29" s="1"/>
    </row>
    <row r="30" spans="1:26">
      <c r="M30" s="173"/>
      <c r="N30" s="1"/>
    </row>
    <row r="31" spans="1:26">
      <c r="A31" s="190"/>
      <c r="B31" s="190"/>
      <c r="C31" s="190"/>
      <c r="D31" s="190"/>
      <c r="E31" s="190"/>
      <c r="F31" s="190"/>
      <c r="G31" s="190"/>
      <c r="H31" s="190"/>
      <c r="I31" s="190"/>
      <c r="J31" s="190"/>
      <c r="K31" s="190"/>
      <c r="L31" s="190"/>
      <c r="M31" s="173"/>
      <c r="N31" s="1"/>
    </row>
    <row r="32" spans="1:26">
      <c r="A32" s="190"/>
      <c r="B32" s="190"/>
      <c r="C32" s="190"/>
      <c r="D32" s="190"/>
      <c r="E32" s="190"/>
      <c r="F32" s="190"/>
      <c r="G32" s="190"/>
      <c r="H32" s="190"/>
      <c r="I32" s="190"/>
      <c r="J32" s="190"/>
      <c r="K32" s="190"/>
      <c r="L32" s="190"/>
      <c r="M32" s="173"/>
      <c r="N32" s="1"/>
    </row>
    <row r="33" spans="1:14">
      <c r="M33" s="173"/>
      <c r="N33" s="1"/>
    </row>
    <row r="34" spans="1:14">
      <c r="A34" s="9" t="s">
        <v>63</v>
      </c>
      <c r="B34" s="15"/>
      <c r="C34" s="15"/>
      <c r="D34" s="15"/>
      <c r="E34" s="15"/>
      <c r="F34" s="15"/>
      <c r="G34" s="15"/>
      <c r="H34" s="15"/>
      <c r="I34" s="15"/>
      <c r="J34" s="15"/>
      <c r="K34" s="15"/>
      <c r="L34" s="15"/>
      <c r="M34" s="173"/>
      <c r="N34" s="1"/>
    </row>
    <row r="35" spans="1:14">
      <c r="A35" s="40" t="s">
        <v>19</v>
      </c>
      <c r="B35" s="22">
        <v>3.3</v>
      </c>
      <c r="C35" s="22">
        <v>3.3</v>
      </c>
      <c r="D35" s="22">
        <v>3.3</v>
      </c>
      <c r="E35" s="22">
        <v>3.3</v>
      </c>
      <c r="F35" s="22">
        <v>3.3</v>
      </c>
      <c r="G35" s="22">
        <v>3.3</v>
      </c>
      <c r="H35" s="22">
        <v>3.3</v>
      </c>
      <c r="I35" s="22">
        <v>3.3</v>
      </c>
      <c r="J35" s="22">
        <v>5.2750000000000004</v>
      </c>
      <c r="K35" s="22">
        <v>5.2750000000000004</v>
      </c>
      <c r="L35" s="22">
        <v>5.2750000000000004</v>
      </c>
      <c r="M35" s="173"/>
      <c r="N35" s="1"/>
    </row>
    <row r="36" spans="1:14">
      <c r="A36" s="40" t="s">
        <v>18</v>
      </c>
      <c r="B36" s="22">
        <v>30.93</v>
      </c>
      <c r="C36" s="22">
        <v>27.43</v>
      </c>
      <c r="D36" s="22">
        <v>27.5</v>
      </c>
      <c r="E36" s="22">
        <v>28</v>
      </c>
      <c r="F36" s="22">
        <v>28</v>
      </c>
      <c r="G36" s="22">
        <v>28.25</v>
      </c>
      <c r="H36" s="22">
        <v>28.41</v>
      </c>
      <c r="I36" s="22">
        <v>28.06</v>
      </c>
      <c r="J36" s="22">
        <v>24.25</v>
      </c>
      <c r="K36" s="22">
        <v>24.25</v>
      </c>
      <c r="L36" s="22">
        <v>24</v>
      </c>
      <c r="M36" s="173"/>
      <c r="N36" s="1"/>
    </row>
    <row r="37" spans="1:14">
      <c r="A37" s="40" t="s">
        <v>80</v>
      </c>
      <c r="B37" s="22">
        <v>27.79</v>
      </c>
      <c r="C37" s="22">
        <v>30.79</v>
      </c>
      <c r="D37" s="22">
        <v>30.79</v>
      </c>
      <c r="E37" s="22">
        <v>29.53</v>
      </c>
      <c r="F37" s="22">
        <v>29.53</v>
      </c>
      <c r="G37" s="22">
        <v>29.54</v>
      </c>
      <c r="H37" s="22">
        <v>30.04</v>
      </c>
      <c r="I37" s="22">
        <v>30.54</v>
      </c>
      <c r="J37" s="22">
        <v>32.725000000000001</v>
      </c>
      <c r="K37" s="22">
        <v>33.725000000000001</v>
      </c>
      <c r="L37" s="22">
        <v>33.725000000000001</v>
      </c>
      <c r="M37" s="173"/>
      <c r="N37" s="1"/>
    </row>
    <row r="38" spans="1:14" ht="16.5" thickBot="1">
      <c r="A38" s="40"/>
      <c r="B38" s="35">
        <v>0</v>
      </c>
      <c r="C38" s="35">
        <v>0</v>
      </c>
      <c r="D38" s="35">
        <v>0</v>
      </c>
      <c r="E38" s="35">
        <v>0</v>
      </c>
      <c r="F38" s="35">
        <v>0</v>
      </c>
      <c r="G38" s="35">
        <v>0</v>
      </c>
      <c r="H38" s="35">
        <v>0</v>
      </c>
      <c r="I38" s="35">
        <v>0</v>
      </c>
      <c r="J38" s="35">
        <v>0</v>
      </c>
      <c r="K38" s="35">
        <v>0</v>
      </c>
      <c r="L38" s="35">
        <v>0</v>
      </c>
      <c r="M38" s="173"/>
      <c r="N38" s="1"/>
    </row>
    <row r="39" spans="1:14">
      <c r="B39" s="34">
        <f t="shared" ref="B39:L39" si="5">SUM(B35:B38)</f>
        <v>62.019999999999996</v>
      </c>
      <c r="C39" s="34">
        <f t="shared" si="5"/>
        <v>61.519999999999996</v>
      </c>
      <c r="D39" s="34">
        <f t="shared" si="5"/>
        <v>61.59</v>
      </c>
      <c r="E39" s="34">
        <f t="shared" si="5"/>
        <v>60.83</v>
      </c>
      <c r="F39" s="34">
        <f t="shared" si="5"/>
        <v>60.83</v>
      </c>
      <c r="G39" s="34">
        <f t="shared" si="5"/>
        <v>61.09</v>
      </c>
      <c r="H39" s="34">
        <f t="shared" si="5"/>
        <v>61.75</v>
      </c>
      <c r="I39" s="34">
        <f t="shared" si="5"/>
        <v>61.9</v>
      </c>
      <c r="J39" s="34">
        <f t="shared" si="5"/>
        <v>62.25</v>
      </c>
      <c r="K39" s="34">
        <f t="shared" si="5"/>
        <v>63.25</v>
      </c>
      <c r="L39" s="34">
        <f t="shared" si="5"/>
        <v>63</v>
      </c>
      <c r="M39" s="173"/>
      <c r="N39" s="1"/>
    </row>
    <row r="40" spans="1:14">
      <c r="A40" s="357"/>
      <c r="B40" s="117"/>
      <c r="C40" s="117"/>
      <c r="D40" s="117"/>
      <c r="E40" s="117"/>
      <c r="F40" s="117"/>
      <c r="G40" s="117"/>
      <c r="H40" s="117"/>
      <c r="I40" s="117"/>
      <c r="J40" s="117"/>
      <c r="K40" s="117"/>
      <c r="L40" s="117"/>
      <c r="M40" s="173"/>
      <c r="N40" s="1"/>
    </row>
    <row r="41" spans="1:14">
      <c r="A41" s="363"/>
      <c r="B41" s="117"/>
      <c r="C41" s="339"/>
      <c r="D41" s="339"/>
      <c r="E41" s="339"/>
      <c r="F41" s="339"/>
      <c r="G41" s="339"/>
      <c r="H41" s="339"/>
      <c r="I41" s="339"/>
      <c r="J41" s="339"/>
      <c r="K41" s="339"/>
      <c r="L41" s="339"/>
      <c r="M41" s="173"/>
      <c r="N41" s="1"/>
    </row>
    <row r="42" spans="1:14">
      <c r="A42" s="368"/>
      <c r="B42" s="117"/>
      <c r="C42" s="117"/>
      <c r="D42" s="117"/>
      <c r="E42" s="117"/>
      <c r="F42" s="117"/>
      <c r="G42" s="117"/>
      <c r="H42" s="117"/>
      <c r="I42" s="117"/>
      <c r="J42" s="117"/>
      <c r="K42" s="117"/>
      <c r="L42" s="339"/>
      <c r="M42" s="173"/>
      <c r="N42" s="1"/>
    </row>
    <row r="43" spans="1:14">
      <c r="A43" s="163"/>
      <c r="B43" s="117"/>
      <c r="C43" s="117"/>
      <c r="D43" s="117"/>
      <c r="E43" s="117"/>
      <c r="F43" s="117"/>
      <c r="G43" s="117"/>
      <c r="H43" s="117"/>
      <c r="I43" s="117"/>
      <c r="J43" s="117"/>
      <c r="K43" s="117"/>
      <c r="L43" s="117"/>
      <c r="M43" s="173"/>
      <c r="N43" s="1"/>
    </row>
    <row r="44" spans="1:14">
      <c r="A44" s="357"/>
      <c r="B44" s="117"/>
      <c r="C44" s="117"/>
      <c r="D44" s="117"/>
      <c r="E44" s="117"/>
      <c r="F44" s="117"/>
      <c r="G44" s="117"/>
      <c r="H44" s="117"/>
      <c r="I44" s="117"/>
      <c r="J44" s="117"/>
      <c r="K44" s="117"/>
      <c r="L44" s="117"/>
      <c r="M44" s="173"/>
      <c r="N44" s="1"/>
    </row>
    <row r="45" spans="1:14" s="52" customFormat="1">
      <c r="A45" s="359"/>
      <c r="B45" s="117"/>
      <c r="C45" s="117"/>
      <c r="D45" s="117"/>
      <c r="E45" s="117"/>
      <c r="F45" s="117"/>
      <c r="G45" s="117"/>
      <c r="H45" s="117"/>
      <c r="I45" s="117"/>
      <c r="J45" s="117"/>
      <c r="K45" s="117"/>
      <c r="L45" s="117"/>
      <c r="M45" s="199"/>
      <c r="N45" s="43"/>
    </row>
    <row r="46" spans="1:14" s="52" customFormat="1">
      <c r="A46" s="163"/>
      <c r="B46" s="117"/>
      <c r="C46" s="117"/>
      <c r="D46" s="117"/>
      <c r="E46" s="117"/>
      <c r="F46" s="117"/>
      <c r="G46" s="117"/>
      <c r="H46" s="117"/>
      <c r="I46" s="117"/>
      <c r="J46" s="117"/>
      <c r="K46" s="117"/>
      <c r="L46" s="117"/>
      <c r="M46" s="199"/>
      <c r="N46" s="43"/>
    </row>
    <row r="47" spans="1:14" s="52" customFormat="1">
      <c r="A47" s="357"/>
      <c r="B47" s="117"/>
      <c r="C47" s="117"/>
      <c r="D47" s="117"/>
      <c r="E47" s="117"/>
      <c r="F47" s="117"/>
      <c r="G47" s="117"/>
      <c r="H47" s="117"/>
      <c r="I47" s="117"/>
      <c r="J47" s="117"/>
      <c r="K47" s="117"/>
      <c r="L47" s="117"/>
      <c r="M47" s="199"/>
      <c r="N47" s="43"/>
    </row>
    <row r="48" spans="1:14" s="52" customFormat="1">
      <c r="A48" s="359"/>
      <c r="B48" s="117"/>
      <c r="C48" s="117"/>
      <c r="D48" s="117"/>
      <c r="E48" s="117"/>
      <c r="F48" s="117"/>
      <c r="G48" s="117"/>
      <c r="H48" s="117"/>
      <c r="I48" s="117"/>
      <c r="J48" s="117"/>
      <c r="K48" s="117"/>
      <c r="L48" s="117"/>
      <c r="M48" s="199"/>
      <c r="N48" s="43"/>
    </row>
    <row r="49" spans="1:14">
      <c r="A49" s="359"/>
      <c r="B49" s="117"/>
      <c r="C49" s="117"/>
      <c r="D49" s="117"/>
      <c r="E49" s="117"/>
      <c r="F49" s="117"/>
      <c r="G49" s="117"/>
      <c r="H49" s="117"/>
      <c r="I49" s="117"/>
      <c r="J49" s="117"/>
      <c r="K49" s="117"/>
      <c r="L49" s="117"/>
      <c r="M49" s="173"/>
      <c r="N49" s="1"/>
    </row>
    <row r="50" spans="1:14">
      <c r="A50" s="359"/>
      <c r="B50" s="117"/>
      <c r="C50" s="117"/>
      <c r="D50" s="117"/>
      <c r="E50" s="117"/>
      <c r="F50" s="117"/>
      <c r="G50" s="117"/>
      <c r="H50" s="117"/>
      <c r="I50" s="117"/>
      <c r="J50" s="117"/>
      <c r="K50" s="117"/>
      <c r="L50" s="117"/>
      <c r="M50" s="173"/>
      <c r="N50" s="1"/>
    </row>
    <row r="51" spans="1:14">
      <c r="A51" s="359"/>
      <c r="B51" s="117"/>
      <c r="C51" s="117"/>
      <c r="D51" s="117"/>
      <c r="E51" s="117"/>
      <c r="F51" s="117"/>
      <c r="G51" s="117"/>
      <c r="H51" s="117"/>
      <c r="I51" s="117"/>
      <c r="J51" s="117"/>
      <c r="K51" s="117"/>
      <c r="L51" s="117"/>
      <c r="M51" s="173"/>
      <c r="N51" s="1"/>
    </row>
    <row r="52" spans="1:14">
      <c r="A52" s="359"/>
      <c r="B52" s="117"/>
      <c r="C52" s="117"/>
      <c r="D52" s="117"/>
      <c r="E52" s="117"/>
      <c r="F52" s="117"/>
      <c r="G52" s="117"/>
      <c r="H52" s="117"/>
      <c r="I52" s="117"/>
      <c r="J52" s="117"/>
      <c r="K52" s="117"/>
      <c r="L52" s="117"/>
      <c r="M52" s="173"/>
      <c r="N52" s="1"/>
    </row>
    <row r="53" spans="1:14">
      <c r="A53" s="359"/>
      <c r="B53" s="117"/>
      <c r="C53" s="117"/>
      <c r="D53" s="117"/>
      <c r="E53" s="117"/>
      <c r="F53" s="117"/>
      <c r="G53" s="117"/>
      <c r="H53" s="117"/>
      <c r="I53" s="117"/>
      <c r="J53" s="117"/>
      <c r="K53" s="117"/>
      <c r="L53" s="117"/>
      <c r="M53" s="173"/>
      <c r="N53" s="1"/>
    </row>
    <row r="54" spans="1:14">
      <c r="A54" s="359"/>
      <c r="B54" s="117"/>
      <c r="C54" s="117"/>
      <c r="D54" s="117"/>
      <c r="E54" s="117"/>
      <c r="F54" s="117"/>
      <c r="G54" s="117"/>
      <c r="H54" s="117"/>
      <c r="I54" s="117"/>
      <c r="J54" s="117"/>
      <c r="K54" s="117"/>
      <c r="L54" s="117"/>
      <c r="M54" s="173"/>
      <c r="N54" s="1"/>
    </row>
    <row r="55" spans="1:14">
      <c r="A55" s="375"/>
      <c r="B55" s="117"/>
      <c r="C55" s="117"/>
      <c r="D55" s="117"/>
      <c r="E55" s="117"/>
      <c r="F55" s="117"/>
      <c r="G55" s="117"/>
      <c r="H55" s="117"/>
      <c r="I55" s="117"/>
      <c r="J55" s="117"/>
      <c r="K55" s="117"/>
      <c r="L55" s="117"/>
      <c r="M55" s="173"/>
      <c r="N55" s="1"/>
    </row>
    <row r="56" spans="1:14">
      <c r="A56" s="163"/>
      <c r="B56" s="163"/>
      <c r="C56" s="163"/>
      <c r="D56" s="163"/>
      <c r="E56" s="163"/>
      <c r="F56" s="163"/>
      <c r="G56" s="163"/>
      <c r="H56" s="163"/>
      <c r="I56" s="163"/>
      <c r="J56" s="163"/>
      <c r="K56" s="163"/>
      <c r="L56" s="163"/>
      <c r="M56" s="173"/>
      <c r="N56" s="1"/>
    </row>
    <row r="57" spans="1:14">
      <c r="A57" s="163"/>
      <c r="B57" s="163"/>
      <c r="C57" s="163"/>
      <c r="D57" s="163"/>
      <c r="E57" s="163"/>
      <c r="F57" s="163"/>
      <c r="G57" s="163"/>
      <c r="H57" s="163"/>
      <c r="I57" s="163"/>
      <c r="J57" s="163"/>
      <c r="K57" s="163"/>
      <c r="L57" s="163"/>
      <c r="M57" s="173"/>
      <c r="N57" s="1"/>
    </row>
    <row r="58" spans="1:14">
      <c r="A58" s="163"/>
      <c r="B58" s="163"/>
      <c r="C58" s="163"/>
      <c r="D58" s="163"/>
      <c r="E58" s="163"/>
      <c r="F58" s="163"/>
      <c r="G58" s="163"/>
      <c r="H58" s="163"/>
      <c r="I58" s="163"/>
      <c r="J58" s="163"/>
      <c r="K58" s="163"/>
      <c r="L58" s="163"/>
      <c r="M58" s="173"/>
      <c r="N58" s="1"/>
    </row>
    <row r="59" spans="1:14">
      <c r="A59" s="163"/>
      <c r="B59" s="163"/>
      <c r="C59" s="163"/>
      <c r="D59" s="163"/>
      <c r="E59" s="163"/>
      <c r="F59" s="163"/>
      <c r="G59" s="163"/>
      <c r="H59" s="163"/>
      <c r="I59" s="163"/>
      <c r="J59" s="163"/>
      <c r="K59" s="163"/>
      <c r="L59" s="163"/>
      <c r="M59" s="173"/>
      <c r="N59" s="1"/>
    </row>
    <row r="60" spans="1:14">
      <c r="A60" s="356"/>
      <c r="B60" s="145"/>
      <c r="C60" s="145"/>
      <c r="D60" s="145"/>
      <c r="E60" s="145"/>
      <c r="F60" s="145"/>
      <c r="G60" s="145"/>
      <c r="H60" s="145"/>
      <c r="I60" s="145"/>
      <c r="J60" s="145"/>
      <c r="K60" s="145"/>
      <c r="L60" s="145"/>
      <c r="M60" s="173"/>
      <c r="N60" s="1"/>
    </row>
    <row r="61" spans="1:14">
      <c r="A61" s="356"/>
      <c r="B61" s="165"/>
      <c r="C61" s="165"/>
      <c r="D61" s="165"/>
      <c r="E61" s="165"/>
      <c r="F61" s="165"/>
      <c r="G61" s="165"/>
      <c r="H61" s="165"/>
      <c r="I61" s="165"/>
      <c r="J61" s="165"/>
      <c r="K61" s="165"/>
      <c r="L61" s="165"/>
      <c r="M61" s="173"/>
      <c r="N61" s="1"/>
    </row>
    <row r="62" spans="1:14">
      <c r="A62" s="371"/>
      <c r="B62" s="145"/>
      <c r="C62" s="145"/>
      <c r="D62" s="145"/>
      <c r="E62" s="145"/>
      <c r="F62" s="145"/>
      <c r="G62" s="145"/>
      <c r="H62" s="145"/>
      <c r="I62" s="145"/>
      <c r="J62" s="145"/>
      <c r="K62" s="145"/>
      <c r="L62" s="145"/>
      <c r="M62" s="173"/>
      <c r="N62" s="1"/>
    </row>
    <row r="63" spans="1:14">
      <c r="A63" s="371"/>
      <c r="B63" s="144"/>
      <c r="C63" s="144"/>
      <c r="D63" s="144"/>
      <c r="E63" s="144"/>
      <c r="F63" s="144"/>
      <c r="G63" s="144"/>
      <c r="H63" s="144"/>
      <c r="I63" s="144"/>
      <c r="J63" s="145"/>
      <c r="K63" s="145"/>
      <c r="L63" s="145"/>
      <c r="M63" s="173"/>
      <c r="N63" s="1"/>
    </row>
    <row r="64" spans="1:14">
      <c r="A64" s="163"/>
      <c r="B64" s="373"/>
      <c r="C64" s="373"/>
      <c r="D64" s="373"/>
      <c r="E64" s="373"/>
      <c r="F64" s="373"/>
      <c r="G64" s="373"/>
      <c r="H64" s="373"/>
      <c r="I64" s="373"/>
      <c r="J64" s="373"/>
      <c r="K64" s="373"/>
      <c r="L64" s="373"/>
      <c r="M64" s="173"/>
      <c r="N64" s="1"/>
    </row>
    <row r="65" spans="1:14">
      <c r="A65" s="356"/>
      <c r="B65" s="117"/>
      <c r="C65" s="117"/>
      <c r="D65" s="117"/>
      <c r="E65" s="117"/>
      <c r="F65" s="117"/>
      <c r="G65" s="117"/>
      <c r="H65" s="117"/>
      <c r="I65" s="117"/>
      <c r="J65" s="117"/>
      <c r="K65" s="117"/>
      <c r="L65" s="117"/>
      <c r="M65" s="173"/>
      <c r="N65" s="1"/>
    </row>
    <row r="66" spans="1:14">
      <c r="A66" s="356"/>
      <c r="B66" s="117"/>
      <c r="C66" s="117"/>
      <c r="D66" s="117"/>
      <c r="E66" s="117"/>
      <c r="F66" s="117"/>
      <c r="G66" s="117"/>
      <c r="H66" s="117"/>
      <c r="I66" s="117"/>
      <c r="J66" s="117"/>
      <c r="K66" s="117"/>
      <c r="L66" s="117"/>
      <c r="M66" s="173"/>
      <c r="N66" s="1"/>
    </row>
    <row r="67" spans="1:14">
      <c r="A67" s="163"/>
      <c r="B67" s="117"/>
      <c r="C67" s="117"/>
      <c r="D67" s="117"/>
      <c r="E67" s="117"/>
      <c r="F67" s="117"/>
      <c r="G67" s="117"/>
      <c r="H67" s="117"/>
      <c r="I67" s="117"/>
      <c r="J67" s="117"/>
      <c r="K67" s="117"/>
      <c r="L67" s="117"/>
      <c r="M67" s="173"/>
      <c r="N67" s="1"/>
    </row>
    <row r="68" spans="1:14">
      <c r="A68" s="163"/>
      <c r="B68" s="163"/>
      <c r="C68" s="163"/>
      <c r="D68" s="163"/>
      <c r="E68" s="163"/>
      <c r="F68" s="163"/>
      <c r="G68" s="163"/>
      <c r="H68" s="163"/>
      <c r="I68" s="163"/>
      <c r="J68" s="163"/>
      <c r="K68" s="163"/>
      <c r="L68" s="163"/>
      <c r="M68" s="173"/>
      <c r="N68" s="1"/>
    </row>
    <row r="69" spans="1:14">
      <c r="A69" s="357"/>
      <c r="B69" s="163"/>
      <c r="C69" s="163"/>
      <c r="D69" s="163"/>
      <c r="E69" s="163"/>
      <c r="F69" s="163"/>
      <c r="G69" s="163"/>
      <c r="H69" s="163"/>
      <c r="I69" s="163"/>
      <c r="J69" s="163"/>
      <c r="K69" s="163"/>
      <c r="L69" s="163"/>
    </row>
    <row r="70" spans="1:14">
      <c r="A70" s="357"/>
      <c r="B70" s="117"/>
      <c r="C70" s="117"/>
      <c r="D70" s="117"/>
      <c r="E70" s="117"/>
      <c r="F70" s="117"/>
      <c r="G70" s="117"/>
      <c r="H70" s="117"/>
      <c r="I70" s="117"/>
      <c r="J70" s="117"/>
      <c r="K70" s="117"/>
      <c r="L70" s="117"/>
      <c r="M70" s="173"/>
      <c r="N70" s="1"/>
    </row>
    <row r="71" spans="1:14">
      <c r="A71" s="357"/>
      <c r="B71" s="358"/>
      <c r="C71" s="358"/>
      <c r="D71" s="358"/>
      <c r="E71" s="358"/>
      <c r="F71" s="358"/>
      <c r="G71" s="358"/>
      <c r="H71" s="358"/>
      <c r="I71" s="358"/>
      <c r="J71" s="358"/>
      <c r="K71" s="358"/>
      <c r="L71" s="358"/>
      <c r="M71" s="173"/>
      <c r="N71" s="1"/>
    </row>
    <row r="72" spans="1:14">
      <c r="A72" s="359"/>
      <c r="B72" s="360"/>
      <c r="C72" s="360"/>
      <c r="D72" s="360"/>
      <c r="E72" s="360"/>
      <c r="F72" s="360"/>
      <c r="G72" s="360"/>
      <c r="H72" s="360"/>
      <c r="I72" s="360"/>
      <c r="J72" s="360"/>
      <c r="K72" s="360"/>
      <c r="L72" s="360"/>
      <c r="M72" s="173"/>
      <c r="N72" s="1"/>
    </row>
    <row r="73" spans="1:14">
      <c r="A73" s="359"/>
      <c r="B73" s="360"/>
      <c r="C73" s="360"/>
      <c r="D73" s="360"/>
      <c r="E73" s="360"/>
      <c r="F73" s="360"/>
      <c r="G73" s="360"/>
      <c r="H73" s="360"/>
      <c r="I73" s="360"/>
      <c r="J73" s="360"/>
      <c r="K73" s="360"/>
      <c r="L73" s="360"/>
      <c r="M73" s="173"/>
      <c r="N73" s="1"/>
    </row>
    <row r="74" spans="1:14">
      <c r="A74" s="359"/>
      <c r="B74" s="360"/>
      <c r="C74" s="360"/>
      <c r="D74" s="360"/>
      <c r="E74" s="360"/>
      <c r="F74" s="360"/>
      <c r="G74" s="360"/>
      <c r="H74" s="360"/>
      <c r="I74" s="360"/>
      <c r="J74" s="360"/>
      <c r="K74" s="360"/>
      <c r="L74" s="360"/>
      <c r="M74" s="173"/>
      <c r="N74" s="1"/>
    </row>
    <row r="75" spans="1:14">
      <c r="A75" s="359"/>
      <c r="B75" s="360"/>
      <c r="C75" s="360"/>
      <c r="D75" s="360"/>
      <c r="E75" s="360"/>
      <c r="F75" s="360"/>
      <c r="G75" s="360"/>
      <c r="H75" s="360"/>
      <c r="I75" s="360"/>
      <c r="J75" s="360"/>
      <c r="K75" s="360"/>
      <c r="L75" s="360"/>
      <c r="M75" s="173"/>
      <c r="N75" s="1"/>
    </row>
    <row r="76" spans="1:14" s="17" customFormat="1">
      <c r="A76" s="375"/>
      <c r="B76" s="375"/>
      <c r="C76" s="375"/>
      <c r="D76" s="375"/>
      <c r="E76" s="375"/>
      <c r="F76" s="375"/>
      <c r="G76" s="375"/>
      <c r="H76" s="375"/>
      <c r="I76" s="375"/>
      <c r="J76" s="375"/>
      <c r="K76" s="375"/>
      <c r="L76" s="375"/>
      <c r="M76" s="197"/>
      <c r="N76" s="33"/>
    </row>
    <row r="77" spans="1:14">
      <c r="A77" s="363"/>
      <c r="B77" s="358"/>
      <c r="C77" s="237"/>
      <c r="D77" s="237"/>
      <c r="E77" s="237"/>
      <c r="F77" s="237"/>
      <c r="G77" s="237"/>
      <c r="H77" s="237"/>
      <c r="I77" s="237"/>
      <c r="J77" s="237"/>
      <c r="K77" s="237"/>
      <c r="L77" s="237"/>
      <c r="M77" s="173"/>
      <c r="N77" s="1"/>
    </row>
    <row r="78" spans="1:14">
      <c r="A78" s="242"/>
      <c r="B78" s="358"/>
      <c r="C78" s="237"/>
      <c r="D78" s="237"/>
      <c r="E78" s="237"/>
      <c r="F78" s="237"/>
      <c r="G78" s="237"/>
      <c r="H78" s="237"/>
      <c r="I78" s="237"/>
      <c r="J78" s="237"/>
      <c r="K78" s="237"/>
      <c r="L78" s="237"/>
      <c r="M78" s="173"/>
      <c r="N78" s="1"/>
    </row>
    <row r="79" spans="1:14">
      <c r="A79" s="242"/>
      <c r="B79" s="358"/>
      <c r="C79" s="237"/>
      <c r="D79" s="237"/>
      <c r="E79" s="237"/>
      <c r="F79" s="237"/>
      <c r="G79" s="237"/>
      <c r="H79" s="237"/>
      <c r="I79" s="237"/>
      <c r="J79" s="237"/>
      <c r="K79" s="237"/>
      <c r="L79" s="237"/>
      <c r="M79" s="173"/>
      <c r="N79" s="1"/>
    </row>
    <row r="80" spans="1:14">
      <c r="A80" s="357"/>
      <c r="B80" s="358"/>
      <c r="C80" s="237"/>
      <c r="D80" s="237"/>
      <c r="E80" s="237"/>
      <c r="F80" s="237"/>
      <c r="G80" s="237"/>
      <c r="H80" s="237"/>
      <c r="I80" s="237"/>
      <c r="J80" s="237"/>
      <c r="K80" s="237"/>
      <c r="L80" s="237"/>
      <c r="M80" s="173"/>
      <c r="N80" s="1"/>
    </row>
    <row r="81" spans="1:14">
      <c r="A81" s="359"/>
      <c r="B81" s="360"/>
      <c r="C81" s="360"/>
      <c r="D81" s="360"/>
      <c r="E81" s="360"/>
      <c r="F81" s="360"/>
      <c r="G81" s="360"/>
      <c r="H81" s="360"/>
      <c r="I81" s="360"/>
      <c r="J81" s="360"/>
      <c r="K81" s="360"/>
      <c r="L81" s="360"/>
      <c r="M81" s="173"/>
      <c r="N81" s="1"/>
    </row>
    <row r="82" spans="1:14">
      <c r="A82" s="163"/>
      <c r="B82" s="358"/>
      <c r="C82" s="237"/>
      <c r="D82" s="237"/>
      <c r="E82" s="237"/>
      <c r="F82" s="237"/>
      <c r="G82" s="237"/>
      <c r="H82" s="237"/>
      <c r="I82" s="237"/>
      <c r="J82" s="237"/>
      <c r="K82" s="237"/>
      <c r="L82" s="237"/>
      <c r="M82" s="173"/>
      <c r="N82" s="1"/>
    </row>
    <row r="83" spans="1:14">
      <c r="A83" s="357"/>
      <c r="B83" s="358"/>
      <c r="C83" s="237"/>
      <c r="D83" s="237"/>
      <c r="E83" s="237"/>
      <c r="F83" s="237"/>
      <c r="G83" s="237"/>
      <c r="H83" s="237"/>
      <c r="I83" s="237"/>
      <c r="J83" s="237"/>
      <c r="K83" s="237"/>
      <c r="L83" s="237"/>
      <c r="M83" s="173"/>
      <c r="N83" s="1"/>
    </row>
    <row r="84" spans="1:14">
      <c r="A84" s="359"/>
      <c r="B84" s="360"/>
      <c r="C84" s="360"/>
      <c r="D84" s="360"/>
      <c r="E84" s="360"/>
      <c r="F84" s="360"/>
      <c r="G84" s="360"/>
      <c r="H84" s="360"/>
      <c r="I84" s="360"/>
      <c r="J84" s="360"/>
      <c r="K84" s="360"/>
      <c r="L84" s="360"/>
      <c r="M84" s="173"/>
      <c r="N84" s="1"/>
    </row>
    <row r="85" spans="1:14">
      <c r="A85" s="359"/>
      <c r="B85" s="360"/>
      <c r="C85" s="360"/>
      <c r="D85" s="360"/>
      <c r="E85" s="360"/>
      <c r="F85" s="360"/>
      <c r="G85" s="360"/>
      <c r="H85" s="360"/>
      <c r="I85" s="360"/>
      <c r="J85" s="360"/>
      <c r="K85" s="360"/>
      <c r="L85" s="360"/>
      <c r="M85" s="173"/>
      <c r="N85" s="1"/>
    </row>
    <row r="86" spans="1:14">
      <c r="A86" s="359"/>
      <c r="B86" s="360"/>
      <c r="C86" s="360"/>
      <c r="D86" s="360"/>
      <c r="E86" s="360"/>
      <c r="F86" s="360"/>
      <c r="G86" s="360"/>
      <c r="H86" s="360"/>
      <c r="I86" s="360"/>
      <c r="J86" s="360"/>
      <c r="K86" s="360"/>
      <c r="L86" s="360"/>
      <c r="M86" s="173"/>
      <c r="N86" s="1"/>
    </row>
    <row r="87" spans="1:14">
      <c r="A87" s="375"/>
      <c r="B87" s="358"/>
      <c r="C87" s="237"/>
      <c r="D87" s="237"/>
      <c r="E87" s="237"/>
      <c r="F87" s="237"/>
      <c r="G87" s="237"/>
      <c r="H87" s="237"/>
      <c r="I87" s="237"/>
      <c r="J87" s="237"/>
      <c r="K87" s="237"/>
      <c r="L87" s="237"/>
      <c r="M87" s="173"/>
      <c r="N87" s="1"/>
    </row>
    <row r="88" spans="1:14">
      <c r="A88" s="242"/>
      <c r="B88" s="358"/>
      <c r="C88" s="237"/>
      <c r="D88" s="237"/>
      <c r="E88" s="237"/>
      <c r="F88" s="237"/>
      <c r="G88" s="237"/>
      <c r="H88" s="237"/>
      <c r="I88" s="237"/>
      <c r="J88" s="237"/>
      <c r="K88" s="237"/>
      <c r="L88" s="237"/>
      <c r="M88" s="173"/>
      <c r="N88" s="1"/>
    </row>
    <row r="89" spans="1:14">
      <c r="A89" s="163"/>
      <c r="B89" s="117"/>
      <c r="C89" s="117"/>
      <c r="D89" s="117"/>
      <c r="E89" s="117"/>
      <c r="F89" s="117"/>
      <c r="G89" s="117"/>
      <c r="H89" s="117"/>
      <c r="I89" s="117"/>
      <c r="J89" s="117"/>
      <c r="K89" s="117"/>
      <c r="L89" s="117"/>
      <c r="M89" s="173"/>
      <c r="N89" s="1"/>
    </row>
    <row r="90" spans="1:14" ht="18.75">
      <c r="A90" s="364"/>
      <c r="B90" s="373"/>
      <c r="C90" s="373"/>
      <c r="D90" s="373"/>
      <c r="E90" s="373"/>
      <c r="F90" s="373"/>
      <c r="G90" s="373"/>
      <c r="H90" s="373"/>
      <c r="I90" s="373"/>
      <c r="J90" s="373"/>
      <c r="K90" s="373"/>
      <c r="L90" s="373"/>
      <c r="M90" s="173"/>
      <c r="N90" s="1"/>
    </row>
    <row r="91" spans="1:14">
      <c r="A91" s="165"/>
      <c r="B91" s="365"/>
      <c r="C91" s="365"/>
      <c r="D91" s="365"/>
      <c r="E91" s="365"/>
      <c r="F91" s="365"/>
      <c r="G91" s="365"/>
      <c r="H91" s="365"/>
      <c r="I91" s="365"/>
      <c r="J91" s="365"/>
      <c r="K91" s="365"/>
      <c r="L91" s="365"/>
      <c r="M91" s="173"/>
      <c r="N91" s="1"/>
    </row>
    <row r="92" spans="1:14">
      <c r="A92" s="163"/>
      <c r="B92" s="117"/>
      <c r="C92" s="117"/>
      <c r="D92" s="117"/>
      <c r="E92" s="117"/>
      <c r="F92" s="117"/>
      <c r="G92" s="117"/>
      <c r="H92" s="117"/>
      <c r="I92" s="117"/>
      <c r="J92" s="117"/>
      <c r="K92" s="117"/>
      <c r="L92" s="117"/>
      <c r="M92" s="173"/>
      <c r="N92" s="1"/>
    </row>
    <row r="93" spans="1:14">
      <c r="A93" s="357"/>
      <c r="B93" s="117"/>
      <c r="C93" s="117"/>
      <c r="D93" s="117"/>
      <c r="E93" s="117"/>
      <c r="F93" s="117"/>
      <c r="G93" s="117"/>
      <c r="H93" s="117"/>
      <c r="I93" s="117"/>
      <c r="J93" s="117"/>
      <c r="K93" s="117"/>
      <c r="L93" s="117"/>
      <c r="M93" s="173"/>
      <c r="N93" s="1"/>
    </row>
    <row r="94" spans="1:14">
      <c r="A94" s="359"/>
      <c r="B94" s="117"/>
      <c r="C94" s="117"/>
      <c r="D94" s="117"/>
      <c r="E94" s="117"/>
      <c r="F94" s="117"/>
      <c r="G94" s="117"/>
      <c r="H94" s="117"/>
      <c r="I94" s="117"/>
      <c r="J94" s="117"/>
      <c r="K94" s="117"/>
      <c r="L94" s="117"/>
      <c r="M94" s="173"/>
      <c r="N94" s="1"/>
    </row>
    <row r="95" spans="1:14">
      <c r="A95" s="359"/>
      <c r="B95" s="117"/>
      <c r="C95" s="117"/>
      <c r="D95" s="117"/>
      <c r="E95" s="117"/>
      <c r="F95" s="117"/>
      <c r="G95" s="117"/>
      <c r="H95" s="117"/>
      <c r="I95" s="117"/>
      <c r="J95" s="117"/>
      <c r="K95" s="117"/>
      <c r="L95" s="117"/>
      <c r="M95" s="173"/>
      <c r="N95" s="1"/>
    </row>
    <row r="96" spans="1:14">
      <c r="A96" s="359"/>
      <c r="B96" s="117"/>
      <c r="C96" s="117"/>
      <c r="D96" s="117"/>
      <c r="E96" s="117"/>
      <c r="F96" s="117"/>
      <c r="G96" s="117"/>
      <c r="H96" s="117"/>
      <c r="I96" s="117"/>
      <c r="J96" s="117"/>
      <c r="K96" s="117"/>
      <c r="L96" s="117"/>
      <c r="M96" s="173"/>
      <c r="N96" s="1"/>
    </row>
    <row r="97" spans="1:14">
      <c r="A97" s="359"/>
      <c r="B97" s="117"/>
      <c r="C97" s="117"/>
      <c r="D97" s="117"/>
      <c r="E97" s="117"/>
      <c r="F97" s="117"/>
      <c r="G97" s="117"/>
      <c r="H97" s="117"/>
      <c r="I97" s="117"/>
      <c r="J97" s="117"/>
      <c r="K97" s="117"/>
      <c r="L97" s="117"/>
      <c r="M97" s="173"/>
      <c r="N97" s="1"/>
    </row>
    <row r="98" spans="1:14">
      <c r="A98" s="163"/>
      <c r="B98" s="117"/>
      <c r="C98" s="117"/>
      <c r="D98" s="117"/>
      <c r="E98" s="117"/>
      <c r="F98" s="117"/>
      <c r="G98" s="117"/>
      <c r="H98" s="117"/>
      <c r="I98" s="117"/>
      <c r="J98" s="117"/>
      <c r="K98" s="117"/>
      <c r="L98" s="117"/>
      <c r="M98" s="173"/>
      <c r="N98" s="1"/>
    </row>
    <row r="99" spans="1:14">
      <c r="A99" s="163"/>
      <c r="B99" s="117"/>
      <c r="C99" s="117"/>
      <c r="D99" s="117"/>
      <c r="E99" s="117"/>
      <c r="F99" s="117"/>
      <c r="G99" s="117"/>
      <c r="H99" s="117"/>
      <c r="I99" s="117"/>
      <c r="J99" s="117"/>
      <c r="K99" s="117"/>
      <c r="L99" s="117"/>
      <c r="M99" s="27"/>
      <c r="N99" s="1"/>
    </row>
    <row r="100" spans="1:14">
      <c r="A100" s="357"/>
      <c r="B100" s="117"/>
      <c r="C100" s="117"/>
      <c r="D100" s="117"/>
      <c r="E100" s="117"/>
      <c r="F100" s="117"/>
      <c r="G100" s="117"/>
      <c r="H100" s="117"/>
      <c r="I100" s="117"/>
      <c r="J100" s="117"/>
      <c r="K100" s="117"/>
      <c r="L100" s="117"/>
      <c r="M100" s="27"/>
      <c r="N100" s="1"/>
    </row>
    <row r="101" spans="1:14">
      <c r="A101" s="359"/>
      <c r="B101" s="117"/>
      <c r="C101" s="117"/>
      <c r="D101" s="117"/>
      <c r="E101" s="117"/>
      <c r="F101" s="117"/>
      <c r="G101" s="117"/>
      <c r="H101" s="117"/>
      <c r="I101" s="117"/>
      <c r="J101" s="117"/>
      <c r="K101" s="117"/>
      <c r="L101" s="117"/>
      <c r="M101" s="27"/>
      <c r="N101" s="1"/>
    </row>
    <row r="102" spans="1:14">
      <c r="A102" s="163"/>
      <c r="B102" s="117"/>
      <c r="C102" s="117"/>
      <c r="D102" s="117"/>
      <c r="E102" s="117"/>
      <c r="F102" s="117"/>
      <c r="G102" s="117"/>
      <c r="H102" s="117"/>
      <c r="I102" s="117"/>
      <c r="J102" s="117"/>
      <c r="K102" s="117"/>
      <c r="L102" s="117"/>
      <c r="M102" s="27"/>
      <c r="N102" s="1"/>
    </row>
    <row r="103" spans="1:14">
      <c r="A103" s="357"/>
      <c r="B103" s="117"/>
      <c r="C103" s="117"/>
      <c r="D103" s="117"/>
      <c r="E103" s="117"/>
      <c r="F103" s="117"/>
      <c r="G103" s="117"/>
      <c r="H103" s="117"/>
      <c r="I103" s="117"/>
      <c r="J103" s="117"/>
      <c r="K103" s="117"/>
      <c r="L103" s="117"/>
      <c r="M103" s="27"/>
      <c r="N103" s="1"/>
    </row>
    <row r="104" spans="1:14">
      <c r="A104" s="359"/>
      <c r="B104" s="117"/>
      <c r="C104" s="117"/>
      <c r="D104" s="117"/>
      <c r="E104" s="117"/>
      <c r="F104" s="117"/>
      <c r="G104" s="117"/>
      <c r="H104" s="117"/>
      <c r="I104" s="117"/>
      <c r="J104" s="117"/>
      <c r="K104" s="117"/>
      <c r="L104" s="117"/>
      <c r="M104" s="27"/>
      <c r="N104" s="1"/>
    </row>
    <row r="105" spans="1:14">
      <c r="A105" s="359"/>
      <c r="B105" s="117"/>
      <c r="C105" s="117"/>
      <c r="D105" s="117"/>
      <c r="E105" s="117"/>
      <c r="F105" s="117"/>
      <c r="G105" s="117"/>
      <c r="H105" s="117"/>
      <c r="I105" s="117"/>
      <c r="J105" s="117"/>
      <c r="K105" s="117"/>
      <c r="L105" s="117"/>
      <c r="M105" s="27"/>
      <c r="N105" s="1"/>
    </row>
    <row r="106" spans="1:14">
      <c r="A106" s="359"/>
      <c r="B106" s="117"/>
      <c r="C106" s="117"/>
      <c r="D106" s="117"/>
      <c r="E106" s="117"/>
      <c r="F106" s="117"/>
      <c r="G106" s="117"/>
      <c r="H106" s="117"/>
      <c r="I106" s="117"/>
      <c r="J106" s="117"/>
      <c r="K106" s="117"/>
      <c r="L106" s="117"/>
      <c r="M106" s="27"/>
      <c r="N106" s="1"/>
    </row>
    <row r="107" spans="1:14">
      <c r="A107" s="375"/>
      <c r="B107" s="117"/>
      <c r="C107" s="117"/>
      <c r="D107" s="117"/>
      <c r="E107" s="117"/>
      <c r="F107" s="117"/>
      <c r="G107" s="117"/>
      <c r="H107" s="117"/>
      <c r="I107" s="117"/>
      <c r="J107" s="117"/>
      <c r="K107" s="117"/>
      <c r="L107" s="117"/>
      <c r="M107" s="27"/>
      <c r="N107" s="1"/>
    </row>
    <row r="108" spans="1:14">
      <c r="A108" s="163"/>
      <c r="B108" s="117"/>
      <c r="C108" s="117"/>
      <c r="D108" s="117"/>
      <c r="E108" s="117"/>
      <c r="F108" s="117"/>
      <c r="G108" s="117"/>
      <c r="H108" s="117"/>
      <c r="I108" s="117"/>
      <c r="J108" s="117"/>
      <c r="K108" s="117"/>
      <c r="L108" s="117"/>
      <c r="M108" s="27"/>
      <c r="N108" s="1"/>
    </row>
    <row r="109" spans="1:14">
      <c r="A109" s="163"/>
      <c r="B109" s="117"/>
      <c r="C109" s="117"/>
      <c r="D109" s="117"/>
      <c r="E109" s="117"/>
      <c r="F109" s="117"/>
      <c r="G109" s="117"/>
      <c r="H109" s="117"/>
      <c r="I109" s="117"/>
      <c r="J109" s="117"/>
      <c r="K109" s="117"/>
      <c r="L109" s="117"/>
      <c r="M109" s="27"/>
      <c r="N109" s="1"/>
    </row>
    <row r="110" spans="1:14">
      <c r="A110" s="163"/>
      <c r="B110" s="373"/>
      <c r="C110" s="373"/>
      <c r="D110" s="373"/>
      <c r="E110" s="373"/>
      <c r="F110" s="373"/>
      <c r="G110" s="373"/>
      <c r="H110" s="373"/>
      <c r="I110" s="373"/>
      <c r="J110" s="373"/>
      <c r="K110" s="373"/>
      <c r="L110" s="373"/>
      <c r="M110" s="27"/>
      <c r="N110" s="1"/>
    </row>
    <row r="111" spans="1:14">
      <c r="A111" s="163"/>
      <c r="B111" s="159"/>
      <c r="C111" s="159"/>
      <c r="D111" s="159"/>
      <c r="E111" s="159"/>
      <c r="F111" s="159"/>
      <c r="G111" s="159"/>
      <c r="H111" s="159"/>
      <c r="I111" s="159"/>
      <c r="J111" s="159"/>
      <c r="K111" s="159"/>
      <c r="L111" s="159"/>
      <c r="M111" s="27"/>
      <c r="N111" s="1"/>
    </row>
    <row r="112" spans="1:14">
      <c r="A112" s="163"/>
      <c r="B112" s="159"/>
      <c r="C112" s="159"/>
      <c r="D112" s="159"/>
      <c r="E112" s="159"/>
      <c r="F112" s="159"/>
      <c r="G112" s="159"/>
      <c r="H112" s="159"/>
      <c r="I112" s="159"/>
      <c r="J112" s="159"/>
      <c r="K112" s="159"/>
      <c r="L112" s="159"/>
      <c r="M112" s="27"/>
      <c r="N112" s="1"/>
    </row>
    <row r="113" spans="1:21">
      <c r="A113" s="165"/>
      <c r="B113" s="165"/>
      <c r="C113" s="165"/>
      <c r="D113" s="165"/>
      <c r="E113" s="165"/>
      <c r="F113" s="165"/>
      <c r="G113" s="165"/>
      <c r="H113" s="165"/>
      <c r="I113" s="165"/>
      <c r="J113" s="165"/>
      <c r="K113" s="242"/>
      <c r="L113" s="242"/>
      <c r="M113" s="30"/>
    </row>
    <row r="114" spans="1:21">
      <c r="A114" s="165"/>
      <c r="B114" s="145"/>
      <c r="C114" s="145"/>
      <c r="D114" s="117"/>
      <c r="E114" s="117"/>
      <c r="F114" s="117"/>
      <c r="G114" s="117"/>
      <c r="H114" s="117"/>
      <c r="I114" s="117"/>
      <c r="J114" s="117"/>
      <c r="K114" s="117"/>
      <c r="L114" s="117"/>
      <c r="M114" s="19"/>
    </row>
    <row r="115" spans="1:21">
      <c r="A115" s="163"/>
      <c r="B115" s="339"/>
      <c r="C115" s="339"/>
      <c r="D115" s="339"/>
      <c r="E115" s="339"/>
      <c r="F115" s="339"/>
      <c r="G115" s="339"/>
      <c r="H115" s="339"/>
      <c r="I115" s="339"/>
      <c r="J115" s="339"/>
      <c r="K115" s="339"/>
      <c r="L115" s="339"/>
      <c r="M115" s="19"/>
    </row>
    <row r="116" spans="1:21">
      <c r="A116" s="163"/>
      <c r="B116" s="163"/>
      <c r="C116" s="163"/>
      <c r="D116" s="163"/>
      <c r="E116" s="163"/>
      <c r="F116" s="163"/>
      <c r="G116" s="163"/>
      <c r="H116" s="163"/>
      <c r="I116" s="339"/>
      <c r="J116" s="339"/>
      <c r="K116" s="339"/>
      <c r="L116" s="339"/>
      <c r="M116" s="19"/>
    </row>
    <row r="117" spans="1:21">
      <c r="A117" s="163"/>
      <c r="B117" s="163"/>
      <c r="C117" s="163"/>
      <c r="D117" s="163"/>
      <c r="E117" s="163"/>
      <c r="F117" s="163"/>
      <c r="G117" s="163"/>
      <c r="H117" s="163"/>
      <c r="I117" s="339"/>
      <c r="J117" s="339"/>
      <c r="K117" s="339"/>
      <c r="L117" s="339"/>
      <c r="M117" s="19"/>
    </row>
    <row r="118" spans="1:21">
      <c r="A118" s="163"/>
      <c r="B118" s="117"/>
      <c r="C118" s="117"/>
      <c r="D118" s="117"/>
      <c r="E118" s="117"/>
      <c r="F118" s="117"/>
      <c r="G118" s="117"/>
      <c r="H118" s="117"/>
      <c r="I118" s="117"/>
      <c r="J118" s="117"/>
      <c r="K118" s="117"/>
      <c r="L118" s="117"/>
      <c r="M118" s="19"/>
    </row>
    <row r="119" spans="1:21">
      <c r="A119" s="163"/>
      <c r="B119" s="163"/>
      <c r="C119" s="163"/>
      <c r="D119" s="163"/>
      <c r="E119" s="163"/>
      <c r="F119" s="163"/>
      <c r="G119" s="163"/>
      <c r="H119" s="163"/>
      <c r="I119" s="117"/>
      <c r="J119" s="117"/>
      <c r="K119" s="117"/>
      <c r="L119" s="117"/>
      <c r="M119" s="19"/>
    </row>
    <row r="120" spans="1:21">
      <c r="A120" s="163"/>
      <c r="B120" s="117"/>
      <c r="C120" s="117"/>
      <c r="D120" s="117"/>
      <c r="E120" s="117"/>
      <c r="F120" s="117"/>
      <c r="G120" s="117"/>
      <c r="H120" s="117"/>
      <c r="I120" s="117"/>
      <c r="J120" s="117"/>
      <c r="K120" s="117"/>
      <c r="L120" s="117"/>
      <c r="M120" s="27"/>
      <c r="N120" s="1"/>
      <c r="O120" s="1"/>
      <c r="P120" s="1"/>
      <c r="Q120" s="1"/>
      <c r="R120" s="1"/>
      <c r="S120" s="1"/>
      <c r="T120" s="1"/>
      <c r="U120" s="1"/>
    </row>
    <row r="121" spans="1:21">
      <c r="A121" s="163"/>
      <c r="B121" s="117"/>
      <c r="C121" s="117"/>
      <c r="D121" s="117"/>
      <c r="E121" s="117"/>
      <c r="F121" s="117"/>
      <c r="G121" s="117"/>
      <c r="H121" s="117"/>
      <c r="I121" s="117"/>
      <c r="J121" s="117"/>
      <c r="K121" s="117"/>
      <c r="L121" s="117"/>
      <c r="M121" s="27"/>
      <c r="N121" s="1"/>
      <c r="O121" s="1"/>
      <c r="P121" s="1"/>
      <c r="Q121" s="1"/>
      <c r="R121" s="1"/>
      <c r="S121" s="1"/>
      <c r="T121" s="1"/>
      <c r="U121" s="1"/>
    </row>
    <row r="122" spans="1:21">
      <c r="A122" s="163"/>
      <c r="B122" s="117"/>
      <c r="C122" s="117"/>
      <c r="D122" s="117"/>
      <c r="E122" s="117"/>
      <c r="F122" s="117"/>
      <c r="G122" s="117"/>
      <c r="H122" s="117"/>
      <c r="I122" s="117"/>
      <c r="J122" s="117"/>
      <c r="K122" s="117"/>
      <c r="L122" s="117"/>
      <c r="M122" s="27"/>
      <c r="N122" s="1"/>
      <c r="O122" s="1"/>
      <c r="P122" s="1"/>
      <c r="Q122" s="1"/>
      <c r="R122" s="1"/>
      <c r="S122" s="1"/>
      <c r="T122" s="1"/>
      <c r="U122" s="1"/>
    </row>
    <row r="123" spans="1:21">
      <c r="A123" s="163"/>
      <c r="B123" s="117"/>
      <c r="C123" s="117"/>
      <c r="D123" s="117"/>
      <c r="E123" s="117"/>
      <c r="F123" s="117"/>
      <c r="G123" s="117"/>
      <c r="H123" s="117"/>
      <c r="I123" s="117"/>
      <c r="J123" s="117"/>
      <c r="K123" s="117"/>
      <c r="L123" s="117"/>
      <c r="M123" s="27"/>
      <c r="N123" s="1"/>
      <c r="O123" s="1"/>
      <c r="P123" s="1"/>
      <c r="Q123" s="1"/>
      <c r="R123" s="1"/>
      <c r="S123" s="1"/>
      <c r="T123" s="1"/>
      <c r="U123" s="1"/>
    </row>
    <row r="124" spans="1:21">
      <c r="A124" s="163"/>
      <c r="B124" s="117"/>
      <c r="C124" s="117"/>
      <c r="D124" s="117"/>
      <c r="E124" s="117"/>
      <c r="F124" s="117"/>
      <c r="G124" s="117"/>
      <c r="H124" s="117"/>
      <c r="I124" s="117"/>
      <c r="J124" s="117"/>
      <c r="K124" s="117"/>
      <c r="L124" s="117"/>
      <c r="M124" s="27"/>
      <c r="N124" s="1"/>
      <c r="O124" s="1"/>
      <c r="P124" s="1"/>
      <c r="Q124" s="1"/>
      <c r="R124" s="1"/>
      <c r="S124" s="1"/>
      <c r="T124" s="1"/>
      <c r="U124" s="1"/>
    </row>
    <row r="125" spans="1:21">
      <c r="A125" s="163"/>
      <c r="B125" s="117"/>
      <c r="C125" s="117"/>
      <c r="D125" s="117"/>
      <c r="E125" s="117"/>
      <c r="F125" s="117"/>
      <c r="G125" s="117"/>
      <c r="H125" s="117"/>
      <c r="I125" s="117"/>
      <c r="J125" s="117"/>
      <c r="K125" s="117"/>
      <c r="L125" s="117"/>
      <c r="M125" s="27"/>
      <c r="N125" s="1"/>
      <c r="O125" s="1"/>
      <c r="P125" s="1"/>
      <c r="Q125" s="1"/>
      <c r="R125" s="1"/>
      <c r="S125" s="1"/>
      <c r="T125" s="1"/>
      <c r="U125" s="1"/>
    </row>
    <row r="126" spans="1:21">
      <c r="A126" s="163"/>
      <c r="B126" s="117"/>
      <c r="C126" s="117"/>
      <c r="D126" s="117"/>
      <c r="E126" s="117"/>
      <c r="F126" s="117"/>
      <c r="G126" s="117"/>
      <c r="H126" s="117"/>
      <c r="I126" s="117"/>
      <c r="J126" s="117"/>
      <c r="K126" s="117"/>
      <c r="L126" s="117"/>
      <c r="M126" s="27"/>
      <c r="N126" s="1"/>
      <c r="O126" s="1"/>
      <c r="P126" s="1"/>
      <c r="Q126" s="1"/>
      <c r="R126" s="1"/>
      <c r="S126" s="1"/>
      <c r="T126" s="1"/>
      <c r="U126" s="1"/>
    </row>
    <row r="127" spans="1:21">
      <c r="A127" s="163"/>
      <c r="B127" s="117"/>
      <c r="C127" s="117"/>
      <c r="D127" s="117"/>
      <c r="E127" s="117"/>
      <c r="F127" s="117"/>
      <c r="G127" s="117"/>
      <c r="H127" s="117"/>
      <c r="I127" s="117"/>
      <c r="J127" s="117"/>
      <c r="K127" s="117"/>
      <c r="L127" s="117"/>
      <c r="M127" s="27"/>
      <c r="N127" s="1"/>
      <c r="O127" s="1"/>
      <c r="P127" s="1"/>
      <c r="Q127" s="1"/>
      <c r="R127" s="1"/>
      <c r="S127" s="1"/>
      <c r="T127" s="1"/>
      <c r="U127" s="1"/>
    </row>
    <row r="128" spans="1:21">
      <c r="A128" s="163"/>
      <c r="B128" s="117"/>
      <c r="C128" s="117"/>
      <c r="D128" s="117"/>
      <c r="E128" s="117"/>
      <c r="F128" s="117"/>
      <c r="G128" s="117"/>
      <c r="H128" s="117"/>
      <c r="I128" s="117"/>
      <c r="J128" s="117"/>
      <c r="K128" s="117"/>
      <c r="L128" s="117"/>
      <c r="M128" s="27"/>
      <c r="N128" s="1"/>
      <c r="O128" s="1"/>
      <c r="P128" s="1"/>
      <c r="Q128" s="1"/>
      <c r="R128" s="1"/>
      <c r="S128" s="1"/>
      <c r="T128" s="1"/>
      <c r="U128" s="1"/>
    </row>
    <row r="129" spans="1:21">
      <c r="A129" s="163"/>
      <c r="B129" s="117"/>
      <c r="C129" s="117"/>
      <c r="D129" s="117"/>
      <c r="E129" s="117"/>
      <c r="F129" s="117"/>
      <c r="G129" s="117"/>
      <c r="H129" s="117"/>
      <c r="I129" s="117"/>
      <c r="J129" s="117"/>
      <c r="K129" s="117"/>
      <c r="L129" s="117"/>
      <c r="M129" s="27"/>
      <c r="N129" s="1"/>
      <c r="O129" s="1"/>
      <c r="P129" s="1"/>
      <c r="Q129" s="1"/>
      <c r="R129" s="1"/>
      <c r="S129" s="1"/>
      <c r="T129" s="1"/>
      <c r="U129" s="1"/>
    </row>
    <row r="130" spans="1:21">
      <c r="A130" s="163"/>
      <c r="B130" s="117"/>
      <c r="C130" s="117"/>
      <c r="D130" s="117"/>
      <c r="E130" s="117"/>
      <c r="F130" s="117"/>
      <c r="G130" s="117"/>
      <c r="H130" s="117"/>
      <c r="I130" s="117"/>
      <c r="J130" s="117"/>
      <c r="K130" s="117"/>
      <c r="L130" s="117"/>
      <c r="M130" s="27"/>
      <c r="N130" s="1"/>
      <c r="O130" s="1"/>
      <c r="P130" s="1"/>
      <c r="Q130" s="1"/>
      <c r="R130" s="1"/>
      <c r="S130" s="1"/>
      <c r="T130" s="1"/>
      <c r="U130" s="1"/>
    </row>
    <row r="131" spans="1:21">
      <c r="A131" s="163"/>
      <c r="B131" s="117"/>
      <c r="C131" s="117"/>
      <c r="D131" s="117"/>
      <c r="E131" s="117"/>
      <c r="F131" s="117"/>
      <c r="G131" s="117"/>
      <c r="H131" s="117"/>
      <c r="I131" s="117"/>
      <c r="J131" s="117"/>
      <c r="K131" s="117"/>
      <c r="L131" s="117"/>
      <c r="M131" s="27"/>
      <c r="N131" s="1"/>
      <c r="O131" s="1"/>
      <c r="P131" s="1"/>
      <c r="Q131" s="1"/>
      <c r="R131" s="1"/>
      <c r="S131" s="1"/>
      <c r="T131" s="1"/>
      <c r="U131" s="1"/>
    </row>
    <row r="132" spans="1:21">
      <c r="A132" s="163"/>
      <c r="B132" s="117"/>
      <c r="C132" s="117"/>
      <c r="D132" s="117"/>
      <c r="E132" s="117"/>
      <c r="F132" s="117"/>
      <c r="G132" s="117"/>
      <c r="H132" s="117"/>
      <c r="I132" s="117"/>
      <c r="J132" s="117"/>
      <c r="K132" s="117"/>
      <c r="L132" s="117"/>
      <c r="M132" s="27"/>
      <c r="N132" s="1"/>
      <c r="O132" s="1"/>
      <c r="P132" s="1"/>
      <c r="Q132" s="1"/>
      <c r="R132" s="1"/>
      <c r="S132" s="1"/>
      <c r="T132" s="1"/>
      <c r="U132" s="1"/>
    </row>
    <row r="133" spans="1:21">
      <c r="A133" s="163"/>
      <c r="B133" s="117"/>
      <c r="C133" s="117"/>
      <c r="D133" s="117"/>
      <c r="E133" s="117"/>
      <c r="F133" s="117"/>
      <c r="G133" s="117"/>
      <c r="H133" s="117"/>
      <c r="I133" s="117"/>
      <c r="J133" s="117"/>
      <c r="K133" s="117"/>
      <c r="L133" s="117"/>
      <c r="M133" s="27"/>
      <c r="N133" s="1"/>
      <c r="O133" s="1"/>
      <c r="P133" s="1"/>
      <c r="Q133" s="1"/>
      <c r="R133" s="1"/>
      <c r="S133" s="1"/>
      <c r="T133" s="1"/>
      <c r="U133" s="1"/>
    </row>
    <row r="134" spans="1:21">
      <c r="A134" s="163"/>
      <c r="B134" s="117"/>
      <c r="C134" s="117"/>
      <c r="D134" s="117"/>
      <c r="E134" s="117"/>
      <c r="F134" s="117"/>
      <c r="G134" s="117"/>
      <c r="H134" s="117"/>
      <c r="I134" s="117"/>
      <c r="J134" s="117"/>
      <c r="K134" s="117"/>
      <c r="L134" s="117"/>
      <c r="M134" s="27"/>
      <c r="N134" s="1"/>
      <c r="O134" s="1"/>
      <c r="P134" s="1"/>
      <c r="Q134" s="1"/>
      <c r="R134" s="1"/>
      <c r="S134" s="1"/>
      <c r="T134" s="1"/>
      <c r="U134" s="1"/>
    </row>
    <row r="135" spans="1:21">
      <c r="A135" s="163"/>
      <c r="B135" s="117"/>
      <c r="C135" s="117"/>
      <c r="D135" s="117"/>
      <c r="E135" s="117"/>
      <c r="F135" s="117"/>
      <c r="G135" s="117"/>
      <c r="H135" s="117"/>
      <c r="I135" s="117"/>
      <c r="J135" s="117"/>
      <c r="K135" s="117"/>
      <c r="L135" s="339"/>
      <c r="M135" s="27"/>
      <c r="N135" s="1"/>
      <c r="O135" s="1"/>
      <c r="P135" s="1"/>
      <c r="Q135" s="1"/>
      <c r="R135" s="1"/>
      <c r="S135" s="1"/>
      <c r="T135" s="1"/>
      <c r="U135" s="1"/>
    </row>
    <row r="136" spans="1:21">
      <c r="A136" s="163"/>
      <c r="B136" s="117"/>
      <c r="C136" s="117"/>
      <c r="D136" s="117"/>
      <c r="E136" s="117"/>
      <c r="F136" s="117"/>
      <c r="G136" s="117"/>
      <c r="H136" s="117"/>
      <c r="I136" s="117"/>
      <c r="J136" s="117"/>
      <c r="K136" s="117"/>
      <c r="L136" s="117"/>
      <c r="M136" s="27"/>
      <c r="N136" s="1"/>
      <c r="O136" s="1"/>
      <c r="P136" s="1"/>
      <c r="Q136" s="1"/>
      <c r="R136" s="1"/>
      <c r="S136" s="1"/>
      <c r="T136" s="1"/>
      <c r="U136" s="1"/>
    </row>
    <row r="137" spans="1:21">
      <c r="A137" s="163"/>
      <c r="B137" s="117"/>
      <c r="C137" s="117"/>
      <c r="D137" s="117"/>
      <c r="E137" s="117"/>
      <c r="F137" s="117"/>
      <c r="G137" s="117"/>
      <c r="H137" s="117"/>
      <c r="I137" s="117"/>
      <c r="J137" s="117"/>
      <c r="K137" s="117"/>
      <c r="L137" s="117"/>
      <c r="M137" s="27"/>
      <c r="N137" s="1"/>
      <c r="O137" s="1"/>
      <c r="P137" s="1"/>
      <c r="Q137" s="1"/>
      <c r="R137" s="1"/>
      <c r="S137" s="1"/>
      <c r="T137" s="1"/>
      <c r="U137" s="1"/>
    </row>
    <row r="138" spans="1:21">
      <c r="A138" s="163"/>
      <c r="B138" s="117"/>
      <c r="C138" s="117"/>
      <c r="D138" s="117"/>
      <c r="E138" s="117"/>
      <c r="F138" s="117"/>
      <c r="G138" s="117"/>
      <c r="H138" s="117"/>
      <c r="I138" s="117"/>
      <c r="J138" s="117"/>
      <c r="K138" s="117"/>
      <c r="L138" s="117"/>
      <c r="M138" s="27"/>
      <c r="N138" s="1"/>
      <c r="O138" s="1"/>
      <c r="P138" s="1"/>
      <c r="Q138" s="1"/>
      <c r="R138" s="1"/>
      <c r="S138" s="1"/>
      <c r="T138" s="1"/>
      <c r="U138" s="1"/>
    </row>
    <row r="139" spans="1:21">
      <c r="A139" s="163"/>
      <c r="B139" s="117"/>
      <c r="C139" s="117"/>
      <c r="D139" s="117"/>
      <c r="E139" s="117"/>
      <c r="F139" s="117"/>
      <c r="G139" s="117"/>
      <c r="H139" s="117"/>
      <c r="I139" s="117"/>
      <c r="J139" s="117"/>
      <c r="K139" s="117"/>
      <c r="L139" s="117"/>
      <c r="M139" s="27"/>
      <c r="N139" s="1"/>
      <c r="O139" s="1"/>
      <c r="P139" s="1"/>
      <c r="Q139" s="1"/>
      <c r="R139" s="1"/>
      <c r="S139" s="1"/>
      <c r="T139" s="1"/>
      <c r="U139" s="1"/>
    </row>
    <row r="140" spans="1:21">
      <c r="A140" s="163"/>
      <c r="B140" s="117"/>
      <c r="C140" s="117"/>
      <c r="D140" s="117"/>
      <c r="E140" s="117"/>
      <c r="F140" s="117"/>
      <c r="G140" s="117"/>
      <c r="H140" s="117"/>
      <c r="I140" s="117"/>
      <c r="J140" s="117"/>
      <c r="K140" s="117"/>
      <c r="L140" s="117"/>
      <c r="M140" s="27"/>
      <c r="N140" s="1"/>
      <c r="O140" s="1"/>
      <c r="P140" s="1"/>
      <c r="Q140" s="1"/>
      <c r="R140" s="1"/>
      <c r="S140" s="1"/>
      <c r="T140" s="1"/>
      <c r="U140" s="1"/>
    </row>
    <row r="141" spans="1:21">
      <c r="A141" s="163"/>
      <c r="B141" s="117"/>
      <c r="C141" s="117"/>
      <c r="D141" s="117"/>
      <c r="E141" s="117"/>
      <c r="F141" s="117"/>
      <c r="G141" s="117"/>
      <c r="H141" s="117"/>
      <c r="I141" s="117"/>
      <c r="J141" s="117"/>
      <c r="K141" s="117"/>
      <c r="L141" s="117"/>
      <c r="M141" s="27"/>
      <c r="N141" s="1"/>
      <c r="O141" s="1"/>
      <c r="P141" s="1"/>
      <c r="Q141" s="1"/>
      <c r="R141" s="1"/>
      <c r="S141" s="1"/>
      <c r="T141" s="1"/>
      <c r="U141" s="1"/>
    </row>
    <row r="142" spans="1:21">
      <c r="A142" s="163"/>
      <c r="B142" s="117"/>
      <c r="C142" s="117"/>
      <c r="D142" s="117"/>
      <c r="E142" s="117"/>
      <c r="F142" s="117"/>
      <c r="G142" s="117"/>
      <c r="H142" s="163"/>
      <c r="I142" s="117"/>
      <c r="J142" s="117"/>
      <c r="K142" s="117"/>
      <c r="L142" s="117"/>
      <c r="M142" s="27"/>
      <c r="N142" s="1"/>
      <c r="O142" s="1"/>
      <c r="P142" s="1"/>
      <c r="Q142" s="1"/>
      <c r="R142" s="1"/>
      <c r="S142" s="1"/>
      <c r="T142" s="1"/>
      <c r="U142" s="1"/>
    </row>
    <row r="143" spans="1:21">
      <c r="A143" s="163"/>
      <c r="B143" s="117"/>
      <c r="C143" s="117"/>
      <c r="D143" s="117"/>
      <c r="E143" s="117"/>
      <c r="F143" s="117"/>
      <c r="G143" s="117"/>
      <c r="H143" s="117"/>
      <c r="I143" s="117"/>
      <c r="J143" s="117"/>
      <c r="K143" s="117"/>
      <c r="L143" s="117"/>
      <c r="M143" s="27"/>
      <c r="N143" s="1"/>
      <c r="O143" s="1"/>
      <c r="P143" s="1"/>
      <c r="Q143" s="1"/>
      <c r="R143" s="1"/>
      <c r="S143" s="1"/>
      <c r="T143" s="1"/>
      <c r="U143" s="1"/>
    </row>
    <row r="144" spans="1:21">
      <c r="A144" s="163"/>
      <c r="B144" s="117"/>
      <c r="C144" s="117"/>
      <c r="D144" s="117"/>
      <c r="E144" s="117"/>
      <c r="F144" s="117"/>
      <c r="G144" s="117"/>
      <c r="H144" s="117"/>
      <c r="I144" s="117"/>
      <c r="J144" s="117"/>
      <c r="K144" s="117"/>
      <c r="L144" s="117"/>
      <c r="M144" s="27"/>
      <c r="N144" s="1"/>
      <c r="O144" s="1"/>
      <c r="P144" s="1"/>
      <c r="Q144" s="1"/>
      <c r="R144" s="1"/>
      <c r="S144" s="1"/>
      <c r="T144" s="1"/>
      <c r="U144" s="1"/>
    </row>
    <row r="145" spans="1:21">
      <c r="A145" s="163"/>
      <c r="B145" s="117"/>
      <c r="C145" s="117"/>
      <c r="D145" s="117"/>
      <c r="E145" s="117"/>
      <c r="F145" s="117"/>
      <c r="G145" s="117"/>
      <c r="H145" s="117"/>
      <c r="I145" s="117"/>
      <c r="J145" s="117"/>
      <c r="K145" s="117"/>
      <c r="L145" s="117"/>
      <c r="M145" s="27"/>
      <c r="N145" s="1"/>
      <c r="O145" s="1"/>
      <c r="P145" s="1"/>
      <c r="Q145" s="1"/>
      <c r="R145" s="1"/>
      <c r="S145" s="1"/>
      <c r="T145" s="1"/>
      <c r="U145" s="1"/>
    </row>
    <row r="146" spans="1:21">
      <c r="A146" s="163"/>
      <c r="B146" s="117"/>
      <c r="C146" s="117"/>
      <c r="D146" s="117"/>
      <c r="E146" s="117"/>
      <c r="F146" s="117"/>
      <c r="G146" s="117"/>
      <c r="H146" s="117"/>
      <c r="I146" s="117"/>
      <c r="J146" s="117"/>
      <c r="K146" s="117"/>
      <c r="L146" s="117"/>
      <c r="M146" s="27"/>
      <c r="N146" s="1"/>
      <c r="O146" s="1"/>
      <c r="P146" s="1"/>
      <c r="Q146" s="1"/>
      <c r="R146" s="1"/>
      <c r="S146" s="1"/>
      <c r="T146" s="1"/>
      <c r="U146" s="1"/>
    </row>
    <row r="147" spans="1:21">
      <c r="A147" s="163"/>
      <c r="B147" s="117"/>
      <c r="C147" s="117"/>
      <c r="D147" s="163"/>
      <c r="E147" s="117"/>
      <c r="F147" s="117"/>
      <c r="G147" s="117"/>
      <c r="H147" s="117"/>
      <c r="I147" s="117"/>
      <c r="J147" s="117"/>
      <c r="K147" s="117"/>
      <c r="L147" s="117"/>
      <c r="M147" s="27"/>
      <c r="N147" s="1"/>
      <c r="O147" s="1"/>
      <c r="P147" s="1"/>
      <c r="Q147" s="1"/>
      <c r="R147" s="1"/>
      <c r="S147" s="1"/>
      <c r="T147" s="1"/>
      <c r="U147" s="1"/>
    </row>
    <row r="148" spans="1:21">
      <c r="A148" s="163"/>
      <c r="B148" s="117"/>
      <c r="C148" s="117"/>
      <c r="D148" s="117"/>
      <c r="E148" s="117"/>
      <c r="F148" s="117"/>
      <c r="G148" s="117"/>
      <c r="H148" s="117"/>
      <c r="I148" s="117"/>
      <c r="J148" s="117"/>
      <c r="K148" s="117"/>
      <c r="L148" s="117"/>
      <c r="M148" s="27"/>
      <c r="N148" s="1"/>
      <c r="O148" s="1"/>
      <c r="P148" s="1"/>
      <c r="Q148" s="1"/>
      <c r="R148" s="1"/>
      <c r="S148" s="1"/>
      <c r="T148" s="1"/>
      <c r="U148" s="1"/>
    </row>
    <row r="149" spans="1:21">
      <c r="A149" s="163"/>
      <c r="B149" s="373"/>
      <c r="C149" s="373"/>
      <c r="D149" s="373"/>
      <c r="E149" s="373"/>
      <c r="F149" s="373"/>
      <c r="G149" s="373"/>
      <c r="H149" s="373"/>
      <c r="I149" s="373"/>
      <c r="J149" s="373"/>
      <c r="K149" s="373"/>
      <c r="L149" s="373"/>
      <c r="M149" s="27"/>
      <c r="N149" s="1"/>
      <c r="O149" s="1"/>
      <c r="P149" s="1"/>
      <c r="Q149" s="1"/>
      <c r="R149" s="1"/>
      <c r="S149" s="1"/>
      <c r="T149" s="1"/>
      <c r="U149" s="1"/>
    </row>
    <row r="150" spans="1:21">
      <c r="A150" s="163"/>
      <c r="B150" s="193"/>
      <c r="C150" s="193"/>
      <c r="D150" s="193"/>
      <c r="E150" s="193"/>
      <c r="F150" s="193"/>
      <c r="G150" s="193"/>
      <c r="H150" s="193"/>
      <c r="I150" s="193"/>
      <c r="J150" s="193"/>
      <c r="K150" s="193"/>
      <c r="L150" s="193"/>
      <c r="M150" s="27"/>
      <c r="N150" s="1"/>
      <c r="O150" s="1"/>
      <c r="P150" s="1"/>
      <c r="Q150" s="1"/>
      <c r="R150" s="1"/>
      <c r="S150" s="1"/>
      <c r="T150" s="1"/>
      <c r="U150" s="1"/>
    </row>
    <row r="151" spans="1:21">
      <c r="A151" s="163"/>
      <c r="B151" s="117"/>
      <c r="C151" s="117"/>
      <c r="D151" s="117"/>
      <c r="E151" s="117"/>
      <c r="F151" s="117"/>
      <c r="G151" s="117"/>
      <c r="H151" s="117"/>
      <c r="I151" s="117"/>
      <c r="J151" s="117"/>
      <c r="K151" s="117"/>
      <c r="L151" s="117"/>
      <c r="M151" s="27"/>
      <c r="N151" s="1"/>
      <c r="O151" s="1"/>
      <c r="P151" s="1"/>
      <c r="Q151" s="1"/>
      <c r="R151" s="1"/>
      <c r="S151" s="1"/>
      <c r="T151" s="1"/>
      <c r="U151" s="1"/>
    </row>
    <row r="152" spans="1:21">
      <c r="A152" s="163"/>
      <c r="B152" s="313"/>
      <c r="C152" s="313"/>
      <c r="D152" s="313"/>
      <c r="E152" s="313"/>
      <c r="F152" s="313"/>
      <c r="G152" s="313"/>
      <c r="H152" s="313"/>
      <c r="I152" s="159"/>
      <c r="J152" s="159"/>
      <c r="K152" s="159"/>
      <c r="L152" s="159"/>
      <c r="M152" s="27"/>
      <c r="N152" s="1"/>
      <c r="O152" s="1"/>
      <c r="P152" s="1"/>
      <c r="Q152" s="1"/>
      <c r="R152" s="1"/>
      <c r="S152" s="1"/>
      <c r="T152" s="1"/>
      <c r="U152" s="1"/>
    </row>
    <row r="153" spans="1:21">
      <c r="A153" s="163"/>
      <c r="B153" s="313"/>
      <c r="C153" s="313"/>
      <c r="D153" s="313"/>
      <c r="E153" s="313"/>
      <c r="F153" s="313"/>
      <c r="G153" s="313"/>
      <c r="H153" s="313"/>
      <c r="I153" s="358"/>
      <c r="J153" s="358"/>
      <c r="K153" s="358"/>
      <c r="L153" s="358"/>
      <c r="M153" s="27"/>
      <c r="N153" s="1"/>
      <c r="O153" s="1"/>
      <c r="P153" s="1"/>
      <c r="Q153" s="1"/>
      <c r="R153" s="1"/>
      <c r="S153" s="1"/>
      <c r="T153" s="1"/>
      <c r="U153" s="1"/>
    </row>
    <row r="154" spans="1:21">
      <c r="A154" s="163"/>
      <c r="B154" s="313"/>
      <c r="C154" s="313"/>
      <c r="D154" s="313"/>
      <c r="E154" s="313"/>
      <c r="F154" s="313"/>
      <c r="G154" s="313"/>
      <c r="H154" s="313"/>
      <c r="I154" s="313"/>
      <c r="J154" s="313"/>
      <c r="K154" s="313"/>
      <c r="L154" s="313"/>
      <c r="M154" s="27"/>
      <c r="N154" s="1"/>
      <c r="O154" s="1"/>
      <c r="P154" s="1"/>
      <c r="Q154" s="1"/>
      <c r="R154" s="1"/>
      <c r="S154" s="1"/>
      <c r="T154" s="1"/>
      <c r="U154" s="1"/>
    </row>
    <row r="155" spans="1:21">
      <c r="A155" s="163"/>
      <c r="B155" s="159"/>
      <c r="C155" s="159"/>
      <c r="D155" s="159"/>
      <c r="E155" s="159"/>
      <c r="F155" s="159"/>
      <c r="G155" s="159"/>
      <c r="H155" s="159"/>
      <c r="I155" s="159"/>
      <c r="J155" s="159"/>
      <c r="K155" s="159"/>
      <c r="L155" s="159"/>
      <c r="M155" s="27"/>
      <c r="N155" s="1"/>
      <c r="O155" s="1"/>
      <c r="P155" s="1"/>
      <c r="Q155" s="1"/>
      <c r="R155" s="1"/>
      <c r="S155" s="1"/>
      <c r="T155" s="1"/>
      <c r="U155" s="1"/>
    </row>
    <row r="156" spans="1:21">
      <c r="A156" s="163"/>
      <c r="B156" s="117"/>
      <c r="C156" s="117"/>
      <c r="D156" s="117"/>
      <c r="E156" s="117"/>
      <c r="F156" s="117"/>
      <c r="G156" s="117"/>
      <c r="H156" s="117"/>
      <c r="I156" s="117"/>
      <c r="J156" s="117"/>
      <c r="K156" s="117"/>
      <c r="L156" s="117"/>
      <c r="M156" s="27"/>
      <c r="N156" s="1"/>
      <c r="O156" s="1"/>
      <c r="P156" s="1"/>
      <c r="Q156" s="1"/>
      <c r="R156" s="1"/>
      <c r="S156" s="1"/>
      <c r="T156" s="1"/>
      <c r="U156" s="1"/>
    </row>
    <row r="157" spans="1:21">
      <c r="A157" s="163"/>
      <c r="B157" s="117"/>
      <c r="C157" s="117"/>
      <c r="D157" s="117"/>
      <c r="E157" s="117"/>
      <c r="F157" s="117"/>
      <c r="G157" s="117"/>
      <c r="H157" s="117"/>
      <c r="I157" s="117"/>
      <c r="J157" s="117"/>
      <c r="K157" s="117"/>
      <c r="L157" s="117"/>
      <c r="M157" s="27"/>
      <c r="N157" s="1"/>
      <c r="O157" s="1"/>
      <c r="P157" s="1"/>
      <c r="Q157" s="1"/>
      <c r="R157" s="1"/>
      <c r="S157" s="1"/>
      <c r="T157" s="1"/>
      <c r="U157" s="1"/>
    </row>
    <row r="158" spans="1:21">
      <c r="A158" s="163"/>
      <c r="B158" s="117"/>
      <c r="C158" s="117"/>
      <c r="D158" s="117"/>
      <c r="E158" s="117"/>
      <c r="F158" s="117"/>
      <c r="G158" s="117"/>
      <c r="H158" s="117"/>
      <c r="I158" s="117"/>
      <c r="J158" s="117"/>
      <c r="K158" s="117"/>
      <c r="L158" s="117"/>
      <c r="M158" s="27"/>
      <c r="N158" s="1"/>
      <c r="O158" s="1"/>
      <c r="P158" s="1"/>
      <c r="Q158" s="1"/>
      <c r="R158" s="1"/>
      <c r="S158" s="1"/>
      <c r="T158" s="1"/>
      <c r="U158" s="1"/>
    </row>
    <row r="159" spans="1:21">
      <c r="A159" s="163"/>
      <c r="B159" s="117"/>
      <c r="C159" s="117"/>
      <c r="D159" s="117"/>
      <c r="E159" s="117"/>
      <c r="F159" s="117"/>
      <c r="G159" s="117"/>
      <c r="H159" s="117"/>
      <c r="I159" s="117"/>
      <c r="J159" s="117"/>
      <c r="K159" s="117"/>
      <c r="L159" s="117"/>
      <c r="M159" s="27"/>
      <c r="N159" s="1"/>
      <c r="O159" s="1"/>
      <c r="P159" s="1"/>
      <c r="Q159" s="1"/>
      <c r="R159" s="1"/>
      <c r="S159" s="1"/>
      <c r="T159" s="1"/>
      <c r="U159" s="1"/>
    </row>
    <row r="160" spans="1:21">
      <c r="A160" s="163"/>
      <c r="B160" s="117"/>
      <c r="C160" s="117"/>
      <c r="D160" s="117"/>
      <c r="E160" s="117"/>
      <c r="F160" s="117"/>
      <c r="G160" s="117"/>
      <c r="H160" s="117"/>
      <c r="I160" s="117"/>
      <c r="J160" s="117"/>
      <c r="K160" s="117"/>
      <c r="L160" s="117"/>
      <c r="M160" s="27"/>
      <c r="N160" s="1"/>
      <c r="O160" s="1"/>
      <c r="P160" s="1"/>
      <c r="Q160" s="1"/>
      <c r="R160" s="1"/>
      <c r="S160" s="1"/>
      <c r="T160" s="1"/>
      <c r="U160" s="1"/>
    </row>
    <row r="161" spans="1:22">
      <c r="A161" s="165"/>
      <c r="B161" s="365"/>
      <c r="C161" s="365"/>
      <c r="D161" s="365"/>
      <c r="E161" s="365"/>
      <c r="F161" s="365"/>
      <c r="G161" s="365"/>
      <c r="H161" s="365"/>
      <c r="I161" s="117"/>
      <c r="J161" s="117"/>
      <c r="K161" s="117"/>
      <c r="L161" s="117"/>
      <c r="M161" s="27"/>
      <c r="N161" s="1"/>
      <c r="O161" s="1"/>
      <c r="P161" s="1"/>
      <c r="Q161" s="1"/>
      <c r="R161" s="1"/>
      <c r="S161" s="1"/>
      <c r="T161" s="1"/>
      <c r="U161" s="1"/>
    </row>
    <row r="162" spans="1:22">
      <c r="A162" s="163"/>
      <c r="B162" s="117"/>
      <c r="C162" s="117"/>
      <c r="D162" s="117"/>
      <c r="E162" s="117"/>
      <c r="F162" s="117"/>
      <c r="G162" s="117"/>
      <c r="H162" s="117"/>
      <c r="I162" s="117"/>
      <c r="J162" s="117"/>
      <c r="K162" s="117"/>
      <c r="L162" s="117"/>
      <c r="M162" s="27"/>
      <c r="N162" s="1"/>
      <c r="O162" s="1"/>
      <c r="P162" s="1"/>
      <c r="Q162" s="1"/>
      <c r="R162" s="1"/>
      <c r="S162" s="1"/>
      <c r="T162" s="1"/>
      <c r="U162" s="1"/>
    </row>
    <row r="163" spans="1:22">
      <c r="A163" s="163"/>
      <c r="B163" s="117"/>
      <c r="C163" s="117"/>
      <c r="D163" s="117"/>
      <c r="E163" s="117"/>
      <c r="F163" s="117"/>
      <c r="G163" s="117"/>
      <c r="H163" s="117"/>
      <c r="I163" s="117"/>
      <c r="J163" s="117"/>
      <c r="K163" s="117"/>
      <c r="L163" s="117"/>
      <c r="M163" s="27"/>
      <c r="N163" s="1"/>
      <c r="O163" s="1"/>
      <c r="P163" s="1"/>
      <c r="Q163" s="1"/>
      <c r="R163" s="1"/>
      <c r="S163" s="1"/>
      <c r="T163" s="1"/>
      <c r="U163" s="1"/>
    </row>
    <row r="164" spans="1:22">
      <c r="A164" s="163"/>
      <c r="B164" s="117"/>
      <c r="C164" s="117"/>
      <c r="D164" s="117"/>
      <c r="E164" s="117"/>
      <c r="F164" s="117"/>
      <c r="G164" s="117"/>
      <c r="H164" s="117"/>
      <c r="I164" s="117"/>
      <c r="J164" s="117"/>
      <c r="K164" s="117"/>
      <c r="L164" s="117"/>
      <c r="M164" s="27"/>
      <c r="N164" s="1"/>
      <c r="O164" s="1"/>
      <c r="P164" s="1"/>
      <c r="Q164" s="1"/>
      <c r="R164" s="1"/>
      <c r="S164" s="1"/>
      <c r="T164" s="1"/>
      <c r="U164" s="1"/>
    </row>
    <row r="165" spans="1:22">
      <c r="A165" s="163"/>
      <c r="B165" s="117"/>
      <c r="C165" s="117"/>
      <c r="D165" s="117"/>
      <c r="E165" s="117"/>
      <c r="F165" s="117"/>
      <c r="G165" s="117"/>
      <c r="H165" s="117"/>
      <c r="I165" s="117"/>
      <c r="J165" s="117"/>
      <c r="K165" s="117"/>
      <c r="L165" s="117"/>
      <c r="M165" s="27"/>
      <c r="N165" s="1"/>
      <c r="O165" s="1"/>
      <c r="P165" s="1"/>
      <c r="Q165" s="1"/>
      <c r="R165" s="1"/>
      <c r="S165" s="1"/>
      <c r="T165" s="1"/>
      <c r="U165" s="1"/>
    </row>
    <row r="166" spans="1:22">
      <c r="A166" s="163"/>
      <c r="B166" s="117"/>
      <c r="C166" s="117"/>
      <c r="D166" s="117"/>
      <c r="E166" s="117"/>
      <c r="F166" s="117"/>
      <c r="G166" s="117"/>
      <c r="H166" s="117"/>
      <c r="I166" s="117"/>
      <c r="J166" s="117"/>
      <c r="K166" s="117"/>
      <c r="L166" s="117"/>
      <c r="M166" s="27"/>
      <c r="N166" s="1"/>
      <c r="O166" s="1"/>
      <c r="P166" s="1"/>
      <c r="Q166" s="1"/>
      <c r="R166" s="1"/>
      <c r="S166" s="1"/>
      <c r="T166" s="1"/>
      <c r="U166" s="1"/>
    </row>
    <row r="167" spans="1:22">
      <c r="A167" s="163"/>
      <c r="B167" s="117"/>
      <c r="C167" s="117"/>
      <c r="D167" s="117"/>
      <c r="E167" s="117"/>
      <c r="F167" s="117"/>
      <c r="G167" s="117"/>
      <c r="H167" s="117"/>
      <c r="I167" s="117"/>
      <c r="J167" s="117"/>
      <c r="K167" s="117"/>
      <c r="L167" s="117"/>
      <c r="M167" s="27"/>
      <c r="N167" s="1"/>
      <c r="O167" s="1"/>
      <c r="P167" s="1"/>
      <c r="Q167" s="1"/>
      <c r="R167" s="1"/>
      <c r="S167" s="1"/>
      <c r="T167" s="1"/>
      <c r="U167" s="1"/>
    </row>
    <row r="168" spans="1:22">
      <c r="A168" s="163"/>
      <c r="B168" s="117"/>
      <c r="C168" s="117"/>
      <c r="D168" s="117"/>
      <c r="E168" s="117"/>
      <c r="F168" s="117"/>
      <c r="G168" s="117"/>
      <c r="H168" s="117"/>
      <c r="I168" s="117"/>
      <c r="J168" s="117"/>
      <c r="K168" s="117"/>
      <c r="L168" s="117"/>
      <c r="M168" s="27"/>
      <c r="N168" s="1"/>
      <c r="O168" s="1"/>
      <c r="P168" s="1"/>
      <c r="Q168" s="1"/>
      <c r="R168" s="1"/>
      <c r="S168" s="1"/>
      <c r="T168" s="1"/>
      <c r="U168" s="1"/>
    </row>
    <row r="169" spans="1:22">
      <c r="A169" s="163"/>
      <c r="B169" s="117"/>
      <c r="C169" s="117"/>
      <c r="D169" s="117"/>
      <c r="E169" s="117"/>
      <c r="F169" s="117"/>
      <c r="G169" s="117"/>
      <c r="H169" s="117"/>
      <c r="I169" s="117"/>
      <c r="J169" s="117"/>
      <c r="K169" s="117"/>
      <c r="L169" s="117"/>
      <c r="M169" s="27"/>
      <c r="N169" s="1"/>
      <c r="O169" s="1"/>
      <c r="P169" s="1"/>
      <c r="Q169" s="1"/>
      <c r="R169" s="1"/>
      <c r="S169" s="1"/>
      <c r="T169" s="1"/>
      <c r="U169" s="1"/>
    </row>
    <row r="170" spans="1:22">
      <c r="A170" s="163"/>
      <c r="B170" s="117"/>
      <c r="C170" s="117"/>
      <c r="D170" s="117"/>
      <c r="E170" s="117"/>
      <c r="F170" s="117"/>
      <c r="G170" s="117"/>
      <c r="H170" s="117"/>
      <c r="I170" s="117"/>
      <c r="J170" s="117"/>
      <c r="K170" s="117"/>
      <c r="L170" s="117"/>
      <c r="M170" s="27"/>
      <c r="N170" s="1"/>
      <c r="O170" s="1"/>
      <c r="P170" s="1"/>
      <c r="Q170" s="1"/>
      <c r="R170" s="1"/>
      <c r="S170" s="1"/>
      <c r="T170" s="1"/>
      <c r="U170" s="1"/>
      <c r="V170" s="1"/>
    </row>
    <row r="171" spans="1:22">
      <c r="A171" s="163"/>
      <c r="B171" s="117"/>
      <c r="C171" s="117"/>
      <c r="D171" s="117"/>
      <c r="E171" s="117"/>
      <c r="F171" s="117"/>
      <c r="G171" s="117"/>
      <c r="H171" s="117"/>
      <c r="I171" s="117"/>
      <c r="J171" s="117"/>
      <c r="K171" s="117"/>
      <c r="L171" s="117"/>
      <c r="M171" s="27"/>
      <c r="N171" s="1"/>
      <c r="O171" s="1"/>
      <c r="P171" s="1"/>
      <c r="Q171" s="1"/>
      <c r="R171" s="1"/>
      <c r="S171" s="1"/>
      <c r="T171" s="1"/>
      <c r="U171" s="1"/>
      <c r="V171" s="1"/>
    </row>
    <row r="172" spans="1:22">
      <c r="A172" s="163"/>
      <c r="B172" s="117"/>
      <c r="C172" s="117"/>
      <c r="D172" s="117"/>
      <c r="E172" s="117"/>
      <c r="F172" s="117"/>
      <c r="G172" s="117"/>
      <c r="H172" s="117"/>
      <c r="I172" s="117"/>
      <c r="J172" s="117"/>
      <c r="K172" s="117"/>
      <c r="L172" s="117"/>
      <c r="M172" s="27"/>
      <c r="N172" s="1"/>
      <c r="O172" s="1"/>
      <c r="P172" s="1"/>
      <c r="Q172" s="1"/>
      <c r="R172" s="1"/>
      <c r="S172" s="1"/>
      <c r="T172" s="1"/>
      <c r="U172" s="1"/>
      <c r="V172" s="1"/>
    </row>
    <row r="173" spans="1:22">
      <c r="A173" s="163"/>
      <c r="B173" s="117"/>
      <c r="C173" s="117"/>
      <c r="D173" s="117"/>
      <c r="E173" s="117"/>
      <c r="F173" s="117"/>
      <c r="G173" s="117"/>
      <c r="H173" s="117"/>
      <c r="I173" s="117"/>
      <c r="J173" s="117"/>
      <c r="K173" s="117"/>
      <c r="L173" s="117"/>
      <c r="M173" s="27"/>
      <c r="N173" s="1"/>
      <c r="O173" s="1"/>
      <c r="P173" s="1"/>
      <c r="Q173" s="1"/>
      <c r="R173" s="1"/>
      <c r="S173" s="1"/>
      <c r="T173" s="1"/>
      <c r="U173" s="1"/>
      <c r="V173" s="1"/>
    </row>
    <row r="174" spans="1:22">
      <c r="A174" s="163"/>
      <c r="B174" s="117"/>
      <c r="C174" s="117"/>
      <c r="D174" s="117"/>
      <c r="E174" s="117"/>
      <c r="F174" s="117"/>
      <c r="G174" s="117"/>
      <c r="H174" s="117"/>
      <c r="I174" s="117"/>
      <c r="J174" s="117"/>
      <c r="K174" s="117"/>
      <c r="L174" s="117"/>
      <c r="M174" s="27"/>
      <c r="N174" s="1"/>
      <c r="O174" s="1"/>
      <c r="P174" s="1"/>
      <c r="Q174" s="1"/>
      <c r="R174" s="1"/>
      <c r="S174" s="1"/>
      <c r="T174" s="1"/>
      <c r="U174" s="1"/>
      <c r="V174" s="1"/>
    </row>
    <row r="175" spans="1:22">
      <c r="B175" s="1"/>
      <c r="C175" s="1"/>
      <c r="D175" s="1"/>
      <c r="E175" s="1"/>
      <c r="F175" s="1"/>
      <c r="G175" s="1"/>
      <c r="H175" s="1"/>
      <c r="I175" s="1"/>
      <c r="J175" s="1"/>
      <c r="K175" s="1"/>
      <c r="L175" s="1"/>
      <c r="M175" s="27"/>
      <c r="N175" s="1"/>
      <c r="O175" s="1"/>
      <c r="P175" s="1"/>
      <c r="Q175" s="1"/>
      <c r="R175" s="1"/>
      <c r="S175" s="1"/>
      <c r="T175" s="1"/>
      <c r="U175" s="1"/>
      <c r="V175" s="1"/>
    </row>
    <row r="176" spans="1:22">
      <c r="B176" s="1"/>
      <c r="C176" s="1"/>
      <c r="D176" s="1"/>
      <c r="E176" s="1"/>
      <c r="F176" s="1"/>
      <c r="G176" s="1"/>
      <c r="H176" s="1"/>
      <c r="I176" s="1"/>
      <c r="J176" s="1"/>
      <c r="K176" s="1"/>
      <c r="L176" s="1"/>
      <c r="M176" s="27"/>
      <c r="N176" s="1"/>
      <c r="O176" s="1"/>
      <c r="P176" s="1"/>
      <c r="Q176" s="1"/>
      <c r="R176" s="1"/>
      <c r="S176" s="1"/>
      <c r="T176" s="1"/>
      <c r="U176" s="1"/>
      <c r="V176" s="1"/>
    </row>
    <row r="177" spans="2:22">
      <c r="M177" s="27"/>
      <c r="N177" s="1"/>
      <c r="O177" s="1"/>
      <c r="P177" s="1"/>
      <c r="Q177" s="1"/>
      <c r="R177" s="1"/>
      <c r="S177" s="1"/>
      <c r="T177" s="1"/>
      <c r="U177" s="1"/>
      <c r="V177" s="1"/>
    </row>
    <row r="178" spans="2:22">
      <c r="M178" s="27"/>
      <c r="N178" s="1"/>
      <c r="O178" s="1"/>
      <c r="P178" s="1"/>
      <c r="Q178" s="1"/>
      <c r="R178" s="1"/>
      <c r="S178" s="1"/>
      <c r="T178" s="1"/>
      <c r="U178" s="1"/>
      <c r="V178" s="1"/>
    </row>
    <row r="179" spans="2:22">
      <c r="M179" s="27"/>
      <c r="N179" s="1"/>
      <c r="O179" s="1"/>
      <c r="P179" s="1"/>
      <c r="Q179" s="1"/>
      <c r="R179" s="1"/>
      <c r="S179" s="1"/>
      <c r="T179" s="1"/>
      <c r="U179" s="1"/>
      <c r="V179" s="1"/>
    </row>
    <row r="180" spans="2:22">
      <c r="M180" s="27"/>
      <c r="N180" s="1"/>
      <c r="O180" s="1"/>
      <c r="P180" s="1"/>
      <c r="Q180" s="1"/>
      <c r="R180" s="1"/>
      <c r="S180" s="1"/>
      <c r="T180" s="1"/>
      <c r="U180" s="1"/>
      <c r="V180" s="1"/>
    </row>
    <row r="181" spans="2:22">
      <c r="M181" s="27"/>
      <c r="N181" s="1"/>
      <c r="O181" s="1"/>
      <c r="P181" s="1"/>
      <c r="Q181" s="1"/>
      <c r="R181" s="1"/>
      <c r="S181" s="1"/>
      <c r="T181" s="1"/>
      <c r="U181" s="1"/>
      <c r="V181" s="1"/>
    </row>
    <row r="182" spans="2:22">
      <c r="M182" s="27"/>
      <c r="N182" s="1"/>
      <c r="O182" s="1"/>
      <c r="P182" s="1"/>
      <c r="Q182" s="1"/>
      <c r="R182" s="1"/>
      <c r="S182" s="1"/>
      <c r="T182" s="1"/>
      <c r="U182" s="1"/>
      <c r="V182" s="1"/>
    </row>
    <row r="183" spans="2:22">
      <c r="M183" s="27"/>
      <c r="N183" s="1"/>
      <c r="O183" s="1"/>
      <c r="P183" s="1"/>
      <c r="Q183" s="1"/>
      <c r="R183" s="1"/>
      <c r="S183" s="1"/>
      <c r="T183" s="1"/>
      <c r="U183" s="1"/>
      <c r="V183" s="1"/>
    </row>
    <row r="184" spans="2:22">
      <c r="M184" s="27"/>
      <c r="N184" s="1"/>
      <c r="O184" s="1"/>
      <c r="P184" s="1"/>
      <c r="Q184" s="1"/>
      <c r="R184" s="1"/>
      <c r="S184" s="1"/>
      <c r="T184" s="1"/>
      <c r="U184" s="1"/>
      <c r="V184" s="1"/>
    </row>
    <row r="185" spans="2:22">
      <c r="M185" s="27"/>
      <c r="N185" s="1"/>
      <c r="O185" s="1"/>
      <c r="P185" s="1"/>
      <c r="Q185" s="1"/>
      <c r="R185" s="1"/>
      <c r="S185" s="1"/>
      <c r="T185" s="1"/>
      <c r="U185" s="1"/>
      <c r="V185" s="1"/>
    </row>
    <row r="186" spans="2:22">
      <c r="M186" s="27"/>
      <c r="N186" s="1"/>
      <c r="O186" s="1"/>
      <c r="P186" s="1"/>
      <c r="Q186" s="1"/>
      <c r="R186" s="1"/>
      <c r="S186" s="1"/>
      <c r="T186" s="1"/>
      <c r="U186" s="1"/>
      <c r="V186" s="1"/>
    </row>
    <row r="187" spans="2:22">
      <c r="M187" s="27"/>
      <c r="N187" s="1"/>
      <c r="O187" s="1"/>
      <c r="P187" s="1"/>
      <c r="Q187" s="1"/>
      <c r="R187" s="1"/>
      <c r="S187" s="1"/>
      <c r="T187" s="1"/>
      <c r="U187" s="1"/>
      <c r="V187" s="1"/>
    </row>
    <row r="188" spans="2:22">
      <c r="B188" s="1"/>
      <c r="C188" s="1"/>
      <c r="D188" s="1"/>
      <c r="E188" s="1"/>
      <c r="F188" s="1"/>
      <c r="G188" s="1"/>
      <c r="H188" s="1"/>
      <c r="I188" s="1"/>
      <c r="J188" s="1"/>
      <c r="K188" s="1"/>
      <c r="L188" s="1"/>
      <c r="M188" s="27"/>
      <c r="N188" s="1"/>
      <c r="O188" s="1"/>
      <c r="P188" s="1"/>
      <c r="Q188" s="1"/>
      <c r="R188" s="1"/>
      <c r="S188" s="1"/>
      <c r="T188" s="1"/>
      <c r="U188" s="1"/>
      <c r="V188" s="1"/>
    </row>
    <row r="189" spans="2:22">
      <c r="B189" s="1"/>
      <c r="C189" s="1"/>
      <c r="D189" s="1"/>
      <c r="E189" s="1"/>
      <c r="F189" s="1"/>
      <c r="G189" s="1"/>
      <c r="H189" s="1"/>
      <c r="I189" s="1"/>
      <c r="J189" s="1"/>
      <c r="K189" s="1"/>
      <c r="L189" s="1"/>
      <c r="M189" s="27"/>
      <c r="N189" s="1"/>
      <c r="O189" s="1"/>
      <c r="P189" s="1"/>
      <c r="Q189" s="1"/>
      <c r="R189" s="1"/>
      <c r="S189" s="1"/>
      <c r="T189" s="1"/>
      <c r="U189" s="1"/>
      <c r="V189" s="1"/>
    </row>
    <row r="190" spans="2:22">
      <c r="B190" s="1"/>
      <c r="C190" s="1"/>
      <c r="D190" s="1"/>
      <c r="E190" s="1"/>
      <c r="F190" s="1"/>
      <c r="G190" s="1"/>
      <c r="H190" s="1"/>
      <c r="I190" s="1"/>
      <c r="J190" s="1"/>
      <c r="K190" s="1"/>
      <c r="L190" s="1"/>
      <c r="M190" s="27"/>
      <c r="N190" s="1"/>
      <c r="O190" s="1"/>
      <c r="P190" s="1"/>
      <c r="Q190" s="1"/>
      <c r="R190" s="1"/>
      <c r="S190" s="1"/>
      <c r="T190" s="1"/>
      <c r="U190" s="1"/>
      <c r="V190" s="1"/>
    </row>
    <row r="191" spans="2:22">
      <c r="B191" s="1"/>
      <c r="C191" s="1"/>
      <c r="D191" s="1"/>
      <c r="E191" s="1"/>
      <c r="F191" s="1"/>
      <c r="G191" s="1"/>
      <c r="H191" s="1"/>
      <c r="I191" s="1"/>
      <c r="J191" s="1"/>
      <c r="K191" s="1"/>
      <c r="L191" s="1"/>
      <c r="M191" s="27"/>
      <c r="N191" s="1"/>
      <c r="O191" s="1"/>
      <c r="P191" s="1"/>
      <c r="Q191" s="1"/>
      <c r="R191" s="1"/>
      <c r="S191" s="1"/>
      <c r="T191" s="1"/>
      <c r="U191" s="1"/>
      <c r="V191" s="1"/>
    </row>
    <row r="192" spans="2:22">
      <c r="B192" s="1"/>
      <c r="C192" s="1"/>
      <c r="D192" s="1"/>
      <c r="E192" s="1"/>
      <c r="F192" s="1"/>
      <c r="G192" s="1"/>
      <c r="H192" s="1"/>
      <c r="I192" s="1"/>
      <c r="J192" s="1"/>
      <c r="K192" s="1"/>
      <c r="L192" s="1"/>
      <c r="M192" s="27"/>
      <c r="N192" s="1"/>
      <c r="O192" s="1"/>
      <c r="P192" s="1"/>
      <c r="Q192" s="1"/>
      <c r="R192" s="1"/>
      <c r="S192" s="1"/>
      <c r="T192" s="1"/>
      <c r="U192" s="1"/>
      <c r="V192" s="1"/>
    </row>
    <row r="193" spans="2:22">
      <c r="B193" s="1"/>
      <c r="C193" s="1"/>
      <c r="D193" s="1"/>
      <c r="E193" s="1"/>
      <c r="F193" s="1"/>
      <c r="G193" s="1"/>
      <c r="H193" s="1"/>
      <c r="I193" s="1"/>
      <c r="J193" s="1"/>
      <c r="K193" s="1"/>
      <c r="L193" s="1"/>
      <c r="M193" s="27"/>
      <c r="N193" s="1"/>
      <c r="O193" s="1"/>
      <c r="P193" s="1"/>
      <c r="Q193" s="1"/>
      <c r="R193" s="1"/>
      <c r="S193" s="1"/>
      <c r="T193" s="1"/>
      <c r="U193" s="1"/>
      <c r="V193" s="1"/>
    </row>
    <row r="194" spans="2:22">
      <c r="B194" s="1"/>
      <c r="C194" s="1"/>
      <c r="D194" s="1"/>
      <c r="E194" s="1"/>
      <c r="F194" s="1"/>
      <c r="G194" s="1"/>
      <c r="H194" s="1"/>
      <c r="I194" s="1"/>
      <c r="J194" s="1"/>
      <c r="K194" s="1"/>
      <c r="L194" s="1"/>
      <c r="M194" s="27"/>
      <c r="N194" s="1"/>
      <c r="O194" s="1"/>
      <c r="P194" s="1"/>
      <c r="Q194" s="1"/>
      <c r="R194" s="1"/>
      <c r="S194" s="1"/>
      <c r="T194" s="1"/>
      <c r="U194" s="1"/>
      <c r="V194" s="1"/>
    </row>
    <row r="195" spans="2:22">
      <c r="B195" s="1"/>
      <c r="C195" s="1"/>
      <c r="D195" s="1"/>
      <c r="E195" s="1"/>
      <c r="F195" s="1"/>
      <c r="G195" s="1"/>
      <c r="H195" s="1"/>
      <c r="I195" s="1"/>
      <c r="J195" s="1"/>
      <c r="K195" s="1"/>
      <c r="L195" s="1"/>
      <c r="M195" s="27"/>
      <c r="N195" s="1"/>
      <c r="O195" s="1"/>
      <c r="P195" s="1"/>
      <c r="Q195" s="1"/>
      <c r="R195" s="1"/>
      <c r="S195" s="1"/>
      <c r="T195" s="1"/>
      <c r="U195" s="1"/>
      <c r="V195" s="1"/>
    </row>
    <row r="196" spans="2:22">
      <c r="B196" s="1"/>
      <c r="C196" s="1"/>
      <c r="D196" s="1"/>
      <c r="E196" s="1"/>
      <c r="F196" s="1"/>
      <c r="G196" s="1"/>
      <c r="H196" s="1"/>
      <c r="I196" s="1"/>
      <c r="J196" s="1"/>
      <c r="K196" s="1"/>
      <c r="L196" s="1"/>
      <c r="M196" s="27"/>
      <c r="N196" s="1"/>
      <c r="O196" s="1"/>
      <c r="P196" s="1"/>
      <c r="Q196" s="1"/>
      <c r="R196" s="1"/>
      <c r="S196" s="1"/>
      <c r="T196" s="1"/>
      <c r="U196" s="1"/>
      <c r="V196" s="1"/>
    </row>
    <row r="197" spans="2:22">
      <c r="B197" s="1"/>
      <c r="C197" s="1"/>
      <c r="D197" s="1"/>
      <c r="E197" s="1"/>
      <c r="F197" s="1"/>
      <c r="G197" s="1"/>
      <c r="H197" s="1"/>
      <c r="I197" s="1"/>
      <c r="J197" s="1"/>
      <c r="K197" s="1"/>
      <c r="L197" s="1"/>
      <c r="M197" s="27"/>
      <c r="N197" s="1"/>
      <c r="O197" s="1"/>
      <c r="P197" s="1"/>
      <c r="Q197" s="1"/>
      <c r="R197" s="1"/>
      <c r="S197" s="1"/>
      <c r="T197" s="1"/>
      <c r="U197" s="1"/>
      <c r="V197" s="1"/>
    </row>
    <row r="198" spans="2:22">
      <c r="B198" s="1"/>
      <c r="C198" s="1"/>
      <c r="D198" s="1"/>
      <c r="E198" s="1"/>
      <c r="F198" s="1"/>
      <c r="G198" s="1"/>
      <c r="H198" s="1"/>
      <c r="I198" s="1"/>
      <c r="J198" s="1"/>
      <c r="K198" s="1"/>
      <c r="L198" s="1"/>
      <c r="M198" s="27"/>
      <c r="N198" s="1"/>
      <c r="O198" s="1"/>
      <c r="P198" s="1"/>
      <c r="Q198" s="1"/>
      <c r="R198" s="1"/>
      <c r="S198" s="1"/>
      <c r="T198" s="1"/>
      <c r="U198" s="1"/>
      <c r="V198" s="1"/>
    </row>
    <row r="199" spans="2:22">
      <c r="B199" s="1"/>
      <c r="C199" s="1"/>
      <c r="D199" s="1"/>
      <c r="E199" s="1"/>
      <c r="F199" s="1"/>
      <c r="G199" s="1"/>
      <c r="H199" s="1"/>
      <c r="I199" s="1"/>
      <c r="J199" s="1"/>
      <c r="K199" s="1"/>
      <c r="L199" s="1"/>
      <c r="M199" s="27"/>
      <c r="N199" s="1"/>
      <c r="O199" s="1"/>
      <c r="P199" s="1"/>
      <c r="Q199" s="1"/>
      <c r="R199" s="1"/>
      <c r="S199" s="1"/>
      <c r="T199" s="1"/>
      <c r="U199" s="1"/>
      <c r="V199" s="1"/>
    </row>
    <row r="200" spans="2:22">
      <c r="B200" s="1"/>
      <c r="C200" s="1"/>
      <c r="D200" s="1"/>
      <c r="E200" s="1"/>
      <c r="F200" s="1"/>
      <c r="G200" s="1"/>
      <c r="H200" s="1"/>
      <c r="I200" s="1"/>
      <c r="J200" s="1"/>
      <c r="K200" s="1"/>
      <c r="L200" s="1"/>
      <c r="M200" s="27"/>
      <c r="N200" s="1"/>
      <c r="O200" s="1"/>
      <c r="P200" s="1"/>
      <c r="Q200" s="1"/>
      <c r="R200" s="1"/>
      <c r="S200" s="1"/>
      <c r="T200" s="1"/>
      <c r="U200" s="1"/>
      <c r="V200" s="1"/>
    </row>
    <row r="201" spans="2:22">
      <c r="B201" s="1"/>
      <c r="C201" s="1"/>
      <c r="D201" s="1"/>
      <c r="E201" s="1"/>
      <c r="F201" s="1"/>
      <c r="G201" s="1"/>
      <c r="H201" s="1"/>
      <c r="I201" s="1"/>
      <c r="J201" s="1"/>
      <c r="K201" s="1"/>
      <c r="L201" s="1"/>
      <c r="M201" s="27"/>
      <c r="N201" s="1"/>
      <c r="O201" s="1"/>
      <c r="P201" s="1"/>
      <c r="Q201" s="1"/>
      <c r="R201" s="1"/>
      <c r="S201" s="1"/>
      <c r="T201" s="1"/>
      <c r="U201" s="1"/>
      <c r="V201" s="1"/>
    </row>
    <row r="202" spans="2:22">
      <c r="B202" s="1"/>
      <c r="C202" s="1"/>
      <c r="D202" s="1"/>
      <c r="E202" s="1"/>
      <c r="F202" s="1"/>
      <c r="G202" s="1"/>
      <c r="H202" s="1"/>
      <c r="I202" s="1"/>
      <c r="J202" s="1"/>
      <c r="K202" s="1"/>
      <c r="L202" s="1"/>
      <c r="M202" s="27"/>
      <c r="N202" s="1"/>
      <c r="O202" s="1"/>
      <c r="P202" s="1"/>
      <c r="Q202" s="1"/>
      <c r="R202" s="1"/>
      <c r="S202" s="1"/>
      <c r="T202" s="1"/>
      <c r="U202" s="1"/>
      <c r="V202" s="1"/>
    </row>
    <row r="203" spans="2:22">
      <c r="B203" s="1"/>
      <c r="C203" s="1"/>
      <c r="D203" s="1"/>
      <c r="E203" s="1"/>
      <c r="F203" s="1"/>
      <c r="G203" s="1"/>
      <c r="H203" s="1"/>
      <c r="I203" s="1"/>
      <c r="J203" s="1"/>
      <c r="K203" s="1"/>
      <c r="L203" s="1"/>
      <c r="M203" s="27"/>
      <c r="N203" s="1"/>
      <c r="O203" s="1"/>
      <c r="P203" s="1"/>
      <c r="Q203" s="1"/>
      <c r="R203" s="1"/>
      <c r="S203" s="1"/>
      <c r="T203" s="1"/>
      <c r="U203" s="1"/>
      <c r="V203" s="1"/>
    </row>
    <row r="204" spans="2:22">
      <c r="B204" s="1"/>
      <c r="C204" s="1"/>
      <c r="D204" s="1"/>
      <c r="E204" s="1"/>
      <c r="F204" s="1"/>
      <c r="G204" s="1"/>
      <c r="H204" s="1"/>
      <c r="I204" s="1"/>
      <c r="J204" s="1"/>
      <c r="K204" s="1"/>
      <c r="L204" s="1"/>
      <c r="M204" s="27"/>
      <c r="N204" s="1"/>
      <c r="O204" s="1"/>
      <c r="P204" s="1"/>
      <c r="Q204" s="1"/>
      <c r="R204" s="1"/>
      <c r="S204" s="1"/>
      <c r="T204" s="1"/>
      <c r="U204" s="1"/>
      <c r="V204" s="1"/>
    </row>
    <row r="205" spans="2:22">
      <c r="B205" s="1"/>
      <c r="C205" s="1"/>
      <c r="D205" s="1"/>
      <c r="E205" s="1"/>
      <c r="F205" s="1"/>
      <c r="G205" s="1"/>
      <c r="H205" s="1"/>
      <c r="I205" s="1"/>
      <c r="J205" s="1"/>
      <c r="K205" s="1"/>
      <c r="L205" s="1"/>
      <c r="M205" s="27"/>
      <c r="N205" s="1"/>
      <c r="O205" s="1"/>
      <c r="P205" s="1"/>
      <c r="Q205" s="1"/>
      <c r="R205" s="1"/>
      <c r="S205" s="1"/>
      <c r="T205" s="1"/>
      <c r="U205" s="1"/>
      <c r="V205" s="1"/>
    </row>
    <row r="206" spans="2:22">
      <c r="B206" s="1"/>
      <c r="C206" s="1"/>
      <c r="D206" s="1"/>
      <c r="E206" s="1"/>
      <c r="F206" s="1"/>
      <c r="G206" s="1"/>
      <c r="H206" s="1"/>
      <c r="I206" s="1"/>
      <c r="J206" s="1"/>
      <c r="K206" s="1"/>
      <c r="L206" s="1"/>
      <c r="M206" s="27"/>
      <c r="N206" s="1"/>
      <c r="O206" s="1"/>
      <c r="P206" s="1"/>
      <c r="Q206" s="1"/>
      <c r="R206" s="1"/>
      <c r="S206" s="1"/>
      <c r="T206" s="1"/>
      <c r="U206" s="1"/>
      <c r="V206" s="1"/>
    </row>
    <row r="207" spans="2:22">
      <c r="B207" s="1"/>
      <c r="C207" s="1"/>
      <c r="D207" s="1"/>
      <c r="E207" s="1"/>
      <c r="F207" s="1"/>
      <c r="G207" s="1"/>
      <c r="H207" s="1"/>
      <c r="I207" s="1"/>
      <c r="J207" s="1"/>
      <c r="K207" s="1"/>
      <c r="L207" s="1"/>
      <c r="M207" s="27"/>
      <c r="N207" s="1"/>
      <c r="O207" s="1"/>
      <c r="P207" s="1"/>
      <c r="Q207" s="1"/>
      <c r="R207" s="1"/>
      <c r="S207" s="1"/>
      <c r="T207" s="1"/>
      <c r="U207" s="1"/>
      <c r="V207" s="1"/>
    </row>
    <row r="208" spans="2:22">
      <c r="B208" s="1"/>
      <c r="C208" s="1"/>
      <c r="D208" s="1"/>
      <c r="E208" s="1"/>
      <c r="F208" s="1"/>
      <c r="G208" s="1"/>
      <c r="H208" s="1"/>
      <c r="I208" s="1"/>
      <c r="J208" s="1"/>
      <c r="K208" s="1"/>
      <c r="L208" s="1"/>
      <c r="M208" s="27"/>
      <c r="N208" s="1"/>
      <c r="O208" s="1"/>
      <c r="P208" s="1"/>
      <c r="Q208" s="1"/>
      <c r="R208" s="1"/>
      <c r="S208" s="1"/>
      <c r="T208" s="1"/>
      <c r="U208" s="1"/>
      <c r="V208" s="1"/>
    </row>
    <row r="209" spans="2:22">
      <c r="B209" s="1"/>
      <c r="C209" s="1"/>
      <c r="D209" s="1"/>
      <c r="E209" s="1"/>
      <c r="F209" s="1"/>
      <c r="G209" s="1"/>
      <c r="H209" s="1"/>
      <c r="I209" s="1"/>
      <c r="J209" s="1"/>
      <c r="K209" s="1"/>
      <c r="L209" s="1"/>
      <c r="M209" s="27"/>
      <c r="N209" s="1"/>
      <c r="O209" s="1"/>
      <c r="P209" s="1"/>
      <c r="Q209" s="1"/>
      <c r="R209" s="1"/>
      <c r="S209" s="1"/>
      <c r="T209" s="1"/>
      <c r="U209" s="1"/>
      <c r="V209" s="1"/>
    </row>
    <row r="210" spans="2:22">
      <c r="B210" s="1"/>
      <c r="C210" s="1"/>
      <c r="D210" s="1"/>
      <c r="E210" s="1"/>
      <c r="F210" s="1"/>
      <c r="G210" s="1"/>
      <c r="H210" s="1"/>
      <c r="I210" s="1"/>
      <c r="J210" s="1"/>
      <c r="K210" s="1"/>
      <c r="L210" s="1"/>
      <c r="M210" s="27"/>
      <c r="N210" s="1"/>
      <c r="O210" s="1"/>
      <c r="P210" s="1"/>
      <c r="Q210" s="1"/>
      <c r="R210" s="1"/>
      <c r="S210" s="1"/>
      <c r="T210" s="1"/>
      <c r="U210" s="1"/>
      <c r="V210" s="1"/>
    </row>
    <row r="211" spans="2:22">
      <c r="B211" s="1"/>
      <c r="C211" s="1"/>
      <c r="D211" s="1"/>
      <c r="E211" s="1"/>
      <c r="F211" s="1"/>
      <c r="G211" s="1"/>
      <c r="H211" s="1"/>
      <c r="I211" s="1"/>
      <c r="J211" s="1"/>
      <c r="K211" s="1"/>
      <c r="L211" s="1"/>
      <c r="M211" s="27"/>
      <c r="N211" s="1"/>
      <c r="O211" s="1"/>
      <c r="P211" s="1"/>
      <c r="Q211" s="1"/>
      <c r="R211" s="1"/>
      <c r="S211" s="1"/>
      <c r="T211" s="1"/>
      <c r="U211" s="1"/>
      <c r="V211" s="1"/>
    </row>
    <row r="212" spans="2:22">
      <c r="B212" s="1"/>
      <c r="C212" s="1"/>
      <c r="D212" s="1"/>
      <c r="E212" s="1"/>
      <c r="F212" s="1"/>
      <c r="G212" s="1"/>
      <c r="H212" s="1"/>
      <c r="I212" s="1"/>
      <c r="J212" s="1"/>
      <c r="K212" s="1"/>
      <c r="L212" s="1"/>
      <c r="M212" s="27"/>
      <c r="N212" s="1"/>
      <c r="O212" s="1"/>
      <c r="P212" s="1"/>
      <c r="Q212" s="1"/>
      <c r="R212" s="1"/>
      <c r="S212" s="1"/>
      <c r="T212" s="1"/>
      <c r="U212" s="1"/>
      <c r="V212" s="1"/>
    </row>
    <row r="213" spans="2:22">
      <c r="B213" s="1"/>
      <c r="C213" s="1"/>
      <c r="D213" s="1"/>
      <c r="E213" s="1"/>
      <c r="F213" s="1"/>
      <c r="G213" s="1"/>
      <c r="H213" s="1"/>
      <c r="I213" s="1"/>
      <c r="J213" s="1"/>
      <c r="K213" s="1"/>
      <c r="L213" s="1"/>
      <c r="M213" s="27"/>
      <c r="N213" s="1"/>
      <c r="O213" s="1"/>
      <c r="P213" s="1"/>
      <c r="Q213" s="1"/>
      <c r="R213" s="1"/>
      <c r="S213" s="1"/>
      <c r="T213" s="1"/>
      <c r="U213" s="1"/>
      <c r="V213" s="1"/>
    </row>
    <row r="214" spans="2:22">
      <c r="B214" s="1"/>
      <c r="C214" s="1"/>
      <c r="D214" s="1"/>
      <c r="E214" s="1"/>
      <c r="F214" s="1"/>
      <c r="G214" s="1"/>
      <c r="H214" s="1"/>
      <c r="I214" s="1"/>
      <c r="J214" s="1"/>
      <c r="K214" s="1"/>
      <c r="L214" s="1"/>
      <c r="M214" s="27"/>
      <c r="N214" s="1"/>
      <c r="O214" s="1"/>
      <c r="P214" s="1"/>
      <c r="Q214" s="1"/>
      <c r="R214" s="1"/>
      <c r="S214" s="1"/>
      <c r="T214" s="1"/>
      <c r="U214" s="1"/>
      <c r="V214" s="1"/>
    </row>
    <row r="215" spans="2:22">
      <c r="B215" s="1"/>
      <c r="C215" s="1"/>
      <c r="D215" s="1"/>
      <c r="E215" s="1"/>
      <c r="F215" s="1"/>
      <c r="G215" s="1"/>
      <c r="H215" s="1"/>
      <c r="I215" s="1"/>
      <c r="J215" s="1"/>
      <c r="K215" s="1"/>
      <c r="L215" s="1"/>
      <c r="M215" s="27"/>
      <c r="N215" s="1"/>
      <c r="O215" s="1"/>
      <c r="P215" s="1"/>
      <c r="Q215" s="1"/>
      <c r="R215" s="1"/>
      <c r="S215" s="1"/>
      <c r="T215" s="1"/>
      <c r="U215" s="1"/>
      <c r="V215" s="1"/>
    </row>
    <row r="216" spans="2:22">
      <c r="B216" s="1"/>
      <c r="C216" s="1"/>
      <c r="D216" s="1"/>
      <c r="E216" s="1"/>
      <c r="F216" s="1"/>
      <c r="G216" s="1"/>
      <c r="H216" s="1"/>
      <c r="I216" s="1"/>
      <c r="J216" s="1"/>
      <c r="K216" s="1"/>
      <c r="L216" s="1"/>
      <c r="M216" s="27"/>
      <c r="N216" s="1"/>
      <c r="O216" s="1"/>
      <c r="P216" s="1"/>
      <c r="Q216" s="1"/>
      <c r="R216" s="1"/>
      <c r="S216" s="1"/>
      <c r="T216" s="1"/>
      <c r="U216" s="1"/>
      <c r="V216" s="1"/>
    </row>
    <row r="217" spans="2:22">
      <c r="B217" s="1"/>
      <c r="C217" s="1"/>
      <c r="D217" s="1"/>
      <c r="E217" s="1"/>
      <c r="F217" s="1"/>
      <c r="G217" s="1"/>
      <c r="H217" s="1"/>
      <c r="I217" s="1"/>
      <c r="J217" s="1"/>
      <c r="K217" s="1"/>
      <c r="L217" s="1"/>
      <c r="M217" s="27"/>
      <c r="N217" s="1"/>
      <c r="O217" s="1"/>
      <c r="P217" s="1"/>
      <c r="Q217" s="1"/>
      <c r="R217" s="1"/>
      <c r="S217" s="1"/>
      <c r="T217" s="1"/>
      <c r="U217" s="1"/>
      <c r="V217" s="1"/>
    </row>
    <row r="218" spans="2:22">
      <c r="B218" s="1"/>
      <c r="C218" s="1"/>
      <c r="D218" s="1"/>
      <c r="E218" s="1"/>
      <c r="F218" s="1"/>
      <c r="G218" s="1"/>
      <c r="H218" s="1"/>
      <c r="I218" s="1"/>
      <c r="J218" s="1"/>
      <c r="K218" s="1"/>
      <c r="L218" s="1"/>
      <c r="M218" s="27"/>
      <c r="N218" s="1"/>
      <c r="O218" s="1"/>
      <c r="P218" s="1"/>
      <c r="Q218" s="1"/>
      <c r="R218" s="1"/>
      <c r="S218" s="1"/>
      <c r="T218" s="1"/>
      <c r="U218" s="1"/>
      <c r="V218" s="1"/>
    </row>
    <row r="219" spans="2:22">
      <c r="B219" s="1"/>
      <c r="C219" s="1"/>
      <c r="D219" s="1"/>
      <c r="E219" s="1"/>
      <c r="F219" s="1"/>
      <c r="G219" s="1"/>
      <c r="H219" s="1"/>
      <c r="I219" s="1"/>
      <c r="J219" s="1"/>
      <c r="K219" s="1"/>
      <c r="L219" s="1"/>
      <c r="M219" s="27"/>
      <c r="N219" s="1"/>
      <c r="O219" s="1"/>
      <c r="P219" s="1"/>
      <c r="Q219" s="1"/>
      <c r="R219" s="1"/>
      <c r="S219" s="1"/>
      <c r="T219" s="1"/>
      <c r="U219" s="1"/>
      <c r="V219" s="1"/>
    </row>
    <row r="220" spans="2:22">
      <c r="B220" s="1"/>
      <c r="C220" s="1"/>
      <c r="D220" s="1"/>
      <c r="E220" s="1"/>
      <c r="F220" s="1"/>
      <c r="G220" s="1"/>
      <c r="H220" s="1"/>
      <c r="I220" s="1"/>
      <c r="J220" s="1"/>
      <c r="K220" s="1"/>
      <c r="L220" s="1"/>
      <c r="M220" s="27"/>
      <c r="N220" s="1"/>
      <c r="O220" s="1"/>
      <c r="P220" s="1"/>
      <c r="Q220" s="1"/>
      <c r="R220" s="1"/>
      <c r="S220" s="1"/>
      <c r="T220" s="1"/>
      <c r="U220" s="1"/>
      <c r="V220" s="1"/>
    </row>
    <row r="221" spans="2:22">
      <c r="B221" s="1"/>
      <c r="C221" s="1"/>
      <c r="D221" s="1"/>
      <c r="E221" s="1"/>
      <c r="F221" s="1"/>
      <c r="G221" s="1"/>
      <c r="H221" s="1"/>
      <c r="I221" s="1"/>
      <c r="J221" s="1"/>
      <c r="K221" s="1"/>
      <c r="L221" s="1"/>
      <c r="M221" s="27"/>
      <c r="N221" s="1"/>
      <c r="O221" s="1"/>
      <c r="P221" s="1"/>
      <c r="Q221" s="1"/>
      <c r="R221" s="1"/>
      <c r="S221" s="1"/>
      <c r="T221" s="1"/>
      <c r="U221" s="1"/>
      <c r="V221" s="1"/>
    </row>
    <row r="222" spans="2:22">
      <c r="B222" s="1"/>
      <c r="C222" s="1"/>
      <c r="D222" s="1"/>
      <c r="E222" s="1"/>
      <c r="F222" s="1"/>
      <c r="G222" s="1"/>
      <c r="H222" s="1"/>
      <c r="I222" s="1"/>
      <c r="J222" s="1"/>
      <c r="K222" s="1"/>
      <c r="L222" s="1"/>
      <c r="M222" s="27"/>
      <c r="N222" s="1"/>
      <c r="O222" s="1"/>
      <c r="P222" s="1"/>
      <c r="Q222" s="1"/>
      <c r="R222" s="1"/>
      <c r="S222" s="1"/>
      <c r="T222" s="1"/>
      <c r="U222" s="1"/>
      <c r="V222" s="1"/>
    </row>
    <row r="223" spans="2:22">
      <c r="B223" s="1"/>
      <c r="C223" s="1"/>
      <c r="D223" s="1"/>
      <c r="E223" s="1"/>
      <c r="F223" s="1"/>
      <c r="G223" s="1"/>
      <c r="H223" s="1"/>
      <c r="I223" s="1"/>
      <c r="J223" s="1"/>
      <c r="K223" s="1"/>
      <c r="L223" s="1"/>
      <c r="M223" s="27"/>
      <c r="N223" s="1"/>
      <c r="O223" s="1"/>
      <c r="P223" s="1"/>
      <c r="Q223" s="1"/>
      <c r="R223" s="1"/>
      <c r="S223" s="1"/>
      <c r="T223" s="1"/>
      <c r="U223" s="1"/>
      <c r="V223" s="1"/>
    </row>
    <row r="224" spans="2:22">
      <c r="B224" s="1"/>
      <c r="C224" s="1"/>
      <c r="D224" s="1"/>
      <c r="E224" s="1"/>
      <c r="F224" s="1"/>
      <c r="G224" s="1"/>
      <c r="H224" s="1"/>
      <c r="I224" s="1"/>
      <c r="J224" s="1"/>
      <c r="K224" s="1"/>
      <c r="L224" s="1"/>
      <c r="M224" s="27"/>
      <c r="N224" s="1"/>
      <c r="O224" s="1"/>
      <c r="P224" s="1"/>
      <c r="Q224" s="1"/>
      <c r="R224" s="1"/>
      <c r="S224" s="1"/>
      <c r="T224" s="1"/>
      <c r="U224" s="1"/>
      <c r="V224" s="1"/>
    </row>
    <row r="225" spans="2:28">
      <c r="B225" s="1"/>
      <c r="C225" s="1"/>
      <c r="D225" s="1"/>
      <c r="E225" s="1"/>
      <c r="F225" s="1"/>
      <c r="G225" s="1"/>
      <c r="H225" s="1"/>
      <c r="I225" s="1"/>
      <c r="J225" s="1"/>
      <c r="K225" s="1"/>
      <c r="L225" s="1"/>
      <c r="M225" s="27"/>
      <c r="N225" s="1"/>
      <c r="O225" s="1"/>
      <c r="P225" s="1"/>
      <c r="Q225" s="1"/>
      <c r="R225" s="1"/>
      <c r="S225" s="1"/>
      <c r="T225" s="1"/>
      <c r="U225" s="1"/>
      <c r="V225" s="1"/>
    </row>
    <row r="226" spans="2:28">
      <c r="B226" s="1"/>
      <c r="C226" s="1"/>
      <c r="D226" s="1"/>
      <c r="E226" s="1"/>
      <c r="F226" s="1"/>
      <c r="G226" s="1"/>
      <c r="H226" s="1"/>
      <c r="I226" s="1"/>
      <c r="J226" s="1"/>
      <c r="K226" s="1"/>
      <c r="L226" s="1"/>
      <c r="M226" s="27"/>
      <c r="N226" s="1"/>
      <c r="O226" s="1"/>
      <c r="P226" s="1"/>
      <c r="Q226" s="1"/>
      <c r="R226" s="1"/>
      <c r="S226" s="1"/>
      <c r="T226" s="1"/>
      <c r="U226" s="1"/>
      <c r="V226" s="1"/>
    </row>
    <row r="227" spans="2:28">
      <c r="B227" s="1"/>
      <c r="C227" s="1"/>
      <c r="D227" s="1"/>
      <c r="E227" s="1"/>
      <c r="F227" s="1"/>
      <c r="G227" s="1"/>
      <c r="H227" s="1"/>
      <c r="I227" s="1"/>
      <c r="J227" s="1"/>
      <c r="K227" s="1"/>
      <c r="L227" s="1"/>
      <c r="M227" s="27"/>
      <c r="N227" s="1"/>
      <c r="O227" s="1"/>
      <c r="P227" s="1"/>
      <c r="Q227" s="1"/>
      <c r="R227" s="1"/>
      <c r="S227" s="1"/>
      <c r="T227" s="1"/>
      <c r="U227" s="1"/>
      <c r="V227" s="1"/>
    </row>
    <row r="228" spans="2:28">
      <c r="B228" s="1"/>
      <c r="C228" s="1"/>
      <c r="D228" s="1"/>
      <c r="E228" s="1"/>
      <c r="F228" s="1"/>
      <c r="G228" s="1"/>
      <c r="H228" s="1"/>
      <c r="I228" s="1"/>
      <c r="J228" s="1"/>
      <c r="K228" s="1"/>
      <c r="L228" s="1"/>
      <c r="M228" s="27"/>
      <c r="N228" s="1"/>
      <c r="O228" s="1"/>
      <c r="P228" s="1"/>
      <c r="Q228" s="1"/>
      <c r="R228" s="1"/>
      <c r="S228" s="1"/>
      <c r="T228" s="1"/>
      <c r="U228" s="1"/>
      <c r="V228" s="1"/>
    </row>
    <row r="229" spans="2:28">
      <c r="B229" s="1"/>
      <c r="C229" s="1"/>
      <c r="D229" s="1"/>
      <c r="E229" s="1"/>
      <c r="F229" s="1"/>
      <c r="G229" s="1"/>
      <c r="H229" s="1"/>
      <c r="I229" s="1"/>
      <c r="J229" s="1"/>
      <c r="K229" s="1"/>
      <c r="L229" s="1"/>
      <c r="M229" s="27"/>
      <c r="N229" s="1"/>
      <c r="O229" s="1"/>
      <c r="P229" s="1"/>
      <c r="Q229" s="1"/>
      <c r="R229" s="1"/>
      <c r="S229" s="1"/>
      <c r="T229" s="1"/>
      <c r="U229" s="1"/>
      <c r="V229" s="1"/>
    </row>
    <row r="230" spans="2:28">
      <c r="B230" s="1"/>
      <c r="C230" s="1"/>
      <c r="D230" s="1"/>
      <c r="E230" s="1"/>
      <c r="F230" s="1"/>
      <c r="G230" s="1"/>
      <c r="H230" s="1"/>
      <c r="I230" s="1"/>
      <c r="J230" s="1"/>
      <c r="K230" s="1"/>
      <c r="L230" s="1"/>
      <c r="M230" s="27"/>
      <c r="N230" s="1"/>
      <c r="O230" s="1"/>
      <c r="P230" s="1"/>
      <c r="Q230" s="1"/>
      <c r="R230" s="1"/>
      <c r="S230" s="1"/>
      <c r="T230" s="1"/>
      <c r="U230" s="1"/>
      <c r="V230" s="1"/>
    </row>
    <row r="231" spans="2:28">
      <c r="B231" s="1"/>
      <c r="C231" s="1"/>
      <c r="D231" s="1"/>
      <c r="E231" s="1"/>
      <c r="F231" s="1"/>
      <c r="G231" s="1"/>
      <c r="H231" s="1"/>
      <c r="I231" s="1"/>
      <c r="J231" s="1"/>
      <c r="K231" s="1"/>
      <c r="L231" s="1"/>
      <c r="M231" s="27"/>
      <c r="N231" s="1"/>
      <c r="O231" s="1"/>
      <c r="P231" s="1"/>
      <c r="Q231" s="1"/>
      <c r="R231" s="1"/>
      <c r="S231" s="1"/>
      <c r="T231" s="1"/>
      <c r="U231" s="1"/>
      <c r="V231" s="1"/>
    </row>
    <row r="232" spans="2:28">
      <c r="B232" s="1"/>
      <c r="C232" s="1"/>
      <c r="D232" s="1"/>
      <c r="E232" s="1"/>
      <c r="F232" s="1"/>
      <c r="G232" s="1"/>
      <c r="H232" s="1"/>
      <c r="I232" s="1"/>
      <c r="J232" s="1"/>
      <c r="K232" s="1"/>
      <c r="L232" s="1"/>
      <c r="M232" s="27"/>
      <c r="N232" s="1"/>
      <c r="O232" s="1"/>
      <c r="P232" s="1"/>
      <c r="Q232" s="1"/>
      <c r="R232" s="1"/>
      <c r="S232" s="1"/>
      <c r="T232" s="1"/>
      <c r="U232" s="1"/>
      <c r="V232" s="1"/>
    </row>
    <row r="233" spans="2:28">
      <c r="B233" s="1"/>
      <c r="C233" s="1"/>
      <c r="D233" s="1"/>
      <c r="E233" s="1"/>
      <c r="F233" s="1"/>
      <c r="G233" s="1"/>
      <c r="H233" s="1"/>
      <c r="I233" s="1"/>
      <c r="J233" s="1"/>
      <c r="K233" s="1"/>
      <c r="L233" s="1"/>
      <c r="M233" s="27"/>
      <c r="N233" s="1"/>
      <c r="O233" s="1"/>
      <c r="P233" s="1"/>
      <c r="Q233" s="1"/>
      <c r="R233" s="1"/>
      <c r="S233" s="1"/>
      <c r="T233" s="1"/>
      <c r="U233" s="1"/>
      <c r="V233" s="1"/>
    </row>
    <row r="234" spans="2:28">
      <c r="M234" s="19"/>
    </row>
    <row r="235" spans="2:28">
      <c r="M235" s="19"/>
    </row>
    <row r="236" spans="2:28">
      <c r="M236" s="19"/>
    </row>
    <row r="237" spans="2:28" ht="33" customHeight="1">
      <c r="M237" s="19"/>
      <c r="AB237" s="250"/>
    </row>
    <row r="238" spans="2:28">
      <c r="M238" s="19"/>
    </row>
    <row r="239" spans="2:28">
      <c r="M239" s="19"/>
    </row>
    <row r="240" spans="2:28">
      <c r="M240" s="19"/>
    </row>
    <row r="241" spans="1:25">
      <c r="M241" s="19"/>
    </row>
    <row r="242" spans="1:25">
      <c r="A242" s="10" t="s">
        <v>100</v>
      </c>
      <c r="B242" s="1"/>
      <c r="C242" s="1"/>
      <c r="D242" s="1"/>
      <c r="E242" s="1"/>
      <c r="F242" s="1"/>
      <c r="G242" s="1"/>
      <c r="H242" s="1"/>
      <c r="I242" s="1"/>
      <c r="J242" s="1"/>
      <c r="K242" s="1"/>
      <c r="L242" s="1"/>
      <c r="M242" s="19"/>
      <c r="Y242" s="141"/>
    </row>
    <row r="243" spans="1:25">
      <c r="A243" s="40" t="s">
        <v>19</v>
      </c>
      <c r="B243" s="1">
        <v>425039</v>
      </c>
      <c r="C243" s="1">
        <v>410423</v>
      </c>
      <c r="D243" s="1">
        <v>456964</v>
      </c>
      <c r="E243" s="1">
        <v>455295</v>
      </c>
      <c r="F243" s="4">
        <v>561776</v>
      </c>
      <c r="G243" s="4">
        <v>1694302</v>
      </c>
      <c r="H243" s="1">
        <v>1620629</v>
      </c>
      <c r="I243" s="1"/>
      <c r="J243" s="1">
        <v>2245522</v>
      </c>
      <c r="K243" s="1">
        <v>2878899</v>
      </c>
      <c r="L243" s="1">
        <v>2900473</v>
      </c>
      <c r="M243" s="19"/>
    </row>
    <row r="244" spans="1:25">
      <c r="A244" s="40" t="s">
        <v>18</v>
      </c>
      <c r="B244" s="1">
        <v>3674299</v>
      </c>
      <c r="C244" s="1">
        <v>3711564</v>
      </c>
      <c r="D244" s="1">
        <v>3726884</v>
      </c>
      <c r="E244" s="1">
        <v>4140230</v>
      </c>
      <c r="F244" s="1">
        <v>4038717</v>
      </c>
      <c r="G244" s="1">
        <v>5473364</v>
      </c>
      <c r="H244" s="1">
        <v>4341628</v>
      </c>
      <c r="I244" s="1"/>
      <c r="J244" s="1">
        <v>4690982</v>
      </c>
      <c r="K244" s="1">
        <v>5003861</v>
      </c>
      <c r="L244" s="1">
        <v>4375811</v>
      </c>
      <c r="M244" s="19"/>
    </row>
    <row r="245" spans="1:25">
      <c r="A245" s="40" t="s">
        <v>80</v>
      </c>
      <c r="B245" s="1">
        <v>2824752</v>
      </c>
      <c r="C245" s="1">
        <v>3429800</v>
      </c>
      <c r="D245" s="1">
        <v>3605190</v>
      </c>
      <c r="E245" s="1">
        <v>3613875</v>
      </c>
      <c r="F245" s="1">
        <v>4039024</v>
      </c>
      <c r="G245" s="1">
        <v>4282105</v>
      </c>
      <c r="H245" s="1">
        <v>4495086</v>
      </c>
      <c r="I245" s="1">
        <v>10372472</v>
      </c>
      <c r="J245" s="1">
        <v>4866599</v>
      </c>
      <c r="K245" s="1">
        <v>5325143</v>
      </c>
      <c r="L245" s="1">
        <v>4615066</v>
      </c>
      <c r="M245" s="19"/>
    </row>
    <row r="246" spans="1:25">
      <c r="A246" s="40"/>
      <c r="B246" s="1">
        <v>0</v>
      </c>
      <c r="C246" s="1">
        <v>0</v>
      </c>
      <c r="D246" s="1">
        <v>0</v>
      </c>
      <c r="E246" s="1">
        <v>0</v>
      </c>
      <c r="F246" s="1">
        <v>0</v>
      </c>
      <c r="G246" s="1">
        <v>0</v>
      </c>
      <c r="H246" s="1">
        <v>0</v>
      </c>
      <c r="I246" s="1">
        <v>0</v>
      </c>
      <c r="J246" s="1">
        <v>0</v>
      </c>
      <c r="K246" s="1">
        <v>0</v>
      </c>
      <c r="L246" s="1">
        <v>0</v>
      </c>
      <c r="M246" s="19"/>
    </row>
    <row r="247" spans="1:25" ht="16.5" thickBot="1">
      <c r="B247" s="38"/>
      <c r="C247" s="38"/>
      <c r="D247" s="38"/>
      <c r="E247" s="38"/>
      <c r="F247" s="38"/>
      <c r="G247" s="38"/>
      <c r="H247" s="38"/>
      <c r="I247" s="38"/>
      <c r="J247" s="38"/>
      <c r="K247" s="38"/>
      <c r="L247" s="38"/>
      <c r="M247" s="19"/>
    </row>
    <row r="248" spans="1:25">
      <c r="A248" s="9" t="s">
        <v>20</v>
      </c>
      <c r="B248" s="1">
        <f>SUM(B243:B247)</f>
        <v>6924090</v>
      </c>
      <c r="C248" s="1">
        <f t="shared" ref="C248:K248" si="6">SUM(C243:C247)</f>
        <v>7551787</v>
      </c>
      <c r="D248" s="1">
        <f t="shared" si="6"/>
        <v>7789038</v>
      </c>
      <c r="E248" s="1">
        <f t="shared" si="6"/>
        <v>8209400</v>
      </c>
      <c r="F248" s="1">
        <f t="shared" si="6"/>
        <v>8639517</v>
      </c>
      <c r="G248" s="5">
        <f t="shared" si="6"/>
        <v>11449771</v>
      </c>
      <c r="H248" s="1">
        <f t="shared" si="6"/>
        <v>10457343</v>
      </c>
      <c r="I248" s="1">
        <f t="shared" si="6"/>
        <v>10372472</v>
      </c>
      <c r="J248" s="1">
        <f t="shared" si="6"/>
        <v>11803103</v>
      </c>
      <c r="K248" s="1">
        <f t="shared" si="6"/>
        <v>13207903</v>
      </c>
      <c r="L248" s="5">
        <f>SUM(L243:L247)</f>
        <v>11891350</v>
      </c>
      <c r="M248" s="19"/>
    </row>
    <row r="249" spans="1:25">
      <c r="A249" s="45" t="s">
        <v>72</v>
      </c>
      <c r="B249" s="1"/>
      <c r="C249" s="7">
        <f>(C248/B248)-1</f>
        <v>9.0654078730923571E-2</v>
      </c>
      <c r="D249" s="7">
        <f t="shared" ref="D249:L249" si="7">(D248/C248)-1</f>
        <v>3.1416537569187275E-2</v>
      </c>
      <c r="E249" s="7">
        <f t="shared" si="7"/>
        <v>5.3968410476364248E-2</v>
      </c>
      <c r="F249" s="7">
        <f t="shared" si="7"/>
        <v>5.2393232148512769E-2</v>
      </c>
      <c r="G249" s="7">
        <f t="shared" si="7"/>
        <v>0.32527906363283976</v>
      </c>
      <c r="H249" s="7">
        <f t="shared" si="7"/>
        <v>-8.667666803117724E-2</v>
      </c>
      <c r="I249" s="7">
        <f t="shared" si="7"/>
        <v>-8.1159239015111684E-3</v>
      </c>
      <c r="J249" s="7">
        <f>(J248/I248)-1</f>
        <v>0.13792575193261558</v>
      </c>
      <c r="K249" s="7">
        <f t="shared" si="7"/>
        <v>0.11901954935070891</v>
      </c>
      <c r="L249" s="7">
        <f t="shared" si="7"/>
        <v>-9.9679184500370721E-2</v>
      </c>
      <c r="M249" s="19"/>
    </row>
    <row r="250" spans="1:25">
      <c r="A250" s="47" t="s">
        <v>74</v>
      </c>
      <c r="B250" s="1"/>
      <c r="C250" s="1"/>
      <c r="D250" s="1"/>
      <c r="E250" s="1"/>
      <c r="F250" s="1"/>
      <c r="G250" s="1"/>
      <c r="H250" s="1"/>
      <c r="I250" s="1"/>
      <c r="J250" s="1"/>
      <c r="K250" s="1"/>
      <c r="L250" s="23">
        <f>(L248/G248)-1</f>
        <v>3.8566622860841449E-2</v>
      </c>
      <c r="M250" s="19"/>
    </row>
    <row r="251" spans="1:25">
      <c r="B251" s="1"/>
      <c r="C251" s="1"/>
      <c r="D251" s="1"/>
      <c r="E251" s="1"/>
      <c r="F251" s="1"/>
      <c r="G251" s="1"/>
      <c r="H251" s="1"/>
      <c r="I251" s="1"/>
      <c r="J251" s="1"/>
      <c r="K251" s="1"/>
      <c r="L251" s="1"/>
      <c r="M251" s="19"/>
    </row>
    <row r="252" spans="1:25">
      <c r="A252" s="9" t="s">
        <v>81</v>
      </c>
      <c r="B252" s="1"/>
      <c r="C252" s="1"/>
      <c r="D252" s="1"/>
      <c r="E252" s="1"/>
      <c r="F252" s="1"/>
      <c r="G252" s="1"/>
      <c r="H252" s="1"/>
      <c r="I252" s="1"/>
      <c r="J252" s="1"/>
      <c r="K252" s="1"/>
      <c r="L252" s="1"/>
      <c r="M252" s="19"/>
    </row>
    <row r="253" spans="1:25">
      <c r="A253" s="40" t="s">
        <v>82</v>
      </c>
      <c r="B253" s="4">
        <v>5241595</v>
      </c>
      <c r="C253" s="1">
        <v>3140781</v>
      </c>
      <c r="D253" s="1">
        <v>2833380</v>
      </c>
      <c r="E253" s="1">
        <v>3287046</v>
      </c>
      <c r="F253" s="1">
        <v>2806142</v>
      </c>
      <c r="G253" s="1">
        <v>3849000</v>
      </c>
      <c r="H253" s="1">
        <v>3764678</v>
      </c>
      <c r="I253" s="3">
        <v>4584652</v>
      </c>
      <c r="J253" s="1">
        <v>4185637</v>
      </c>
      <c r="K253" s="1">
        <v>4540987</v>
      </c>
      <c r="L253" s="1">
        <v>4002992</v>
      </c>
      <c r="M253" s="19"/>
    </row>
    <row r="254" spans="1:25">
      <c r="B254" s="1"/>
      <c r="C254" s="1"/>
      <c r="D254" s="1"/>
      <c r="E254" s="1"/>
      <c r="F254" s="1"/>
      <c r="G254" s="1"/>
      <c r="H254" s="1"/>
      <c r="I254" s="1"/>
      <c r="J254" s="1"/>
      <c r="K254" s="1"/>
      <c r="L254" s="1"/>
      <c r="M254" s="19"/>
    </row>
    <row r="255" spans="1:25">
      <c r="A255" s="9" t="s">
        <v>83</v>
      </c>
      <c r="B255" s="1"/>
      <c r="C255" s="1"/>
      <c r="D255" s="1"/>
      <c r="E255" s="1"/>
      <c r="F255" s="1"/>
      <c r="G255" s="1"/>
      <c r="H255" s="1"/>
      <c r="I255" s="1"/>
      <c r="J255" s="1"/>
      <c r="K255" s="1"/>
      <c r="L255" s="1"/>
      <c r="M255" s="19"/>
    </row>
    <row r="256" spans="1:25">
      <c r="A256" s="40" t="s">
        <v>11</v>
      </c>
      <c r="B256" s="1">
        <v>595887</v>
      </c>
      <c r="C256" s="1">
        <v>1530881</v>
      </c>
      <c r="D256" s="1">
        <v>307217</v>
      </c>
      <c r="E256" s="1">
        <v>128452</v>
      </c>
      <c r="F256" s="1">
        <v>670538</v>
      </c>
      <c r="G256" s="1">
        <v>2647720</v>
      </c>
      <c r="H256" s="1">
        <v>231332</v>
      </c>
      <c r="I256" s="1">
        <v>1421689</v>
      </c>
      <c r="J256" s="176">
        <v>1801108</v>
      </c>
      <c r="K256" s="1">
        <v>2558164</v>
      </c>
      <c r="L256" s="1">
        <v>3925834</v>
      </c>
      <c r="M256" s="19"/>
    </row>
    <row r="257" spans="1:13">
      <c r="A257" s="40" t="s">
        <v>12</v>
      </c>
      <c r="B257" s="1">
        <v>1255753</v>
      </c>
      <c r="C257" s="1">
        <v>184764</v>
      </c>
      <c r="D257" s="1">
        <v>247679</v>
      </c>
      <c r="E257" s="1">
        <v>496842</v>
      </c>
      <c r="F257" s="1">
        <v>2975832</v>
      </c>
      <c r="G257" s="4">
        <v>2268117</v>
      </c>
      <c r="H257" s="4">
        <v>4524675</v>
      </c>
      <c r="I257" s="4">
        <v>4907854</v>
      </c>
      <c r="J257" s="176">
        <v>4342713</v>
      </c>
      <c r="K257" s="4">
        <v>3191649</v>
      </c>
      <c r="L257" s="4">
        <v>4100733</v>
      </c>
      <c r="M257" s="19"/>
    </row>
    <row r="258" spans="1:13">
      <c r="A258" s="51" t="s">
        <v>14</v>
      </c>
      <c r="B258" s="43">
        <v>0</v>
      </c>
      <c r="C258" s="43">
        <v>0</v>
      </c>
      <c r="D258" s="43">
        <v>86293</v>
      </c>
      <c r="E258" s="43">
        <v>582195</v>
      </c>
      <c r="F258" s="43">
        <v>58281</v>
      </c>
      <c r="G258" s="50">
        <v>94523</v>
      </c>
      <c r="H258" s="50">
        <v>4495086</v>
      </c>
      <c r="I258" s="43">
        <v>310000</v>
      </c>
      <c r="J258" s="188">
        <v>2584</v>
      </c>
      <c r="K258" s="43">
        <v>762916</v>
      </c>
      <c r="L258" s="43">
        <v>635900</v>
      </c>
      <c r="M258" s="19"/>
    </row>
    <row r="259" spans="1:13">
      <c r="A259" s="51" t="s">
        <v>176</v>
      </c>
      <c r="B259" s="43"/>
      <c r="C259" s="43"/>
      <c r="D259" s="43"/>
      <c r="E259" s="43"/>
      <c r="F259" s="43"/>
      <c r="G259" s="50"/>
      <c r="H259" s="50"/>
      <c r="I259" s="43">
        <f>1951760+300000+706330-2137382</f>
        <v>820708</v>
      </c>
      <c r="J259" s="188">
        <v>206224</v>
      </c>
      <c r="K259" s="43">
        <v>7754679</v>
      </c>
      <c r="L259" s="43">
        <v>235962</v>
      </c>
      <c r="M259" s="19"/>
    </row>
    <row r="260" spans="1:13">
      <c r="A260" s="51" t="s">
        <v>219</v>
      </c>
      <c r="B260" s="43"/>
      <c r="C260" s="43"/>
      <c r="D260" s="43"/>
      <c r="E260" s="43"/>
      <c r="F260" s="43"/>
      <c r="G260" s="50"/>
      <c r="H260" s="50"/>
      <c r="I260" s="43"/>
      <c r="J260" s="188">
        <v>0</v>
      </c>
      <c r="K260" s="43">
        <v>23500</v>
      </c>
      <c r="L260" s="43">
        <v>130000</v>
      </c>
      <c r="M260" s="19"/>
    </row>
    <row r="261" spans="1:13">
      <c r="A261" s="51" t="s">
        <v>174</v>
      </c>
      <c r="B261" s="43"/>
      <c r="C261" s="43"/>
      <c r="D261" s="43"/>
      <c r="E261" s="43"/>
      <c r="F261" s="43"/>
      <c r="G261" s="50"/>
      <c r="H261" s="50"/>
      <c r="I261" s="43"/>
      <c r="J261" s="188">
        <v>769038</v>
      </c>
      <c r="K261" s="43">
        <v>634907</v>
      </c>
      <c r="L261" s="43">
        <v>619746</v>
      </c>
      <c r="M261" s="19"/>
    </row>
    <row r="262" spans="1:13">
      <c r="A262" s="51" t="s">
        <v>175</v>
      </c>
      <c r="B262" s="43"/>
      <c r="C262" s="43"/>
      <c r="D262" s="43"/>
      <c r="E262" s="43"/>
      <c r="F262" s="43"/>
      <c r="G262" s="50"/>
      <c r="H262" s="50"/>
      <c r="I262" s="43"/>
      <c r="J262" s="188">
        <v>0</v>
      </c>
      <c r="K262" s="43">
        <v>0</v>
      </c>
      <c r="L262" s="43">
        <v>2545000</v>
      </c>
      <c r="M262" s="19"/>
    </row>
    <row r="263" spans="1:13" ht="16.5" thickBot="1">
      <c r="A263" s="40" t="s">
        <v>85</v>
      </c>
      <c r="B263" s="38"/>
      <c r="C263" s="38"/>
      <c r="D263" s="38"/>
      <c r="E263" s="38"/>
      <c r="F263" s="38"/>
      <c r="G263" s="38"/>
      <c r="H263" s="38">
        <v>122976</v>
      </c>
      <c r="I263" s="38"/>
      <c r="J263" s="38">
        <v>0</v>
      </c>
      <c r="K263" s="38">
        <v>0</v>
      </c>
      <c r="L263" s="38">
        <v>0</v>
      </c>
      <c r="M263" s="19"/>
    </row>
    <row r="264" spans="1:13">
      <c r="A264" s="17" t="s">
        <v>84</v>
      </c>
      <c r="B264" s="1">
        <f t="shared" ref="B264:L264" si="8">SUM(B256:B263)</f>
        <v>1851640</v>
      </c>
      <c r="C264" s="1">
        <f t="shared" si="8"/>
        <v>1715645</v>
      </c>
      <c r="D264" s="1">
        <f t="shared" si="8"/>
        <v>641189</v>
      </c>
      <c r="E264" s="1">
        <f t="shared" si="8"/>
        <v>1207489</v>
      </c>
      <c r="F264" s="1">
        <f t="shared" si="8"/>
        <v>3704651</v>
      </c>
      <c r="G264" s="1">
        <f t="shared" si="8"/>
        <v>5010360</v>
      </c>
      <c r="H264" s="1">
        <f t="shared" si="8"/>
        <v>9374069</v>
      </c>
      <c r="I264" s="1">
        <f t="shared" si="8"/>
        <v>7460251</v>
      </c>
      <c r="J264" s="1">
        <f t="shared" si="8"/>
        <v>7121667</v>
      </c>
      <c r="K264" s="1">
        <f t="shared" si="8"/>
        <v>14925815</v>
      </c>
      <c r="L264" s="1">
        <f t="shared" si="8"/>
        <v>12193175</v>
      </c>
      <c r="M264" s="19"/>
    </row>
    <row r="265" spans="1:13">
      <c r="M265" s="19"/>
    </row>
    <row r="266" spans="1:13">
      <c r="M266" s="19"/>
    </row>
    <row r="267" spans="1:13">
      <c r="M267" s="19"/>
    </row>
    <row r="268" spans="1:13">
      <c r="M268" s="19"/>
    </row>
    <row r="269" spans="1:13">
      <c r="A269" s="88" t="s">
        <v>107</v>
      </c>
      <c r="B269" s="97" t="s">
        <v>103</v>
      </c>
      <c r="C269" s="97" t="s">
        <v>103</v>
      </c>
      <c r="D269" s="97" t="s">
        <v>103</v>
      </c>
      <c r="E269" s="97" t="s">
        <v>103</v>
      </c>
      <c r="F269" s="97" t="s">
        <v>103</v>
      </c>
      <c r="G269" s="97" t="s">
        <v>103</v>
      </c>
      <c r="H269" s="97" t="s">
        <v>103</v>
      </c>
      <c r="I269" s="97" t="s">
        <v>103</v>
      </c>
      <c r="J269" s="97" t="s">
        <v>103</v>
      </c>
      <c r="K269" s="97" t="s">
        <v>103</v>
      </c>
      <c r="L269" s="97" t="s">
        <v>103</v>
      </c>
      <c r="M269" s="19"/>
    </row>
    <row r="270" spans="1:13">
      <c r="A270" s="88"/>
      <c r="B270" s="2"/>
      <c r="C270" s="2"/>
      <c r="D270" s="2"/>
      <c r="E270" s="2"/>
      <c r="F270" s="2"/>
      <c r="G270" s="2"/>
      <c r="H270" s="2"/>
      <c r="I270" s="2"/>
      <c r="J270" s="2"/>
      <c r="K270" s="2"/>
      <c r="L270" s="2"/>
      <c r="M270" s="19"/>
    </row>
    <row r="271" spans="1:13">
      <c r="A271" s="89" t="s">
        <v>121</v>
      </c>
      <c r="B271" s="118">
        <f t="shared" ref="B271:L271" si="9">B11-B20</f>
        <v>-1029382</v>
      </c>
      <c r="C271" s="118">
        <f t="shared" si="9"/>
        <v>1032661</v>
      </c>
      <c r="D271" s="118">
        <f t="shared" si="9"/>
        <v>2834485</v>
      </c>
      <c r="E271" s="118">
        <f t="shared" si="9"/>
        <v>1984407</v>
      </c>
      <c r="F271" s="118">
        <f t="shared" si="9"/>
        <v>-369136</v>
      </c>
      <c r="G271" s="118">
        <f t="shared" si="9"/>
        <v>-1502020</v>
      </c>
      <c r="H271" s="118">
        <f t="shared" si="9"/>
        <v>-5619608</v>
      </c>
      <c r="I271" s="118">
        <f t="shared" si="9"/>
        <v>-3478346</v>
      </c>
      <c r="J271" s="118">
        <f t="shared" si="9"/>
        <v>-8462463</v>
      </c>
      <c r="K271" s="118">
        <f t="shared" si="9"/>
        <v>-7434100</v>
      </c>
      <c r="L271" s="118">
        <f t="shared" si="9"/>
        <v>-8478085</v>
      </c>
      <c r="M271" s="19"/>
    </row>
    <row r="272" spans="1:13">
      <c r="A272" s="89"/>
      <c r="B272" s="144"/>
      <c r="C272" s="144"/>
      <c r="D272" s="144"/>
      <c r="E272" s="144"/>
      <c r="F272" s="144"/>
      <c r="G272" s="144"/>
      <c r="H272" s="144"/>
      <c r="I272" s="144"/>
      <c r="J272" s="144"/>
      <c r="K272" s="144"/>
      <c r="L272" s="144"/>
      <c r="M272" s="19"/>
    </row>
    <row r="273" spans="1:13">
      <c r="B273" s="2">
        <v>2009</v>
      </c>
      <c r="C273" s="2">
        <v>2010</v>
      </c>
      <c r="D273" s="2">
        <v>2011</v>
      </c>
      <c r="E273" s="2">
        <v>2012</v>
      </c>
      <c r="F273" s="2">
        <v>2013</v>
      </c>
      <c r="G273" s="2">
        <v>2014</v>
      </c>
      <c r="H273" s="2">
        <v>2015</v>
      </c>
      <c r="I273" s="340">
        <v>2016</v>
      </c>
      <c r="J273" s="340">
        <v>2017</v>
      </c>
      <c r="K273" s="340">
        <v>2018</v>
      </c>
      <c r="L273" s="146">
        <v>2019</v>
      </c>
      <c r="M273" s="19"/>
    </row>
    <row r="274" spans="1:13">
      <c r="A274" s="88" t="s">
        <v>160</v>
      </c>
      <c r="B274" s="1">
        <v>3375911</v>
      </c>
      <c r="C274" s="1">
        <v>2332303</v>
      </c>
      <c r="D274" s="1">
        <v>790795</v>
      </c>
      <c r="E274" s="1">
        <v>1266138</v>
      </c>
      <c r="F274" s="1">
        <v>1439875</v>
      </c>
      <c r="G274" s="1">
        <v>5215278</v>
      </c>
      <c r="H274" s="1">
        <v>4740307</v>
      </c>
      <c r="I274" s="1">
        <v>7115764</v>
      </c>
      <c r="J274" s="1">
        <v>6749998</v>
      </c>
      <c r="K274" s="1">
        <v>7682984</v>
      </c>
      <c r="L274" s="1">
        <v>9715623</v>
      </c>
      <c r="M274" s="19"/>
    </row>
    <row r="275" spans="1:13">
      <c r="A275" s="88" t="s">
        <v>162</v>
      </c>
      <c r="B275" s="1">
        <f t="shared" ref="B275:L275" si="10">B20-B274</f>
        <v>10641414</v>
      </c>
      <c r="C275" s="1">
        <f t="shared" si="10"/>
        <v>10075910</v>
      </c>
      <c r="D275" s="1">
        <f t="shared" si="10"/>
        <v>10472812</v>
      </c>
      <c r="E275" s="1">
        <f t="shared" si="10"/>
        <v>11437797</v>
      </c>
      <c r="F275" s="1">
        <f t="shared" si="10"/>
        <v>13710435</v>
      </c>
      <c r="G275" s="1">
        <f t="shared" si="10"/>
        <v>15093853</v>
      </c>
      <c r="H275" s="1">
        <f t="shared" si="10"/>
        <v>18855783</v>
      </c>
      <c r="I275" s="1">
        <f t="shared" si="10"/>
        <v>15301611</v>
      </c>
      <c r="J275" s="1">
        <f t="shared" si="10"/>
        <v>15385147</v>
      </c>
      <c r="K275" s="1">
        <f t="shared" si="10"/>
        <v>16578635</v>
      </c>
      <c r="L275" s="1">
        <f t="shared" si="10"/>
        <v>14841186</v>
      </c>
      <c r="M275" s="19"/>
    </row>
    <row r="276" spans="1:13">
      <c r="B276" s="1"/>
      <c r="C276" s="1"/>
      <c r="D276" s="1"/>
      <c r="E276" s="1"/>
      <c r="F276" s="1"/>
      <c r="G276" s="1"/>
      <c r="H276" s="1"/>
      <c r="I276" s="1"/>
      <c r="J276" s="1"/>
      <c r="K276" s="1"/>
      <c r="L276" s="1"/>
      <c r="M276" s="19"/>
    </row>
    <row r="277" spans="1:13">
      <c r="A277" s="9" t="s">
        <v>21</v>
      </c>
      <c r="B277" s="12">
        <f>Stats!C4</f>
        <v>64690</v>
      </c>
      <c r="C277" s="12">
        <f>Stats!D4</f>
        <v>63162</v>
      </c>
      <c r="D277" s="12">
        <f>Stats!E4</f>
        <v>67742</v>
      </c>
      <c r="E277" s="12">
        <f>Stats!F4</f>
        <v>68761</v>
      </c>
      <c r="F277" s="12">
        <f>Stats!G4</f>
        <v>69341</v>
      </c>
      <c r="G277" s="12">
        <f>Stats!H4</f>
        <v>70370</v>
      </c>
      <c r="H277" s="12">
        <f>Stats!I4</f>
        <v>71027</v>
      </c>
      <c r="I277" s="12">
        <f>Stats!J4</f>
        <v>73420</v>
      </c>
      <c r="J277" s="48">
        <f>Stats!K4</f>
        <v>74385</v>
      </c>
      <c r="K277" s="48">
        <f>Stats!L4</f>
        <v>75840</v>
      </c>
      <c r="L277" s="48">
        <f>Stats!M4</f>
        <v>77262</v>
      </c>
      <c r="M277" s="19"/>
    </row>
    <row r="278" spans="1:13">
      <c r="A278" s="9" t="s">
        <v>23</v>
      </c>
      <c r="M278" s="19"/>
    </row>
    <row r="279" spans="1:13">
      <c r="A279" s="9" t="s">
        <v>22</v>
      </c>
      <c r="B279" s="1"/>
      <c r="C279" s="1"/>
      <c r="D279" s="1"/>
      <c r="E279" s="1"/>
      <c r="F279" s="1"/>
      <c r="G279" s="1"/>
      <c r="H279" s="1"/>
      <c r="I279" s="1"/>
      <c r="J279" s="1"/>
      <c r="K279" s="1"/>
      <c r="L279" s="1"/>
      <c r="M279" s="19"/>
    </row>
    <row r="280" spans="1:13">
      <c r="A280" s="9" t="s">
        <v>63</v>
      </c>
      <c r="B280" s="15"/>
      <c r="C280" s="15"/>
      <c r="D280" s="15"/>
      <c r="E280" s="15"/>
      <c r="F280" s="15"/>
      <c r="G280" s="15"/>
      <c r="H280" s="15"/>
      <c r="I280" s="15"/>
      <c r="J280" s="15"/>
      <c r="K280" s="15"/>
      <c r="L280" s="15"/>
      <c r="M280" s="19"/>
    </row>
    <row r="281" spans="1:13">
      <c r="A281" s="40" t="s">
        <v>19</v>
      </c>
      <c r="B281" s="22">
        <v>3.3</v>
      </c>
      <c r="C281" s="22">
        <v>3.3</v>
      </c>
      <c r="D281" s="22">
        <v>3.3</v>
      </c>
      <c r="E281" s="22">
        <v>3.3</v>
      </c>
      <c r="F281" s="22">
        <v>3.3</v>
      </c>
      <c r="G281" s="22">
        <v>3.3</v>
      </c>
      <c r="H281" s="22">
        <v>3.3</v>
      </c>
      <c r="I281" s="22">
        <v>3.3</v>
      </c>
      <c r="J281" s="22">
        <v>3.3</v>
      </c>
      <c r="K281" s="22">
        <v>3.3</v>
      </c>
      <c r="L281" s="22">
        <v>3.3</v>
      </c>
      <c r="M281" s="19"/>
    </row>
    <row r="282" spans="1:13">
      <c r="A282" s="40" t="s">
        <v>18</v>
      </c>
      <c r="B282" s="22">
        <v>31.93</v>
      </c>
      <c r="C282" s="22">
        <v>30.93</v>
      </c>
      <c r="D282" s="22">
        <v>27.43</v>
      </c>
      <c r="E282" s="22">
        <v>27.5</v>
      </c>
      <c r="F282" s="22">
        <v>28</v>
      </c>
      <c r="G282" s="22">
        <v>28</v>
      </c>
      <c r="H282" s="22">
        <v>28.25</v>
      </c>
      <c r="I282" s="22">
        <v>28.41</v>
      </c>
      <c r="J282" s="22">
        <v>28.06</v>
      </c>
      <c r="K282" s="22">
        <v>28.06</v>
      </c>
      <c r="L282" s="22">
        <v>28.06</v>
      </c>
      <c r="M282" s="19"/>
    </row>
    <row r="283" spans="1:13">
      <c r="A283" s="40" t="s">
        <v>80</v>
      </c>
      <c r="B283" s="22">
        <v>27.79</v>
      </c>
      <c r="C283" s="22">
        <v>27.79</v>
      </c>
      <c r="D283" s="22">
        <v>30.79</v>
      </c>
      <c r="E283" s="22">
        <v>30.79</v>
      </c>
      <c r="F283" s="22">
        <v>29.53</v>
      </c>
      <c r="G283" s="22">
        <v>29.53</v>
      </c>
      <c r="H283" s="22">
        <v>29.54</v>
      </c>
      <c r="I283" s="22">
        <v>30.04</v>
      </c>
      <c r="J283" s="22">
        <v>30.54</v>
      </c>
      <c r="K283" s="22">
        <v>30.54</v>
      </c>
      <c r="L283" s="22">
        <v>31.04</v>
      </c>
      <c r="M283" s="19"/>
    </row>
    <row r="284" spans="1:13" ht="16.5" thickBot="1">
      <c r="A284" s="40"/>
      <c r="B284" s="35">
        <v>0</v>
      </c>
      <c r="C284" s="35">
        <v>0</v>
      </c>
      <c r="D284" s="35">
        <v>0</v>
      </c>
      <c r="E284" s="35">
        <v>0</v>
      </c>
      <c r="F284" s="35">
        <v>0</v>
      </c>
      <c r="G284" s="35">
        <v>0</v>
      </c>
      <c r="H284" s="35">
        <v>0</v>
      </c>
      <c r="I284" s="35">
        <v>0</v>
      </c>
      <c r="J284" s="35">
        <v>0</v>
      </c>
      <c r="K284" s="35">
        <v>0</v>
      </c>
      <c r="L284" s="35">
        <v>0</v>
      </c>
      <c r="M284" s="19"/>
    </row>
    <row r="285" spans="1:13">
      <c r="B285" s="34">
        <f t="shared" ref="B285:L285" si="11">SUM(B281:B284)</f>
        <v>63.019999999999996</v>
      </c>
      <c r="C285" s="34">
        <f t="shared" si="11"/>
        <v>62.019999999999996</v>
      </c>
      <c r="D285" s="34">
        <f t="shared" si="11"/>
        <v>61.519999999999996</v>
      </c>
      <c r="E285" s="34">
        <f t="shared" si="11"/>
        <v>61.59</v>
      </c>
      <c r="F285" s="34">
        <f t="shared" si="11"/>
        <v>60.83</v>
      </c>
      <c r="G285" s="34">
        <f t="shared" si="11"/>
        <v>60.83</v>
      </c>
      <c r="H285" s="34">
        <f t="shared" si="11"/>
        <v>61.09</v>
      </c>
      <c r="I285" s="34">
        <f t="shared" si="11"/>
        <v>61.75</v>
      </c>
      <c r="J285" s="34">
        <f t="shared" si="11"/>
        <v>61.9</v>
      </c>
      <c r="K285" s="34">
        <f t="shared" si="11"/>
        <v>61.9</v>
      </c>
      <c r="L285" s="34">
        <f t="shared" si="11"/>
        <v>62.4</v>
      </c>
      <c r="M285" s="19"/>
    </row>
    <row r="286" spans="1:13">
      <c r="A286" s="45" t="s">
        <v>72</v>
      </c>
      <c r="B286" s="15"/>
      <c r="C286" s="36">
        <f>C285/B285</f>
        <v>0.98413202158045066</v>
      </c>
      <c r="D286" s="36">
        <f t="shared" ref="D286:I286" si="12">D285/C285</f>
        <v>0.99193808448887455</v>
      </c>
      <c r="E286" s="36">
        <f t="shared" si="12"/>
        <v>1.0011378413524059</v>
      </c>
      <c r="F286" s="36">
        <f t="shared" si="12"/>
        <v>0.98766033446988144</v>
      </c>
      <c r="G286" s="36">
        <f t="shared" si="12"/>
        <v>1</v>
      </c>
      <c r="H286" s="36">
        <f t="shared" si="12"/>
        <v>1.0042742068058526</v>
      </c>
      <c r="I286" s="36">
        <f t="shared" si="12"/>
        <v>1.0108037321983958</v>
      </c>
      <c r="J286" s="36">
        <f>J285/I285</f>
        <v>1.0024291497975708</v>
      </c>
      <c r="K286" s="36">
        <f>K285/J285</f>
        <v>1</v>
      </c>
      <c r="L286" s="36">
        <f>L285/K285</f>
        <v>1.0080775444264944</v>
      </c>
      <c r="M286" s="19"/>
    </row>
    <row r="287" spans="1:13">
      <c r="A287" s="18"/>
      <c r="B287" s="15"/>
      <c r="C287" s="36"/>
      <c r="D287" s="36"/>
      <c r="E287" s="36"/>
      <c r="F287" s="36"/>
      <c r="G287" s="36"/>
      <c r="H287" s="36"/>
      <c r="I287" s="36"/>
      <c r="J287" s="36"/>
      <c r="K287" s="36"/>
      <c r="L287" s="36"/>
      <c r="M287" s="19"/>
    </row>
    <row r="288" spans="1:13">
      <c r="A288" s="18"/>
      <c r="B288" s="15"/>
      <c r="C288" s="36"/>
      <c r="D288" s="36"/>
      <c r="E288" s="36"/>
      <c r="F288" s="36"/>
      <c r="G288" s="36"/>
      <c r="H288" s="36"/>
      <c r="I288" s="36"/>
      <c r="J288" s="36"/>
      <c r="K288" s="36"/>
      <c r="L288" s="36"/>
      <c r="M288" s="19"/>
    </row>
    <row r="289" spans="1:13">
      <c r="A289" s="9" t="s">
        <v>81</v>
      </c>
      <c r="B289" s="15"/>
      <c r="C289" s="36"/>
      <c r="D289" s="36"/>
      <c r="E289" s="36"/>
      <c r="F289" s="36"/>
      <c r="G289" s="36"/>
      <c r="H289" s="36"/>
      <c r="I289" s="36"/>
      <c r="J289" s="36"/>
      <c r="K289" s="36"/>
      <c r="L289" s="36"/>
      <c r="M289" s="19"/>
    </row>
    <row r="290" spans="1:13">
      <c r="A290" s="40" t="s">
        <v>82</v>
      </c>
      <c r="B290" s="22">
        <v>18.5</v>
      </c>
      <c r="C290" s="49">
        <v>18.5</v>
      </c>
      <c r="D290" s="22">
        <v>13.75</v>
      </c>
      <c r="E290" s="22">
        <v>13.75</v>
      </c>
      <c r="F290" s="22">
        <v>13.75</v>
      </c>
      <c r="G290" s="22">
        <v>12.75</v>
      </c>
      <c r="H290" s="22">
        <v>12.75</v>
      </c>
      <c r="I290" s="22">
        <v>12.75</v>
      </c>
      <c r="J290" s="22">
        <v>14</v>
      </c>
      <c r="K290" s="22">
        <v>14</v>
      </c>
      <c r="L290" s="22">
        <v>14</v>
      </c>
      <c r="M290" s="19"/>
    </row>
    <row r="291" spans="1:13">
      <c r="B291" s="15"/>
      <c r="C291" s="36"/>
      <c r="D291" s="36"/>
      <c r="E291" s="36"/>
      <c r="F291" s="36"/>
      <c r="G291" s="36"/>
      <c r="H291" s="36"/>
      <c r="I291" s="36"/>
      <c r="J291" s="36"/>
      <c r="K291" s="36"/>
      <c r="L291" s="36"/>
      <c r="M291" s="19"/>
    </row>
    <row r="292" spans="1:13">
      <c r="A292" s="9" t="s">
        <v>83</v>
      </c>
      <c r="B292" s="15"/>
      <c r="C292" s="36"/>
      <c r="D292" s="36"/>
      <c r="E292" s="36"/>
      <c r="F292" s="36"/>
      <c r="G292" s="36"/>
      <c r="H292" s="36"/>
      <c r="I292" s="36"/>
      <c r="J292" s="36"/>
      <c r="K292" s="36"/>
      <c r="L292" s="36"/>
      <c r="M292" s="19"/>
    </row>
    <row r="293" spans="1:13">
      <c r="A293" s="40" t="s">
        <v>11</v>
      </c>
      <c r="B293" s="22">
        <v>0.92</v>
      </c>
      <c r="C293" s="22">
        <v>0.92</v>
      </c>
      <c r="D293" s="22">
        <v>0.92</v>
      </c>
      <c r="E293" s="22">
        <v>0.92</v>
      </c>
      <c r="F293" s="22">
        <v>0.92</v>
      </c>
      <c r="G293" s="22">
        <v>0.92</v>
      </c>
      <c r="H293" s="22">
        <v>0.92</v>
      </c>
      <c r="I293" s="22">
        <v>0.92</v>
      </c>
      <c r="J293" s="22">
        <v>1.25</v>
      </c>
      <c r="K293" s="22">
        <v>1.25</v>
      </c>
      <c r="L293" s="22">
        <v>1.71</v>
      </c>
      <c r="M293" s="19"/>
    </row>
    <row r="294" spans="1:13">
      <c r="A294" s="40" t="s">
        <v>12</v>
      </c>
      <c r="B294" s="22">
        <v>1.83</v>
      </c>
      <c r="C294" s="22">
        <v>1.83</v>
      </c>
      <c r="D294" s="22">
        <v>2</v>
      </c>
      <c r="E294" s="22">
        <v>2</v>
      </c>
      <c r="F294" s="22">
        <v>3.15</v>
      </c>
      <c r="G294" s="22">
        <v>3.25</v>
      </c>
      <c r="H294" s="22">
        <v>3.5</v>
      </c>
      <c r="I294" s="22">
        <v>3.5</v>
      </c>
      <c r="J294" s="22">
        <v>5.26</v>
      </c>
      <c r="K294" s="22">
        <v>5.26</v>
      </c>
      <c r="L294" s="22">
        <v>6.04</v>
      </c>
      <c r="M294" s="19"/>
    </row>
    <row r="295" spans="1:13">
      <c r="A295" s="40" t="s">
        <v>14</v>
      </c>
      <c r="B295" s="22">
        <v>0</v>
      </c>
      <c r="C295" s="22">
        <v>0</v>
      </c>
      <c r="D295" s="22">
        <v>0</v>
      </c>
      <c r="E295" s="22">
        <v>0</v>
      </c>
      <c r="F295" s="22">
        <v>0</v>
      </c>
      <c r="G295" s="22">
        <v>0</v>
      </c>
      <c r="H295" s="22">
        <v>0</v>
      </c>
      <c r="I295" s="22">
        <v>0</v>
      </c>
      <c r="J295" s="22">
        <v>0</v>
      </c>
      <c r="K295" s="22">
        <v>0</v>
      </c>
      <c r="L295" s="22">
        <v>0</v>
      </c>
      <c r="M295" s="19"/>
    </row>
    <row r="296" spans="1:13">
      <c r="A296" s="17" t="s">
        <v>84</v>
      </c>
      <c r="B296" s="15"/>
      <c r="C296" s="36"/>
      <c r="D296" s="36"/>
      <c r="E296" s="36"/>
      <c r="F296" s="36"/>
      <c r="G296" s="36"/>
      <c r="H296" s="36"/>
      <c r="I296" s="36"/>
      <c r="J296" s="36"/>
      <c r="K296" s="36"/>
      <c r="L296" s="36"/>
      <c r="M296" s="19"/>
    </row>
    <row r="297" spans="1:13">
      <c r="A297" s="18"/>
      <c r="B297" s="15"/>
      <c r="C297" s="36"/>
      <c r="D297" s="36"/>
      <c r="E297" s="36"/>
      <c r="F297" s="36"/>
      <c r="G297" s="36"/>
      <c r="H297" s="36"/>
      <c r="I297" s="36"/>
      <c r="J297" s="36"/>
      <c r="K297" s="36"/>
      <c r="L297" s="36"/>
      <c r="M297" s="19"/>
    </row>
    <row r="298" spans="1:13">
      <c r="B298" s="1"/>
      <c r="C298" s="1"/>
      <c r="D298" s="1"/>
      <c r="E298" s="1"/>
      <c r="F298" s="1"/>
      <c r="G298" s="1"/>
      <c r="H298" s="1"/>
      <c r="I298" s="1"/>
      <c r="J298" s="1"/>
      <c r="K298" s="1"/>
      <c r="L298" s="1"/>
      <c r="M298" s="19"/>
    </row>
    <row r="299" spans="1:13" ht="18.75">
      <c r="A299" s="37" t="s">
        <v>26</v>
      </c>
      <c r="B299" s="2">
        <v>2008</v>
      </c>
      <c r="C299" s="2">
        <v>2009</v>
      </c>
      <c r="D299" s="2">
        <v>2010</v>
      </c>
      <c r="E299" s="2">
        <v>2011</v>
      </c>
      <c r="F299" s="2">
        <v>2012</v>
      </c>
      <c r="G299" s="2">
        <v>2013</v>
      </c>
      <c r="H299" s="2">
        <v>2014</v>
      </c>
      <c r="I299" s="2">
        <v>2015</v>
      </c>
      <c r="J299" s="175">
        <v>2016</v>
      </c>
      <c r="K299" s="175">
        <v>2017</v>
      </c>
      <c r="L299" s="175">
        <v>2018</v>
      </c>
      <c r="M299" s="19"/>
    </row>
    <row r="300" spans="1:13">
      <c r="A300" s="2" t="s">
        <v>65</v>
      </c>
      <c r="B300" s="8">
        <f t="shared" ref="B300:L300" si="13">B248/B277</f>
        <v>107.03493584788994</v>
      </c>
      <c r="C300" s="8">
        <f t="shared" si="13"/>
        <v>119.56218929102941</v>
      </c>
      <c r="D300" s="8">
        <f t="shared" si="13"/>
        <v>114.98092763721178</v>
      </c>
      <c r="E300" s="8">
        <f t="shared" si="13"/>
        <v>119.39035208912028</v>
      </c>
      <c r="F300" s="8">
        <f t="shared" si="13"/>
        <v>124.59464097719963</v>
      </c>
      <c r="G300" s="8">
        <f t="shared" si="13"/>
        <v>162.70812846383402</v>
      </c>
      <c r="H300" s="8">
        <f t="shared" si="13"/>
        <v>147.2305320511918</v>
      </c>
      <c r="I300" s="8">
        <f t="shared" si="13"/>
        <v>141.27583764641787</v>
      </c>
      <c r="J300" s="8">
        <f t="shared" si="13"/>
        <v>158.67584862539491</v>
      </c>
      <c r="K300" s="8">
        <f t="shared" si="13"/>
        <v>174.15483913502109</v>
      </c>
      <c r="L300" s="8">
        <f t="shared" si="13"/>
        <v>153.90942507312781</v>
      </c>
      <c r="M300" s="19"/>
    </row>
    <row r="301" spans="1:13">
      <c r="B301" s="1"/>
      <c r="C301" s="1"/>
      <c r="D301" s="1"/>
      <c r="E301" s="1"/>
      <c r="F301" s="1"/>
      <c r="G301" s="1"/>
      <c r="H301" s="1"/>
      <c r="I301" s="1"/>
      <c r="J301" s="1"/>
      <c r="K301" s="1"/>
      <c r="L301" s="1"/>
      <c r="M301" s="19"/>
    </row>
    <row r="302" spans="1:13">
      <c r="A302" s="9" t="s">
        <v>159</v>
      </c>
      <c r="B302" s="1"/>
      <c r="C302" s="1"/>
      <c r="D302" s="1"/>
      <c r="E302" s="1"/>
      <c r="F302" s="1"/>
      <c r="G302" s="1"/>
      <c r="H302" s="1"/>
      <c r="I302" s="1"/>
      <c r="J302" s="1"/>
      <c r="K302" s="1"/>
      <c r="L302" s="1"/>
      <c r="M302" s="19"/>
    </row>
    <row r="303" spans="1:13">
      <c r="A303" s="40" t="s">
        <v>19</v>
      </c>
      <c r="B303" s="1">
        <f t="shared" ref="B303:L303" si="14">B243/B281</f>
        <v>128799.69696969698</v>
      </c>
      <c r="C303" s="1">
        <f t="shared" si="14"/>
        <v>124370.60606060606</v>
      </c>
      <c r="D303" s="1">
        <f t="shared" si="14"/>
        <v>138473.93939393939</v>
      </c>
      <c r="E303" s="1">
        <f t="shared" si="14"/>
        <v>137968.18181818182</v>
      </c>
      <c r="F303" s="1">
        <f t="shared" si="14"/>
        <v>170235.15151515152</v>
      </c>
      <c r="G303" s="1">
        <f t="shared" si="14"/>
        <v>513424.84848484851</v>
      </c>
      <c r="H303" s="1">
        <f t="shared" si="14"/>
        <v>491099.69696969702</v>
      </c>
      <c r="I303" s="1">
        <f t="shared" si="14"/>
        <v>0</v>
      </c>
      <c r="J303" s="1">
        <f t="shared" si="14"/>
        <v>680461.21212121216</v>
      </c>
      <c r="K303" s="1">
        <f t="shared" si="14"/>
        <v>872393.63636363635</v>
      </c>
      <c r="L303" s="1">
        <f t="shared" si="14"/>
        <v>878931.21212121216</v>
      </c>
      <c r="M303" s="19"/>
    </row>
    <row r="304" spans="1:13">
      <c r="A304" s="40" t="s">
        <v>18</v>
      </c>
      <c r="B304" s="1">
        <f t="shared" ref="B304:L304" si="15">B244/B282</f>
        <v>115073.56717820231</v>
      </c>
      <c r="C304" s="1">
        <f t="shared" si="15"/>
        <v>119998.83608147429</v>
      </c>
      <c r="D304" s="1">
        <f t="shared" si="15"/>
        <v>135868.90266131973</v>
      </c>
      <c r="E304" s="1">
        <f t="shared" si="15"/>
        <v>150553.81818181818</v>
      </c>
      <c r="F304" s="1">
        <f t="shared" si="15"/>
        <v>144239.89285714287</v>
      </c>
      <c r="G304" s="1">
        <f t="shared" si="15"/>
        <v>195477.28571428571</v>
      </c>
      <c r="H304" s="1">
        <f t="shared" si="15"/>
        <v>153685.94690265486</v>
      </c>
      <c r="I304" s="1">
        <f t="shared" si="15"/>
        <v>0</v>
      </c>
      <c r="J304" s="1">
        <f t="shared" si="15"/>
        <v>167176.8353528154</v>
      </c>
      <c r="K304" s="1">
        <f t="shared" si="15"/>
        <v>178327.19173200286</v>
      </c>
      <c r="L304" s="1">
        <f t="shared" si="15"/>
        <v>155944.79686386316</v>
      </c>
      <c r="M304" s="19"/>
    </row>
    <row r="305" spans="1:13">
      <c r="A305" s="40" t="s">
        <v>80</v>
      </c>
      <c r="B305" s="1">
        <f t="shared" ref="B305:L305" si="16">B245/B283</f>
        <v>101646.3476070529</v>
      </c>
      <c r="C305" s="1">
        <f t="shared" si="16"/>
        <v>123418.4958618208</v>
      </c>
      <c r="D305" s="1">
        <f t="shared" si="16"/>
        <v>117089.63949334199</v>
      </c>
      <c r="E305" s="1">
        <f t="shared" si="16"/>
        <v>117371.7115946736</v>
      </c>
      <c r="F305" s="1">
        <f t="shared" si="16"/>
        <v>136776.97257026751</v>
      </c>
      <c r="G305" s="1">
        <f t="shared" si="16"/>
        <v>145008.63528614969</v>
      </c>
      <c r="H305" s="1">
        <f t="shared" si="16"/>
        <v>152169.46513202437</v>
      </c>
      <c r="I305" s="1">
        <f t="shared" si="16"/>
        <v>345288.68175765645</v>
      </c>
      <c r="J305" s="1">
        <f t="shared" si="16"/>
        <v>159351.63719711854</v>
      </c>
      <c r="K305" s="1">
        <f t="shared" si="16"/>
        <v>174366.17550753112</v>
      </c>
      <c r="L305" s="1">
        <f t="shared" si="16"/>
        <v>148681.25</v>
      </c>
      <c r="M305" s="19"/>
    </row>
    <row r="306" spans="1:13" ht="16.5" thickBot="1">
      <c r="A306" s="40"/>
      <c r="B306" s="38" t="e">
        <f t="shared" ref="B306:L306" si="17">B246/B284</f>
        <v>#DIV/0!</v>
      </c>
      <c r="C306" s="38" t="e">
        <f t="shared" si="17"/>
        <v>#DIV/0!</v>
      </c>
      <c r="D306" s="38" t="e">
        <f t="shared" si="17"/>
        <v>#DIV/0!</v>
      </c>
      <c r="E306" s="38" t="e">
        <f t="shared" si="17"/>
        <v>#DIV/0!</v>
      </c>
      <c r="F306" s="38" t="e">
        <f t="shared" si="17"/>
        <v>#DIV/0!</v>
      </c>
      <c r="G306" s="38" t="e">
        <f t="shared" si="17"/>
        <v>#DIV/0!</v>
      </c>
      <c r="H306" s="38" t="e">
        <f t="shared" si="17"/>
        <v>#DIV/0!</v>
      </c>
      <c r="I306" s="38" t="e">
        <f t="shared" si="17"/>
        <v>#DIV/0!</v>
      </c>
      <c r="J306" s="38" t="e">
        <f t="shared" si="17"/>
        <v>#DIV/0!</v>
      </c>
      <c r="K306" s="38" t="e">
        <f t="shared" si="17"/>
        <v>#DIV/0!</v>
      </c>
      <c r="L306" s="38" t="e">
        <f t="shared" si="17"/>
        <v>#DIV/0!</v>
      </c>
      <c r="M306" s="19"/>
    </row>
    <row r="307" spans="1:13">
      <c r="B307" s="1">
        <f t="shared" ref="B307:L307" si="18">B248/B285</f>
        <v>109871.31069501746</v>
      </c>
      <c r="C307" s="1">
        <f t="shared" si="18"/>
        <v>121763.73750403097</v>
      </c>
      <c r="D307" s="1">
        <f t="shared" si="18"/>
        <v>126609.85045513655</v>
      </c>
      <c r="E307" s="1">
        <f t="shared" si="18"/>
        <v>133291.11868809871</v>
      </c>
      <c r="F307" s="1">
        <f t="shared" si="18"/>
        <v>142027.23984875885</v>
      </c>
      <c r="G307" s="1">
        <f t="shared" si="18"/>
        <v>188225.72743711984</v>
      </c>
      <c r="H307" s="1">
        <f t="shared" si="18"/>
        <v>171179.29284661973</v>
      </c>
      <c r="I307" s="1">
        <f t="shared" si="18"/>
        <v>167975.25506072876</v>
      </c>
      <c r="J307" s="1">
        <f t="shared" si="18"/>
        <v>190680.17770597737</v>
      </c>
      <c r="K307" s="1">
        <f t="shared" si="18"/>
        <v>213374.84652665589</v>
      </c>
      <c r="L307" s="1">
        <f t="shared" si="18"/>
        <v>190566.50641025641</v>
      </c>
      <c r="M307" s="19"/>
    </row>
    <row r="308" spans="1:13">
      <c r="B308" s="1"/>
      <c r="C308" s="1"/>
      <c r="D308" s="1"/>
      <c r="E308" s="1"/>
      <c r="F308" s="1"/>
      <c r="G308" s="1"/>
      <c r="H308" s="1"/>
      <c r="I308" s="1"/>
      <c r="J308" s="1"/>
      <c r="K308" s="1"/>
      <c r="L308" s="1"/>
      <c r="M308" s="19"/>
    </row>
    <row r="309" spans="1:13">
      <c r="A309" s="9" t="s">
        <v>87</v>
      </c>
      <c r="B309" s="1"/>
      <c r="C309" s="1"/>
      <c r="D309" s="1"/>
      <c r="E309" s="1"/>
      <c r="F309" s="1"/>
      <c r="G309" s="1"/>
      <c r="H309" s="1"/>
      <c r="I309" s="1"/>
      <c r="J309" s="1"/>
      <c r="K309" s="1"/>
      <c r="L309" s="1"/>
      <c r="M309" s="19"/>
    </row>
    <row r="310" spans="1:13">
      <c r="A310" s="40" t="s">
        <v>82</v>
      </c>
      <c r="B310" s="1">
        <f t="shared" ref="B310:L310" si="19">B253/B290</f>
        <v>283329.45945945947</v>
      </c>
      <c r="C310" s="1">
        <f t="shared" si="19"/>
        <v>169771.94594594595</v>
      </c>
      <c r="D310" s="1">
        <f t="shared" si="19"/>
        <v>206064</v>
      </c>
      <c r="E310" s="1">
        <f t="shared" si="19"/>
        <v>239057.8909090909</v>
      </c>
      <c r="F310" s="1">
        <f t="shared" si="19"/>
        <v>204083.05454545454</v>
      </c>
      <c r="G310" s="1">
        <f t="shared" si="19"/>
        <v>301882.35294117645</v>
      </c>
      <c r="H310" s="1">
        <f t="shared" si="19"/>
        <v>295268.86274509801</v>
      </c>
      <c r="I310" s="1">
        <f t="shared" si="19"/>
        <v>359580.54901960783</v>
      </c>
      <c r="J310" s="1">
        <f t="shared" si="19"/>
        <v>298974.07142857142</v>
      </c>
      <c r="K310" s="1">
        <f t="shared" si="19"/>
        <v>324356.21428571426</v>
      </c>
      <c r="L310" s="1">
        <f t="shared" si="19"/>
        <v>285928</v>
      </c>
      <c r="M310" s="19"/>
    </row>
    <row r="311" spans="1:13">
      <c r="B311" s="1"/>
      <c r="C311" s="1"/>
      <c r="D311" s="1"/>
      <c r="E311" s="1"/>
      <c r="F311" s="1"/>
      <c r="G311" s="1"/>
      <c r="H311" s="1"/>
      <c r="I311" s="1"/>
      <c r="J311" s="1"/>
      <c r="K311" s="1"/>
      <c r="L311" s="1"/>
      <c r="M311" s="19"/>
    </row>
    <row r="312" spans="1:13">
      <c r="A312" s="9" t="s">
        <v>86</v>
      </c>
      <c r="B312" s="1"/>
      <c r="C312" s="1"/>
      <c r="D312" s="1"/>
      <c r="E312" s="1"/>
      <c r="F312" s="1"/>
      <c r="G312" s="1"/>
      <c r="H312" s="1"/>
      <c r="I312" s="1"/>
      <c r="J312" s="1"/>
      <c r="K312" s="1"/>
      <c r="L312" s="1"/>
      <c r="M312" s="19"/>
    </row>
    <row r="313" spans="1:13">
      <c r="A313" s="40" t="s">
        <v>11</v>
      </c>
      <c r="B313" s="1">
        <f t="shared" ref="B313:L313" si="20">B256/B293</f>
        <v>647703.26086956519</v>
      </c>
      <c r="C313" s="1">
        <f t="shared" si="20"/>
        <v>1664001.0869565217</v>
      </c>
      <c r="D313" s="1">
        <f t="shared" si="20"/>
        <v>333931.52173913043</v>
      </c>
      <c r="E313" s="1">
        <f t="shared" si="20"/>
        <v>139621.73913043478</v>
      </c>
      <c r="F313" s="1">
        <f t="shared" si="20"/>
        <v>728845.65217391297</v>
      </c>
      <c r="G313" s="1">
        <f t="shared" si="20"/>
        <v>2877956.5217391304</v>
      </c>
      <c r="H313" s="1">
        <f t="shared" si="20"/>
        <v>251447.82608695651</v>
      </c>
      <c r="I313" s="1">
        <f t="shared" si="20"/>
        <v>1545314.1304347825</v>
      </c>
      <c r="J313" s="1">
        <f t="shared" si="20"/>
        <v>1440886.4</v>
      </c>
      <c r="K313" s="1">
        <f t="shared" si="20"/>
        <v>2046531.2</v>
      </c>
      <c r="L313" s="1">
        <f t="shared" si="20"/>
        <v>2295809.3567251461</v>
      </c>
      <c r="M313" s="19"/>
    </row>
    <row r="314" spans="1:13">
      <c r="A314" s="40" t="s">
        <v>12</v>
      </c>
      <c r="B314" s="1">
        <f t="shared" ref="B314:L314" si="21">B257/B294</f>
        <v>686203.82513661205</v>
      </c>
      <c r="C314" s="1">
        <f t="shared" si="21"/>
        <v>100963.93442622951</v>
      </c>
      <c r="D314" s="1">
        <f t="shared" si="21"/>
        <v>123839.5</v>
      </c>
      <c r="E314" s="1">
        <f t="shared" si="21"/>
        <v>248421</v>
      </c>
      <c r="F314" s="1">
        <f t="shared" si="21"/>
        <v>944708.57142857148</v>
      </c>
      <c r="G314" s="1">
        <f t="shared" si="21"/>
        <v>697882.15384615387</v>
      </c>
      <c r="H314" s="1">
        <f t="shared" si="21"/>
        <v>1292764.2857142857</v>
      </c>
      <c r="I314" s="1">
        <f t="shared" si="21"/>
        <v>1402244</v>
      </c>
      <c r="J314" s="1">
        <f t="shared" si="21"/>
        <v>825610.83650190115</v>
      </c>
      <c r="K314" s="1">
        <f t="shared" si="21"/>
        <v>606777.37642585556</v>
      </c>
      <c r="L314" s="1">
        <f t="shared" si="21"/>
        <v>678929.30463576154</v>
      </c>
      <c r="M314" s="19"/>
    </row>
    <row r="315" spans="1:13">
      <c r="A315" s="40" t="s">
        <v>14</v>
      </c>
      <c r="B315" s="1" t="e">
        <f t="shared" ref="B315:L315" si="22">B263/B295</f>
        <v>#DIV/0!</v>
      </c>
      <c r="C315" s="1" t="e">
        <f t="shared" si="22"/>
        <v>#DIV/0!</v>
      </c>
      <c r="D315" s="1" t="e">
        <f t="shared" si="22"/>
        <v>#DIV/0!</v>
      </c>
      <c r="E315" s="1" t="e">
        <f t="shared" si="22"/>
        <v>#DIV/0!</v>
      </c>
      <c r="F315" s="1" t="e">
        <f t="shared" si="22"/>
        <v>#DIV/0!</v>
      </c>
      <c r="G315" s="1" t="e">
        <f t="shared" si="22"/>
        <v>#DIV/0!</v>
      </c>
      <c r="H315" s="1" t="e">
        <f t="shared" si="22"/>
        <v>#DIV/0!</v>
      </c>
      <c r="I315" s="1" t="e">
        <f t="shared" si="22"/>
        <v>#DIV/0!</v>
      </c>
      <c r="J315" s="1" t="e">
        <f t="shared" si="22"/>
        <v>#DIV/0!</v>
      </c>
      <c r="K315" s="1" t="e">
        <f t="shared" si="22"/>
        <v>#DIV/0!</v>
      </c>
      <c r="L315" s="1" t="e">
        <f t="shared" si="22"/>
        <v>#DIV/0!</v>
      </c>
      <c r="M315" s="19"/>
    </row>
    <row r="316" spans="1:13">
      <c r="A316" s="17" t="s">
        <v>84</v>
      </c>
      <c r="B316" s="1"/>
      <c r="C316" s="1"/>
      <c r="D316" s="1"/>
      <c r="E316" s="1"/>
      <c r="F316" s="1"/>
      <c r="G316" s="1"/>
      <c r="H316" s="1"/>
      <c r="I316" s="1"/>
      <c r="J316" s="1"/>
      <c r="K316" s="1"/>
      <c r="L316" s="1"/>
      <c r="M316" s="19"/>
    </row>
    <row r="317" spans="1:13">
      <c r="B317" s="1"/>
      <c r="C317" s="1"/>
      <c r="D317" s="1"/>
      <c r="E317" s="1"/>
      <c r="F317" s="1"/>
      <c r="G317" s="1"/>
      <c r="H317" s="1"/>
      <c r="I317" s="1"/>
      <c r="J317" s="1"/>
      <c r="K317" s="1"/>
      <c r="L317" s="1"/>
      <c r="M317" s="19"/>
    </row>
    <row r="318" spans="1:13">
      <c r="B318" s="1"/>
      <c r="C318" s="1"/>
      <c r="D318" s="1"/>
      <c r="E318" s="1"/>
      <c r="F318" s="1"/>
      <c r="G318" s="1"/>
      <c r="H318" s="1"/>
      <c r="I318" s="1"/>
      <c r="J318" s="1"/>
      <c r="K318" s="1"/>
      <c r="L318" s="1"/>
      <c r="M318" s="19"/>
    </row>
    <row r="319" spans="1:13">
      <c r="B319" s="2">
        <v>2008</v>
      </c>
      <c r="C319" s="2">
        <v>2009</v>
      </c>
      <c r="D319" s="2">
        <v>2010</v>
      </c>
      <c r="E319" s="2">
        <v>2011</v>
      </c>
      <c r="F319" s="2">
        <v>2012</v>
      </c>
      <c r="G319" s="2">
        <v>2013</v>
      </c>
      <c r="H319" s="2">
        <v>2014</v>
      </c>
      <c r="I319" s="2">
        <v>2015</v>
      </c>
      <c r="J319" s="175">
        <v>2016</v>
      </c>
      <c r="K319" s="175">
        <v>2017</v>
      </c>
      <c r="L319" s="175">
        <v>2018</v>
      </c>
      <c r="M319" s="19"/>
    </row>
    <row r="320" spans="1:13">
      <c r="A320" t="s">
        <v>69</v>
      </c>
      <c r="B320" s="14">
        <f>B283/(B277/1000)</f>
        <v>0.42958726232802597</v>
      </c>
      <c r="C320" s="14">
        <f t="shared" ref="C320:L320" si="23">C283/(C277/1000)</f>
        <v>0.43997973465058104</v>
      </c>
      <c r="D320" s="14">
        <f t="shared" si="23"/>
        <v>0.45451861474417637</v>
      </c>
      <c r="E320" s="14">
        <f t="shared" si="23"/>
        <v>0.44778290019051498</v>
      </c>
      <c r="F320" s="14">
        <f t="shared" si="23"/>
        <v>0.42586637054556475</v>
      </c>
      <c r="G320" s="14">
        <f t="shared" si="23"/>
        <v>0.41963905073184593</v>
      </c>
      <c r="H320" s="14">
        <f t="shared" si="23"/>
        <v>0.41589817956551733</v>
      </c>
      <c r="I320" s="14">
        <f t="shared" si="23"/>
        <v>0.4091528193952601</v>
      </c>
      <c r="J320" s="14">
        <f t="shared" si="23"/>
        <v>0.41056664650131069</v>
      </c>
      <c r="K320" s="14">
        <f t="shared" si="23"/>
        <v>0.4026898734177215</v>
      </c>
      <c r="L320" s="14">
        <f t="shared" si="23"/>
        <v>0.40174988998472727</v>
      </c>
      <c r="M320" s="19"/>
    </row>
    <row r="321" spans="1:13">
      <c r="A321" t="s">
        <v>67</v>
      </c>
      <c r="B321" s="14">
        <f>B285/(B277/1000)</f>
        <v>0.97418457257690516</v>
      </c>
      <c r="C321" s="14">
        <f t="shared" ref="C321:L321" si="24">C285/(C277/1000)</f>
        <v>0.98191950856527654</v>
      </c>
      <c r="D321" s="14">
        <f t="shared" si="24"/>
        <v>0.90815151604617506</v>
      </c>
      <c r="E321" s="14">
        <f t="shared" si="24"/>
        <v>0.89571123165748034</v>
      </c>
      <c r="F321" s="14">
        <f t="shared" si="24"/>
        <v>0.87725876465583141</v>
      </c>
      <c r="G321" s="14">
        <f t="shared" si="24"/>
        <v>0.86443086542560743</v>
      </c>
      <c r="H321" s="14">
        <f t="shared" si="24"/>
        <v>0.86009545665732756</v>
      </c>
      <c r="I321" s="14">
        <f t="shared" si="24"/>
        <v>0.84105148460909829</v>
      </c>
      <c r="J321" s="14">
        <f t="shared" si="24"/>
        <v>0.83215702090475219</v>
      </c>
      <c r="K321" s="14">
        <f t="shared" si="24"/>
        <v>0.81619198312236285</v>
      </c>
      <c r="L321" s="14">
        <f t="shared" si="24"/>
        <v>0.80764153141259609</v>
      </c>
      <c r="M321" s="19"/>
    </row>
    <row r="322" spans="1:13">
      <c r="A322" s="2"/>
      <c r="B322" s="2"/>
      <c r="C322" s="2"/>
      <c r="D322" s="2"/>
      <c r="E322" s="2"/>
      <c r="F322" s="2"/>
      <c r="G322" s="2"/>
      <c r="H322" s="2"/>
      <c r="I322" s="2"/>
      <c r="J322" s="2"/>
      <c r="K322" s="18"/>
      <c r="L322" s="18"/>
      <c r="M322" s="19"/>
    </row>
    <row r="323" spans="1:13">
      <c r="A323" s="2" t="s">
        <v>0</v>
      </c>
      <c r="B323" s="3">
        <v>9528681</v>
      </c>
      <c r="C323" s="3">
        <v>8698322</v>
      </c>
      <c r="D323" s="11">
        <v>9572289</v>
      </c>
      <c r="E323" s="1">
        <v>10206841</v>
      </c>
      <c r="F323" s="1">
        <v>12989173</v>
      </c>
      <c r="G323" s="1">
        <v>13139972</v>
      </c>
      <c r="H323" s="1">
        <v>13433473</v>
      </c>
      <c r="I323" s="1">
        <v>14149386</v>
      </c>
      <c r="J323" s="1">
        <v>10372472</v>
      </c>
      <c r="K323" s="1">
        <v>12525620</v>
      </c>
      <c r="L323" s="1">
        <v>12864910</v>
      </c>
      <c r="M323" s="19"/>
    </row>
    <row r="324" spans="1:13">
      <c r="A324" t="s">
        <v>43</v>
      </c>
      <c r="B324" s="7"/>
      <c r="C324" s="7">
        <f t="shared" ref="C324:I324" si="25">C323/B323</f>
        <v>0.91285687914203451</v>
      </c>
      <c r="D324" s="7">
        <f t="shared" si="25"/>
        <v>1.1004753560514315</v>
      </c>
      <c r="E324" s="7">
        <f t="shared" si="25"/>
        <v>1.0662905183911602</v>
      </c>
      <c r="F324" s="7">
        <f t="shared" si="25"/>
        <v>1.2725948214535723</v>
      </c>
      <c r="G324" s="7">
        <f t="shared" si="25"/>
        <v>1.0116095920810355</v>
      </c>
      <c r="H324" s="7">
        <f t="shared" si="25"/>
        <v>1.0223365011736707</v>
      </c>
      <c r="I324" s="7">
        <f t="shared" si="25"/>
        <v>1.0532932176213849</v>
      </c>
      <c r="J324" s="7">
        <f>J323/I323</f>
        <v>0.73306869994217416</v>
      </c>
      <c r="K324" s="7">
        <f>K323/J323</f>
        <v>1.2075829175533084</v>
      </c>
      <c r="L324" s="7">
        <f>L323/K323</f>
        <v>1.0270876810888403</v>
      </c>
      <c r="M324" s="19"/>
    </row>
    <row r="325" spans="1:13">
      <c r="I325" s="7" t="e">
        <f>I323/#REF!</f>
        <v>#REF!</v>
      </c>
      <c r="J325" s="7"/>
      <c r="K325" s="7"/>
      <c r="L325" s="23">
        <f>L323/J323</f>
        <v>1.2402935385123237</v>
      </c>
      <c r="M325" s="19"/>
    </row>
    <row r="326" spans="1:13">
      <c r="I326" s="7"/>
      <c r="J326" s="7"/>
      <c r="K326" s="7"/>
      <c r="L326" s="7"/>
      <c r="M326" s="19"/>
    </row>
    <row r="327" spans="1:13">
      <c r="A327" t="s">
        <v>18</v>
      </c>
      <c r="B327" s="1">
        <v>3674299</v>
      </c>
      <c r="C327" s="1">
        <v>3711564</v>
      </c>
      <c r="D327" s="1">
        <v>3726884</v>
      </c>
      <c r="E327" s="1">
        <v>4140230</v>
      </c>
      <c r="F327" s="1">
        <v>4038717</v>
      </c>
      <c r="G327" s="1">
        <v>6467410</v>
      </c>
      <c r="H327" s="1">
        <v>5029840</v>
      </c>
      <c r="I327" s="1"/>
      <c r="J327" s="1">
        <v>10372472</v>
      </c>
      <c r="K327" s="1">
        <v>12525620</v>
      </c>
      <c r="L327" s="1">
        <v>12864910</v>
      </c>
      <c r="M327" s="19"/>
    </row>
    <row r="328" spans="1:13">
      <c r="J328" s="1"/>
      <c r="K328" s="1"/>
      <c r="L328" s="1"/>
      <c r="M328" s="19"/>
    </row>
    <row r="329" spans="1:13">
      <c r="A329" t="s">
        <v>1</v>
      </c>
      <c r="B329" s="1">
        <v>356600</v>
      </c>
      <c r="C329" s="1">
        <v>282964</v>
      </c>
      <c r="D329" s="1">
        <v>325758</v>
      </c>
      <c r="E329" s="1">
        <v>291797</v>
      </c>
      <c r="F329" s="1">
        <v>288034</v>
      </c>
      <c r="G329" s="1">
        <v>284230</v>
      </c>
      <c r="H329" s="1">
        <v>284090</v>
      </c>
      <c r="I329" s="1"/>
      <c r="J329" s="1"/>
      <c r="K329" s="1"/>
      <c r="L329" s="1"/>
      <c r="M329" s="19"/>
    </row>
    <row r="330" spans="1:13">
      <c r="A330" t="s">
        <v>2</v>
      </c>
      <c r="B330" s="1">
        <v>62470</v>
      </c>
      <c r="C330" s="1">
        <v>43401</v>
      </c>
      <c r="D330" s="1">
        <f>43611+1724+2504</f>
        <v>47839</v>
      </c>
      <c r="E330" s="1">
        <f>27986+14298</f>
        <v>42284</v>
      </c>
      <c r="F330" s="1">
        <f>27360+13776</f>
        <v>41136</v>
      </c>
      <c r="G330" s="1">
        <f>31000+14060</f>
        <v>45060</v>
      </c>
      <c r="H330" s="1">
        <f>31730+14390</f>
        <v>46120</v>
      </c>
      <c r="I330" s="1"/>
      <c r="J330" s="1"/>
      <c r="K330" s="1"/>
      <c r="L330" s="1"/>
      <c r="M330" s="19"/>
    </row>
    <row r="331" spans="1:13">
      <c r="A331" t="s">
        <v>3</v>
      </c>
      <c r="B331" s="1">
        <v>1304049</v>
      </c>
      <c r="C331" s="1">
        <v>1910207</v>
      </c>
      <c r="D331" s="1">
        <v>2009181</v>
      </c>
      <c r="E331" s="1">
        <v>1965704</v>
      </c>
      <c r="F331" s="1">
        <v>2403156</v>
      </c>
      <c r="G331" s="1">
        <v>2949850</v>
      </c>
      <c r="H331" s="1">
        <v>3100710</v>
      </c>
      <c r="I331" s="1"/>
      <c r="J331" s="1"/>
      <c r="K331" s="1"/>
      <c r="L331" s="1"/>
      <c r="M331" s="19"/>
    </row>
    <row r="332" spans="1:13">
      <c r="A332" t="s">
        <v>4</v>
      </c>
      <c r="B332" s="1">
        <v>169190</v>
      </c>
      <c r="C332" s="1">
        <v>144775</v>
      </c>
      <c r="D332" s="1">
        <f>132127+7111+1800</f>
        <v>141038</v>
      </c>
      <c r="E332" s="1">
        <f>11984+116799</f>
        <v>128783</v>
      </c>
      <c r="F332" s="1">
        <f>15978+142464</f>
        <v>158442</v>
      </c>
      <c r="G332" s="1">
        <f>50640+124870</f>
        <v>175510</v>
      </c>
      <c r="H332" s="1">
        <f>48670+132440</f>
        <v>181110</v>
      </c>
      <c r="I332" s="1"/>
      <c r="J332" s="1"/>
      <c r="K332" s="1"/>
      <c r="L332" s="1"/>
      <c r="M332" s="19"/>
    </row>
    <row r="333" spans="1:13">
      <c r="A333" t="s">
        <v>5</v>
      </c>
      <c r="B333" s="1">
        <v>537040</v>
      </c>
      <c r="C333" s="1">
        <v>488905</v>
      </c>
      <c r="D333" s="1">
        <v>502267</v>
      </c>
      <c r="E333" s="1">
        <v>594061</v>
      </c>
      <c r="F333" s="1">
        <v>593981</v>
      </c>
      <c r="G333" s="1">
        <v>594890</v>
      </c>
      <c r="H333" s="1">
        <v>607660</v>
      </c>
      <c r="I333" s="1"/>
      <c r="J333" s="1"/>
      <c r="K333" s="1"/>
      <c r="L333" s="1"/>
      <c r="M333" s="19"/>
    </row>
    <row r="334" spans="1:13">
      <c r="A334" t="s">
        <v>6</v>
      </c>
      <c r="B334" s="1">
        <v>279690</v>
      </c>
      <c r="C334" s="1">
        <v>272317</v>
      </c>
      <c r="D334" s="1">
        <v>282611</v>
      </c>
      <c r="E334" s="1">
        <v>280800</v>
      </c>
      <c r="F334" s="1">
        <v>287739</v>
      </c>
      <c r="G334" s="1">
        <v>296730</v>
      </c>
      <c r="H334" s="1">
        <v>309020</v>
      </c>
      <c r="I334" s="1"/>
      <c r="J334" s="1"/>
      <c r="K334" s="1"/>
      <c r="L334" s="1"/>
      <c r="M334" s="19"/>
    </row>
    <row r="335" spans="1:13">
      <c r="A335" t="s">
        <v>7</v>
      </c>
      <c r="B335" s="1">
        <v>327730</v>
      </c>
      <c r="C335" s="1">
        <v>287231</v>
      </c>
      <c r="D335" s="1">
        <v>296496</v>
      </c>
      <c r="E335" s="1">
        <v>310446</v>
      </c>
      <c r="F335" s="1">
        <v>316536</v>
      </c>
      <c r="G335" s="1">
        <v>376400</v>
      </c>
      <c r="H335" s="1">
        <v>388760</v>
      </c>
      <c r="I335" s="1"/>
      <c r="J335" s="1"/>
      <c r="K335" s="1"/>
      <c r="L335" s="1"/>
      <c r="M335" s="19"/>
    </row>
    <row r="336" spans="1:13">
      <c r="B336" s="6">
        <f t="shared" ref="B336:H336" si="26">SUM(B329:B335)</f>
        <v>3036769</v>
      </c>
      <c r="C336" s="6">
        <f t="shared" si="26"/>
        <v>3429800</v>
      </c>
      <c r="D336" s="6">
        <f t="shared" si="26"/>
        <v>3605190</v>
      </c>
      <c r="E336" s="6">
        <f t="shared" si="26"/>
        <v>3613875</v>
      </c>
      <c r="F336" s="6">
        <f t="shared" si="26"/>
        <v>4089024</v>
      </c>
      <c r="G336" s="6">
        <f t="shared" si="26"/>
        <v>4722670</v>
      </c>
      <c r="H336" s="6">
        <f t="shared" si="26"/>
        <v>4917470</v>
      </c>
      <c r="J336" s="1">
        <v>499855</v>
      </c>
      <c r="K336" s="1">
        <v>5059866</v>
      </c>
      <c r="L336" s="1">
        <v>5453193</v>
      </c>
      <c r="M336" s="19"/>
    </row>
    <row r="337" spans="1:13">
      <c r="B337" s="1"/>
      <c r="C337" s="1"/>
      <c r="D337" s="1"/>
      <c r="E337" s="1"/>
      <c r="F337" s="1"/>
      <c r="G337" s="1"/>
      <c r="H337" s="1"/>
      <c r="I337" s="1"/>
      <c r="J337" s="1"/>
      <c r="K337" s="1"/>
      <c r="L337" s="1"/>
      <c r="M337" s="19"/>
    </row>
    <row r="338" spans="1:13">
      <c r="A338" t="s">
        <v>8</v>
      </c>
      <c r="B338" s="1"/>
      <c r="C338" s="1"/>
      <c r="D338" s="1"/>
      <c r="E338" s="1"/>
      <c r="F338" s="1"/>
      <c r="G338" s="1"/>
      <c r="H338" s="1"/>
      <c r="I338" s="1"/>
      <c r="J338" s="1"/>
      <c r="K338" s="1"/>
      <c r="L338" s="1"/>
      <c r="M338" s="19"/>
    </row>
    <row r="339" spans="1:13">
      <c r="A339" t="s">
        <v>13</v>
      </c>
      <c r="B339" s="1">
        <v>1396050</v>
      </c>
      <c r="C339" s="1">
        <v>833838</v>
      </c>
      <c r="D339" s="1">
        <v>579728</v>
      </c>
      <c r="E339" s="1">
        <v>620576</v>
      </c>
      <c r="F339" s="1">
        <v>587609</v>
      </c>
      <c r="G339" s="1">
        <v>660490</v>
      </c>
      <c r="H339" s="1">
        <v>645900</v>
      </c>
      <c r="I339" s="1"/>
      <c r="J339" s="1"/>
      <c r="K339" s="1"/>
      <c r="L339" s="1"/>
      <c r="M339" s="19"/>
    </row>
    <row r="340" spans="1:13">
      <c r="A340" t="s">
        <v>16</v>
      </c>
      <c r="B340" s="1">
        <v>973840</v>
      </c>
      <c r="C340" s="1">
        <v>914769</v>
      </c>
      <c r="D340" s="1">
        <f>4095+116310+801077</f>
        <v>921482</v>
      </c>
      <c r="E340" s="1">
        <f>97929+1167050</f>
        <v>1264979</v>
      </c>
      <c r="F340" s="1">
        <f>90109+726029</f>
        <v>816138</v>
      </c>
      <c r="G340" s="1">
        <f>89480+1598920</f>
        <v>1688400</v>
      </c>
      <c r="H340" s="1">
        <f>89480+930060</f>
        <v>1019540</v>
      </c>
      <c r="I340" s="1"/>
      <c r="J340" s="1"/>
      <c r="K340" s="1"/>
      <c r="L340" s="1"/>
      <c r="M340" s="19"/>
    </row>
    <row r="341" spans="1:13">
      <c r="A341" t="s">
        <v>15</v>
      </c>
      <c r="B341" s="1"/>
      <c r="C341" s="1">
        <v>53307</v>
      </c>
      <c r="D341" s="1">
        <v>55446</v>
      </c>
      <c r="E341" s="1">
        <v>53978</v>
      </c>
      <c r="F341" s="1">
        <v>54054</v>
      </c>
      <c r="G341" s="1">
        <v>197450</v>
      </c>
      <c r="H341" s="1">
        <f>184640+78460</f>
        <v>263100</v>
      </c>
      <c r="I341" s="1"/>
      <c r="J341" s="1"/>
      <c r="K341" s="1"/>
      <c r="L341" s="1"/>
      <c r="M341" s="19"/>
    </row>
    <row r="342" spans="1:13">
      <c r="A342" t="s">
        <v>9</v>
      </c>
      <c r="B342" s="4">
        <v>3226390</v>
      </c>
      <c r="C342" s="1">
        <v>1143018</v>
      </c>
      <c r="D342" s="1">
        <f>534+438503+733439</f>
        <v>1172476</v>
      </c>
      <c r="E342" s="1">
        <f>437416+806795</f>
        <v>1244211</v>
      </c>
      <c r="F342" s="1">
        <f>850229+89330</f>
        <v>939559</v>
      </c>
      <c r="G342" s="1">
        <f>445330+1330440</f>
        <v>1775770</v>
      </c>
      <c r="H342" s="1">
        <f>498440+1290120</f>
        <v>1788560</v>
      </c>
      <c r="I342" s="1"/>
      <c r="J342" s="1"/>
      <c r="K342" s="1"/>
      <c r="L342" s="1"/>
      <c r="M342" s="19"/>
    </row>
    <row r="343" spans="1:13">
      <c r="B343" s="5">
        <f t="shared" ref="B343:H343" si="27">SUM(B339:B342)</f>
        <v>5596280</v>
      </c>
      <c r="C343" s="5">
        <f t="shared" si="27"/>
        <v>2944932</v>
      </c>
      <c r="D343" s="5">
        <f t="shared" si="27"/>
        <v>2729132</v>
      </c>
      <c r="E343" s="5">
        <f t="shared" si="27"/>
        <v>3183744</v>
      </c>
      <c r="F343" s="5">
        <f t="shared" si="27"/>
        <v>2397360</v>
      </c>
      <c r="G343" s="5">
        <f t="shared" si="27"/>
        <v>4322110</v>
      </c>
      <c r="H343" s="5">
        <f t="shared" si="27"/>
        <v>3717100</v>
      </c>
      <c r="I343" s="1"/>
      <c r="J343" s="1">
        <v>4584652</v>
      </c>
      <c r="K343" s="1">
        <v>4271147</v>
      </c>
      <c r="L343" s="1">
        <v>4540987</v>
      </c>
      <c r="M343" s="19"/>
    </row>
    <row r="344" spans="1:13">
      <c r="B344" s="1" t="s">
        <v>10</v>
      </c>
      <c r="C344" s="1"/>
      <c r="D344" s="1"/>
      <c r="E344" s="1"/>
      <c r="F344" s="1"/>
      <c r="G344" s="1"/>
      <c r="H344" s="1"/>
      <c r="I344" s="1"/>
      <c r="J344" s="1"/>
      <c r="K344" s="1"/>
      <c r="L344" s="7">
        <f>L343/J343</f>
        <v>0.99047583109906712</v>
      </c>
      <c r="M344" s="19"/>
    </row>
    <row r="345" spans="1:13">
      <c r="B345" s="1">
        <v>1446560</v>
      </c>
      <c r="C345" s="1"/>
      <c r="D345" s="1"/>
      <c r="E345" s="1"/>
      <c r="F345" s="1"/>
      <c r="G345" s="1"/>
      <c r="H345" s="1"/>
      <c r="I345" s="1"/>
      <c r="J345" s="1"/>
      <c r="K345" s="1"/>
      <c r="L345" s="1"/>
      <c r="M345" s="19"/>
    </row>
    <row r="346" spans="1:13">
      <c r="A346" t="s">
        <v>17</v>
      </c>
      <c r="B346" s="1"/>
      <c r="C346" s="1">
        <v>104354</v>
      </c>
      <c r="D346" s="1">
        <v>104248</v>
      </c>
      <c r="E346" s="1">
        <v>103302</v>
      </c>
      <c r="F346" s="1">
        <v>89229</v>
      </c>
      <c r="G346" s="1">
        <v>11570</v>
      </c>
      <c r="H346" s="1">
        <v>114720</v>
      </c>
      <c r="I346" s="1"/>
      <c r="J346" s="1"/>
      <c r="K346" s="1"/>
      <c r="L346" s="1"/>
      <c r="M346" s="19"/>
    </row>
    <row r="347" spans="1:13">
      <c r="B347" s="1"/>
      <c r="C347" s="1"/>
      <c r="D347" s="1"/>
      <c r="E347" s="1"/>
      <c r="F347" s="1">
        <v>107110</v>
      </c>
      <c r="G347" s="1">
        <v>111570</v>
      </c>
      <c r="H347" s="1"/>
      <c r="I347" s="1"/>
      <c r="J347" s="1"/>
      <c r="K347" s="1"/>
      <c r="L347" s="1"/>
      <c r="M347" s="19"/>
    </row>
    <row r="348" spans="1:13">
      <c r="B348" s="1"/>
      <c r="C348" s="1"/>
      <c r="D348" s="1"/>
      <c r="E348" s="1"/>
      <c r="F348" s="1"/>
      <c r="G348" s="1"/>
      <c r="H348" s="1"/>
      <c r="I348" s="1"/>
      <c r="J348" s="1"/>
      <c r="K348" s="1"/>
      <c r="L348" s="1"/>
      <c r="M348" s="19"/>
    </row>
    <row r="349" spans="1:13">
      <c r="A349" t="s">
        <v>11</v>
      </c>
      <c r="B349" s="1">
        <v>1404490</v>
      </c>
      <c r="C349" s="1">
        <v>1530881</v>
      </c>
      <c r="D349" s="1">
        <v>307217</v>
      </c>
      <c r="E349" s="1">
        <v>128452</v>
      </c>
      <c r="F349" s="1">
        <v>670538</v>
      </c>
      <c r="G349" s="1">
        <v>2750700</v>
      </c>
      <c r="H349" s="1">
        <v>279630</v>
      </c>
      <c r="I349" s="1"/>
      <c r="J349" s="1"/>
      <c r="K349" s="1"/>
      <c r="L349" s="1"/>
      <c r="M349" s="19"/>
    </row>
    <row r="350" spans="1:13">
      <c r="B350" s="1"/>
      <c r="C350" s="1"/>
      <c r="D350" s="1"/>
      <c r="E350" s="1"/>
      <c r="F350" s="1">
        <v>2493570</v>
      </c>
      <c r="G350" s="1">
        <v>274420</v>
      </c>
      <c r="H350" s="1"/>
      <c r="I350" s="1"/>
      <c r="J350" s="1"/>
      <c r="K350" s="1"/>
      <c r="L350" s="1"/>
      <c r="M350" s="19"/>
    </row>
    <row r="351" spans="1:13">
      <c r="B351" s="1"/>
      <c r="C351" s="1"/>
      <c r="D351" s="1"/>
      <c r="E351" s="1"/>
      <c r="F351" s="1"/>
      <c r="G351" s="1"/>
      <c r="I351" s="1"/>
      <c r="J351" s="1"/>
      <c r="K351" s="1"/>
      <c r="L351" s="1"/>
      <c r="M351" s="19"/>
    </row>
    <row r="352" spans="1:13">
      <c r="A352" t="s">
        <v>12</v>
      </c>
      <c r="B352" s="1">
        <v>1502120</v>
      </c>
      <c r="C352" s="1">
        <v>184764</v>
      </c>
      <c r="D352" s="1">
        <v>247679</v>
      </c>
      <c r="E352" s="1">
        <v>496842</v>
      </c>
      <c r="F352" s="1">
        <v>1962055</v>
      </c>
      <c r="G352" s="1">
        <v>1800000</v>
      </c>
      <c r="H352" s="1">
        <v>5169910</v>
      </c>
      <c r="I352" s="1"/>
      <c r="J352" s="1"/>
      <c r="K352" s="1"/>
      <c r="L352" s="1"/>
      <c r="M352" s="19"/>
    </row>
    <row r="353" spans="1:13">
      <c r="B353" s="1"/>
      <c r="C353" s="1"/>
      <c r="D353" s="1"/>
      <c r="E353" s="1"/>
      <c r="F353" s="1">
        <v>4239640</v>
      </c>
      <c r="G353" s="1">
        <v>2586330</v>
      </c>
      <c r="H353" s="1"/>
      <c r="I353" s="1"/>
      <c r="J353" s="1"/>
      <c r="K353" s="1"/>
      <c r="L353" s="1"/>
      <c r="M353" s="19"/>
    </row>
    <row r="354" spans="1:13">
      <c r="B354" s="1"/>
      <c r="C354" s="1"/>
      <c r="D354" s="1"/>
      <c r="E354" s="1"/>
      <c r="F354" s="1"/>
      <c r="G354" s="1"/>
      <c r="H354" s="1"/>
      <c r="I354" s="1"/>
      <c r="J354" s="1"/>
      <c r="K354" s="1"/>
      <c r="L354" s="1"/>
      <c r="M354" s="19"/>
    </row>
    <row r="355" spans="1:13">
      <c r="A355" t="s">
        <v>14</v>
      </c>
      <c r="B355" s="1"/>
      <c r="C355" s="1"/>
      <c r="D355" s="1">
        <v>86293</v>
      </c>
      <c r="E355" s="1">
        <v>582195</v>
      </c>
      <c r="F355" s="1">
        <v>58281</v>
      </c>
      <c r="G355" s="1">
        <v>491720</v>
      </c>
      <c r="H355" s="1">
        <v>300000</v>
      </c>
      <c r="I355" s="1"/>
      <c r="J355" s="1"/>
      <c r="K355" s="1"/>
      <c r="L355" s="1"/>
      <c r="M355" s="19"/>
    </row>
    <row r="356" spans="1:13">
      <c r="B356" s="1"/>
      <c r="C356" s="1"/>
      <c r="D356" s="1"/>
      <c r="F356" s="1">
        <v>305000</v>
      </c>
      <c r="G356" s="1">
        <v>205000</v>
      </c>
      <c r="H356" s="1"/>
      <c r="I356" s="1"/>
      <c r="J356" s="1"/>
      <c r="K356" s="1"/>
      <c r="L356" s="1"/>
      <c r="M356" s="19"/>
    </row>
    <row r="357" spans="1:13">
      <c r="B357" s="1"/>
      <c r="C357" s="1"/>
      <c r="D357" s="1"/>
      <c r="E357" s="1"/>
      <c r="F357" s="1"/>
      <c r="G357" s="1"/>
      <c r="H357" s="1"/>
      <c r="I357" s="1"/>
      <c r="J357" s="1"/>
      <c r="K357" s="1"/>
      <c r="L357" s="1"/>
      <c r="M357" s="19"/>
    </row>
    <row r="358" spans="1:13">
      <c r="B358" s="1"/>
      <c r="C358" s="1"/>
      <c r="D358" s="1"/>
      <c r="E358" s="1"/>
      <c r="F358" s="1"/>
      <c r="G358" s="1"/>
      <c r="H358" s="1"/>
      <c r="I358" s="1"/>
      <c r="J358" s="1"/>
      <c r="K358" s="1"/>
      <c r="L358" s="1"/>
      <c r="M358" s="19"/>
    </row>
    <row r="359" spans="1:13">
      <c r="A359" t="s">
        <v>21</v>
      </c>
      <c r="B359" s="12">
        <v>65800</v>
      </c>
      <c r="C359" s="12">
        <v>66572</v>
      </c>
      <c r="D359" s="13">
        <v>67581</v>
      </c>
      <c r="E359" s="12">
        <v>68825</v>
      </c>
      <c r="F359" s="12">
        <v>72846</v>
      </c>
      <c r="G359" s="12">
        <v>71985</v>
      </c>
      <c r="H359" s="12">
        <v>74349</v>
      </c>
      <c r="I359" s="12">
        <v>74427</v>
      </c>
      <c r="J359" s="1"/>
      <c r="K359" s="1"/>
      <c r="L359" s="1"/>
      <c r="M359" s="19"/>
    </row>
    <row r="360" spans="1:13">
      <c r="A360" t="s">
        <v>22</v>
      </c>
      <c r="B360" s="1"/>
      <c r="C360" s="1"/>
      <c r="D360" s="1"/>
      <c r="E360" s="1"/>
      <c r="F360" s="1"/>
      <c r="G360" s="1"/>
      <c r="H360" s="1"/>
      <c r="I360" s="1"/>
      <c r="J360" s="1"/>
      <c r="K360" s="1"/>
      <c r="L360" s="1"/>
      <c r="M360" s="19"/>
    </row>
    <row r="361" spans="1:13">
      <c r="A361" t="s">
        <v>49</v>
      </c>
      <c r="B361" s="16">
        <v>65</v>
      </c>
      <c r="C361" s="16">
        <v>62</v>
      </c>
      <c r="D361" s="16">
        <v>64</v>
      </c>
      <c r="E361" s="16">
        <v>64</v>
      </c>
      <c r="F361" s="16">
        <v>66</v>
      </c>
      <c r="G361" s="16">
        <v>65</v>
      </c>
      <c r="H361" s="16">
        <v>66</v>
      </c>
      <c r="I361" s="16">
        <v>67</v>
      </c>
      <c r="J361" s="14">
        <v>83.125</v>
      </c>
      <c r="K361" s="14">
        <v>85.25</v>
      </c>
      <c r="L361" s="14">
        <v>84.75</v>
      </c>
      <c r="M361" s="19"/>
    </row>
    <row r="362" spans="1:13">
      <c r="A362" t="s">
        <v>50</v>
      </c>
      <c r="B362" s="16">
        <v>19</v>
      </c>
      <c r="C362" s="16">
        <v>19</v>
      </c>
      <c r="D362" s="16">
        <v>14</v>
      </c>
      <c r="E362" s="16">
        <v>14</v>
      </c>
      <c r="F362" s="16">
        <v>14</v>
      </c>
      <c r="G362" s="16">
        <v>13</v>
      </c>
      <c r="H362" s="16">
        <v>13</v>
      </c>
      <c r="I362" s="16">
        <v>14</v>
      </c>
      <c r="J362" s="15"/>
      <c r="K362" s="15"/>
      <c r="L362" s="15"/>
      <c r="M362" s="19"/>
    </row>
    <row r="363" spans="1:13">
      <c r="A363" t="s">
        <v>48</v>
      </c>
      <c r="B363" s="16">
        <f t="shared" ref="B363:I363" si="28">B361+B362</f>
        <v>84</v>
      </c>
      <c r="C363" s="16">
        <f t="shared" si="28"/>
        <v>81</v>
      </c>
      <c r="D363" s="16">
        <f t="shared" si="28"/>
        <v>78</v>
      </c>
      <c r="E363" s="16">
        <f t="shared" si="28"/>
        <v>78</v>
      </c>
      <c r="F363" s="16">
        <f t="shared" si="28"/>
        <v>80</v>
      </c>
      <c r="G363" s="16">
        <f t="shared" si="28"/>
        <v>78</v>
      </c>
      <c r="H363" s="16">
        <f t="shared" si="28"/>
        <v>79</v>
      </c>
      <c r="I363" s="16">
        <f t="shared" si="28"/>
        <v>81</v>
      </c>
      <c r="J363" s="16"/>
      <c r="K363" s="16"/>
      <c r="L363" s="16"/>
      <c r="M363" s="19"/>
    </row>
    <row r="364" spans="1:13">
      <c r="A364" t="s">
        <v>23</v>
      </c>
      <c r="B364" s="14">
        <f t="shared" ref="B364:K364" si="29">SUM(B361:B363)</f>
        <v>168</v>
      </c>
      <c r="C364" s="14">
        <f t="shared" si="29"/>
        <v>162</v>
      </c>
      <c r="D364" s="14">
        <f t="shared" si="29"/>
        <v>156</v>
      </c>
      <c r="E364" s="14">
        <f t="shared" si="29"/>
        <v>156</v>
      </c>
      <c r="F364" s="14">
        <f t="shared" si="29"/>
        <v>160</v>
      </c>
      <c r="G364" s="14">
        <f t="shared" si="29"/>
        <v>156</v>
      </c>
      <c r="H364" s="14">
        <f t="shared" si="29"/>
        <v>158</v>
      </c>
      <c r="I364" s="14">
        <f t="shared" si="29"/>
        <v>162</v>
      </c>
      <c r="J364" s="14">
        <f t="shared" si="29"/>
        <v>83.125</v>
      </c>
      <c r="K364" s="14">
        <f t="shared" si="29"/>
        <v>85.25</v>
      </c>
      <c r="L364" s="14">
        <f>SUM(L361:L363)</f>
        <v>84.75</v>
      </c>
      <c r="M364" s="19"/>
    </row>
    <row r="365" spans="1:13">
      <c r="B365" s="1"/>
      <c r="C365" s="1"/>
      <c r="D365" s="1"/>
      <c r="E365" s="1"/>
      <c r="F365" s="1"/>
      <c r="G365" s="1"/>
      <c r="H365" s="1"/>
      <c r="I365" s="1"/>
      <c r="J365" s="1"/>
      <c r="K365" s="1"/>
      <c r="L365" s="1"/>
      <c r="M365" s="19"/>
    </row>
    <row r="366" spans="1:13">
      <c r="A366" t="s">
        <v>24</v>
      </c>
      <c r="B366" s="1"/>
      <c r="C366" s="1"/>
      <c r="D366" s="1"/>
      <c r="E366" s="1"/>
      <c r="F366" s="1"/>
      <c r="G366" s="1"/>
      <c r="H366" s="1"/>
      <c r="I366" s="1"/>
      <c r="J366" s="1"/>
      <c r="K366" s="1"/>
      <c r="L366" s="1"/>
      <c r="M366" s="19"/>
    </row>
    <row r="367" spans="1:13">
      <c r="A367" t="s">
        <v>25</v>
      </c>
      <c r="B367" s="1"/>
      <c r="C367" s="1"/>
      <c r="D367" s="1"/>
      <c r="E367" s="1"/>
      <c r="F367" s="1"/>
      <c r="G367" s="1"/>
      <c r="H367" s="1"/>
      <c r="I367" s="1"/>
      <c r="J367" s="1"/>
      <c r="K367" s="1"/>
      <c r="L367" s="1"/>
      <c r="M367" s="19"/>
    </row>
    <row r="368" spans="1:13">
      <c r="B368" s="1"/>
      <c r="C368" s="1"/>
      <c r="D368" s="1"/>
      <c r="E368" s="1"/>
      <c r="F368" s="1"/>
      <c r="G368" s="1"/>
      <c r="H368" s="1"/>
      <c r="I368" s="1"/>
      <c r="J368" s="1"/>
      <c r="K368" s="1"/>
      <c r="L368" s="1"/>
      <c r="M368" s="19"/>
    </row>
    <row r="369" spans="1:13">
      <c r="A369" t="s">
        <v>26</v>
      </c>
      <c r="B369" s="1"/>
      <c r="C369" s="1"/>
      <c r="D369" s="1"/>
      <c r="E369" s="1"/>
      <c r="F369" s="1"/>
      <c r="G369" s="1"/>
      <c r="H369" s="1"/>
      <c r="I369" s="1"/>
      <c r="J369" s="1"/>
      <c r="K369" s="1"/>
      <c r="L369" s="1"/>
      <c r="M369" s="19"/>
    </row>
    <row r="370" spans="1:13">
      <c r="A370" s="2" t="s">
        <v>44</v>
      </c>
      <c r="B370" s="8">
        <f t="shared" ref="B370:H370" si="30">B323/B359</f>
        <v>144.81278115501519</v>
      </c>
      <c r="C370" s="8">
        <f t="shared" si="30"/>
        <v>130.66036772216549</v>
      </c>
      <c r="D370" s="8">
        <f t="shared" si="30"/>
        <v>141.64171882629734</v>
      </c>
      <c r="E370" s="8">
        <f t="shared" si="30"/>
        <v>148.30135851798039</v>
      </c>
      <c r="F370" s="8">
        <f t="shared" si="30"/>
        <v>178.3100376135958</v>
      </c>
      <c r="G370" s="8">
        <f t="shared" si="30"/>
        <v>182.53763978606653</v>
      </c>
      <c r="H370" s="8">
        <f t="shared" si="30"/>
        <v>180.68128690365708</v>
      </c>
      <c r="I370" s="1"/>
      <c r="J370" s="1"/>
      <c r="K370" s="1"/>
      <c r="L370" s="1"/>
      <c r="M370" s="19"/>
    </row>
    <row r="371" spans="1:13">
      <c r="A371" t="s">
        <v>27</v>
      </c>
      <c r="B371" s="1"/>
      <c r="C371" s="1"/>
      <c r="D371" s="1"/>
      <c r="E371" s="1"/>
      <c r="F371" s="1"/>
      <c r="G371" s="1"/>
      <c r="H371" s="1"/>
      <c r="I371" s="1"/>
      <c r="J371" s="1"/>
      <c r="K371" s="1"/>
      <c r="L371" s="1"/>
      <c r="M371" s="19"/>
    </row>
    <row r="372" spans="1:13">
      <c r="A372" t="s">
        <v>28</v>
      </c>
      <c r="B372" s="1"/>
      <c r="C372" s="1"/>
      <c r="D372" s="1"/>
      <c r="E372" s="1"/>
      <c r="F372" s="1"/>
      <c r="G372" s="1"/>
      <c r="H372" s="1"/>
      <c r="I372" s="1"/>
      <c r="J372" s="1"/>
      <c r="K372" s="1"/>
      <c r="L372" s="1"/>
      <c r="M372" s="19"/>
    </row>
    <row r="373" spans="1:13">
      <c r="A373" t="s">
        <v>29</v>
      </c>
      <c r="B373" s="1"/>
      <c r="C373" s="1"/>
      <c r="D373" s="1"/>
      <c r="E373" s="1"/>
      <c r="F373" s="1"/>
      <c r="G373" s="1"/>
      <c r="H373" s="1"/>
      <c r="I373" s="1"/>
      <c r="J373" s="1"/>
      <c r="K373" s="1"/>
      <c r="L373" s="1"/>
      <c r="M373" s="19"/>
    </row>
    <row r="374" spans="1:13">
      <c r="B374" s="1"/>
      <c r="C374" s="1"/>
      <c r="D374" s="1"/>
      <c r="E374" s="1"/>
      <c r="F374" s="1"/>
      <c r="G374" s="1"/>
      <c r="H374" s="1"/>
      <c r="I374" s="1"/>
      <c r="J374" s="1"/>
      <c r="K374" s="1"/>
      <c r="L374" s="1"/>
      <c r="M374" s="19"/>
    </row>
    <row r="375" spans="1:13">
      <c r="A375" t="s">
        <v>30</v>
      </c>
      <c r="B375" s="1"/>
      <c r="C375" s="1"/>
      <c r="D375" s="1"/>
      <c r="E375" s="1"/>
      <c r="F375" s="1"/>
      <c r="G375" s="1"/>
      <c r="H375" s="1"/>
      <c r="I375" s="1"/>
      <c r="J375" s="1"/>
      <c r="K375" s="1"/>
      <c r="L375" s="1"/>
      <c r="M375" s="19"/>
    </row>
    <row r="376" spans="1:13">
      <c r="A376" t="s">
        <v>21</v>
      </c>
      <c r="B376" s="1"/>
      <c r="C376" s="1"/>
      <c r="D376" s="1"/>
      <c r="E376" s="1"/>
      <c r="F376" s="1"/>
      <c r="G376" s="1"/>
      <c r="H376" s="1"/>
      <c r="I376" s="1"/>
      <c r="J376" s="1"/>
      <c r="K376" s="1"/>
      <c r="L376" s="1"/>
      <c r="M376" s="19"/>
    </row>
    <row r="377" spans="1:13">
      <c r="B377" s="1"/>
      <c r="C377" s="1"/>
      <c r="D377" s="1"/>
      <c r="E377" s="1"/>
      <c r="F377" s="1"/>
      <c r="G377" s="1"/>
      <c r="H377" s="1"/>
      <c r="I377" s="1"/>
      <c r="J377" s="1"/>
      <c r="K377" s="1"/>
      <c r="L377" s="1"/>
      <c r="M377" s="19"/>
    </row>
    <row r="378" spans="1:13">
      <c r="B378" s="1"/>
      <c r="C378" s="1"/>
      <c r="D378" s="1"/>
      <c r="E378" s="1"/>
      <c r="F378" s="1"/>
      <c r="G378" s="1"/>
      <c r="H378" s="1"/>
      <c r="I378" s="1"/>
      <c r="J378" s="1"/>
      <c r="K378" s="1"/>
      <c r="L378" s="1"/>
      <c r="M378" s="19"/>
    </row>
    <row r="379" spans="1:13">
      <c r="B379" s="1"/>
      <c r="C379" s="1"/>
      <c r="D379" s="1"/>
      <c r="E379" s="1"/>
      <c r="F379" s="1"/>
      <c r="G379" s="1"/>
      <c r="H379" s="1"/>
      <c r="I379" s="1"/>
      <c r="J379" s="1"/>
      <c r="K379" s="1"/>
      <c r="L379" s="1"/>
      <c r="M379" s="19"/>
    </row>
    <row r="380" spans="1:13">
      <c r="B380" s="1"/>
      <c r="C380" s="1"/>
      <c r="D380" s="1"/>
      <c r="E380" s="1"/>
      <c r="F380" s="1"/>
      <c r="G380" s="1"/>
      <c r="H380" s="1"/>
      <c r="I380" s="1"/>
      <c r="J380" s="1"/>
      <c r="K380" s="1"/>
      <c r="L380" s="1"/>
      <c r="M380" s="19"/>
    </row>
    <row r="381" spans="1:13">
      <c r="B381" s="1"/>
      <c r="C381" s="1"/>
      <c r="D381" s="1"/>
      <c r="E381" s="1"/>
      <c r="F381" s="1"/>
      <c r="G381" s="1"/>
      <c r="H381" s="1"/>
      <c r="I381" s="1"/>
      <c r="J381" s="1"/>
      <c r="K381" s="1"/>
      <c r="L381" s="1"/>
      <c r="M381" s="19"/>
    </row>
    <row r="382" spans="1:13">
      <c r="B382" s="1"/>
      <c r="C382" s="1"/>
      <c r="D382" s="1"/>
      <c r="E382" s="1"/>
      <c r="F382" s="1"/>
      <c r="G382" s="1"/>
      <c r="H382" s="1"/>
      <c r="I382" s="1"/>
      <c r="J382" s="1"/>
      <c r="K382" s="1"/>
      <c r="L382" s="1"/>
      <c r="M382" s="19"/>
    </row>
    <row r="383" spans="1:13">
      <c r="B383" s="1"/>
      <c r="C383" s="1"/>
      <c r="D383" s="1"/>
      <c r="E383" s="1"/>
      <c r="F383" s="1"/>
      <c r="G383" s="1"/>
      <c r="H383" s="1"/>
      <c r="I383" s="1"/>
      <c r="J383" s="1"/>
      <c r="K383" s="1"/>
      <c r="L383" s="1"/>
      <c r="M383" s="19"/>
    </row>
    <row r="384" spans="1:13">
      <c r="B384" s="1"/>
      <c r="C384" s="1"/>
      <c r="D384" s="1"/>
      <c r="E384" s="1"/>
      <c r="F384" s="1"/>
      <c r="G384" s="1"/>
      <c r="H384" s="1"/>
      <c r="I384" s="1"/>
      <c r="J384" s="1"/>
      <c r="K384" s="1"/>
      <c r="L384" s="1"/>
      <c r="M384" s="19"/>
    </row>
    <row r="385" spans="2:13">
      <c r="B385" s="1"/>
      <c r="C385" s="1"/>
      <c r="D385" s="1"/>
      <c r="E385" s="1"/>
      <c r="F385" s="1"/>
      <c r="G385" s="1"/>
      <c r="H385" s="1"/>
      <c r="I385" s="1"/>
      <c r="J385" s="1"/>
      <c r="K385" s="1"/>
      <c r="L385" s="1"/>
      <c r="M385" s="19"/>
    </row>
    <row r="386" spans="2:13">
      <c r="B386" s="1"/>
      <c r="C386" s="1"/>
      <c r="D386" s="1"/>
      <c r="E386" s="1"/>
      <c r="F386" s="1"/>
      <c r="G386" s="1"/>
      <c r="H386" s="1"/>
      <c r="I386" s="1"/>
      <c r="J386" s="1"/>
      <c r="K386" s="1"/>
      <c r="L386" s="1"/>
      <c r="M386" s="19"/>
    </row>
    <row r="387" spans="2:13">
      <c r="B387" s="1"/>
      <c r="C387" s="1"/>
      <c r="D387" s="1"/>
      <c r="E387" s="1"/>
      <c r="F387" s="1"/>
      <c r="G387" s="1"/>
      <c r="H387" s="1"/>
      <c r="I387" s="1"/>
      <c r="J387" s="1"/>
      <c r="K387" s="1"/>
      <c r="L387" s="1"/>
      <c r="M387" s="19"/>
    </row>
    <row r="388" spans="2:13">
      <c r="B388" s="1"/>
      <c r="C388" s="1"/>
      <c r="D388" s="1"/>
      <c r="E388" s="1"/>
      <c r="F388" s="1"/>
      <c r="G388" s="1"/>
      <c r="H388" s="1"/>
      <c r="I388" s="1"/>
      <c r="J388" s="1"/>
      <c r="K388" s="1"/>
      <c r="L388" s="1"/>
      <c r="M388" s="19"/>
    </row>
    <row r="389" spans="2:13">
      <c r="B389" s="1"/>
      <c r="C389" s="1"/>
      <c r="D389" s="1"/>
      <c r="E389" s="1"/>
      <c r="F389" s="1"/>
      <c r="G389" s="1"/>
      <c r="H389" s="1"/>
      <c r="I389" s="1"/>
      <c r="J389" s="1"/>
      <c r="K389" s="1"/>
      <c r="L389" s="1"/>
      <c r="M389" s="19"/>
    </row>
    <row r="390" spans="2:13">
      <c r="B390" s="1"/>
      <c r="C390" s="1"/>
      <c r="D390" s="1"/>
      <c r="E390" s="1"/>
      <c r="F390" s="1"/>
      <c r="G390" s="1"/>
      <c r="H390" s="1"/>
      <c r="I390" s="1"/>
      <c r="J390" s="1"/>
      <c r="K390" s="1"/>
      <c r="L390" s="1"/>
      <c r="M390" s="19"/>
    </row>
    <row r="391" spans="2:13">
      <c r="B391" s="1"/>
      <c r="C391" s="1"/>
      <c r="D391" s="1"/>
      <c r="E391" s="1"/>
      <c r="F391" s="1"/>
      <c r="G391" s="1"/>
      <c r="H391" s="1"/>
      <c r="I391" s="1"/>
      <c r="J391" s="1"/>
      <c r="K391" s="1"/>
      <c r="L391" s="1"/>
      <c r="M391" s="19"/>
    </row>
    <row r="392" spans="2:13">
      <c r="B392" s="1"/>
      <c r="C392" s="1"/>
      <c r="D392" s="1"/>
      <c r="E392" s="1"/>
      <c r="F392" s="1"/>
      <c r="G392" s="1"/>
      <c r="H392" s="1"/>
      <c r="I392" s="1"/>
      <c r="J392" s="1"/>
      <c r="K392" s="1"/>
      <c r="L392" s="1"/>
      <c r="M392" s="19"/>
    </row>
    <row r="393" spans="2:13">
      <c r="B393" s="1"/>
      <c r="C393" s="1"/>
      <c r="D393" s="1"/>
      <c r="E393" s="1"/>
      <c r="F393" s="1"/>
      <c r="G393" s="1"/>
      <c r="H393" s="1"/>
      <c r="I393" s="1"/>
      <c r="J393" s="1"/>
      <c r="K393" s="1"/>
      <c r="L393" s="1"/>
      <c r="M393" s="19"/>
    </row>
    <row r="394" spans="2:13">
      <c r="B394" s="1"/>
      <c r="C394" s="1"/>
      <c r="D394" s="1"/>
      <c r="E394" s="1"/>
      <c r="F394" s="1"/>
      <c r="G394" s="1"/>
      <c r="H394" s="1"/>
      <c r="I394" s="1"/>
      <c r="J394" s="1"/>
      <c r="K394" s="1"/>
      <c r="L394" s="1"/>
      <c r="M394" s="19"/>
    </row>
    <row r="395" spans="2:13">
      <c r="B395" s="1"/>
      <c r="C395" s="1"/>
      <c r="D395" s="1"/>
      <c r="E395" s="1"/>
      <c r="F395" s="1"/>
      <c r="G395" s="1"/>
      <c r="H395" s="1"/>
      <c r="I395" s="1"/>
      <c r="J395" s="1"/>
      <c r="K395" s="1"/>
      <c r="L395" s="1"/>
      <c r="M395" s="19"/>
    </row>
    <row r="396" spans="2:13">
      <c r="B396" s="1"/>
      <c r="C396" s="1"/>
      <c r="D396" s="1"/>
      <c r="E396" s="1"/>
      <c r="F396" s="1"/>
      <c r="G396" s="1"/>
      <c r="H396" s="1"/>
      <c r="I396" s="1"/>
      <c r="J396" s="1"/>
      <c r="K396" s="1"/>
      <c r="L396" s="1"/>
      <c r="M396" s="19"/>
    </row>
    <row r="397" spans="2:13">
      <c r="M397" s="19"/>
    </row>
    <row r="398" spans="2:13">
      <c r="M398" s="19"/>
    </row>
    <row r="399" spans="2:13">
      <c r="M399" s="19"/>
    </row>
    <row r="400" spans="2:13">
      <c r="M400" s="19"/>
    </row>
    <row r="401" spans="13:13">
      <c r="M401" s="19"/>
    </row>
    <row r="402" spans="13:13">
      <c r="M402" s="19"/>
    </row>
    <row r="403" spans="13:13">
      <c r="M403" s="19"/>
    </row>
    <row r="404" spans="13:13">
      <c r="M404" s="19"/>
    </row>
    <row r="405" spans="13:13">
      <c r="M405" s="19"/>
    </row>
    <row r="406" spans="13:13">
      <c r="M406" s="19"/>
    </row>
    <row r="407" spans="13:13">
      <c r="M407" s="19"/>
    </row>
    <row r="408" spans="13:13">
      <c r="M408" s="19"/>
    </row>
    <row r="409" spans="13:13">
      <c r="M409" s="19"/>
    </row>
    <row r="410" spans="13:13">
      <c r="M410" s="19"/>
    </row>
    <row r="411" spans="13:13">
      <c r="M411" s="19"/>
    </row>
    <row r="412" spans="13:13">
      <c r="M412" s="19"/>
    </row>
    <row r="413" spans="13:13">
      <c r="M413" s="19"/>
    </row>
    <row r="414" spans="13:13">
      <c r="M414" s="19"/>
    </row>
    <row r="415" spans="13:13">
      <c r="M415" s="19"/>
    </row>
    <row r="416" spans="13:13">
      <c r="M416" s="19"/>
    </row>
    <row r="417" spans="13:13">
      <c r="M417" s="19"/>
    </row>
    <row r="418" spans="13:13">
      <c r="M418" s="19"/>
    </row>
    <row r="419" spans="13:13">
      <c r="M419" s="19"/>
    </row>
    <row r="420" spans="13:13">
      <c r="M420" s="19"/>
    </row>
    <row r="421" spans="13:13">
      <c r="M421" s="19"/>
    </row>
    <row r="422" spans="13:13">
      <c r="M422" s="19"/>
    </row>
    <row r="423" spans="13:13">
      <c r="M423" s="19"/>
    </row>
    <row r="424" spans="13:13">
      <c r="M424" s="19"/>
    </row>
    <row r="425" spans="13:13">
      <c r="M425" s="19"/>
    </row>
    <row r="426" spans="13:13">
      <c r="M426" s="19"/>
    </row>
    <row r="427" spans="13:13">
      <c r="M427" s="19"/>
    </row>
    <row r="428" spans="13:13">
      <c r="M428" s="19"/>
    </row>
    <row r="429" spans="13:13">
      <c r="M429" s="19"/>
    </row>
    <row r="430" spans="13:13">
      <c r="M430" s="19"/>
    </row>
    <row r="431" spans="13:13">
      <c r="M431" s="19"/>
    </row>
    <row r="432" spans="13:13">
      <c r="M432" s="19"/>
    </row>
    <row r="433" spans="13:13">
      <c r="M433" s="19"/>
    </row>
    <row r="434" spans="13:13">
      <c r="M434" s="19"/>
    </row>
    <row r="435" spans="13:13">
      <c r="M435" s="19"/>
    </row>
    <row r="436" spans="13:13">
      <c r="M436" s="19"/>
    </row>
    <row r="437" spans="13:13">
      <c r="M437" s="19"/>
    </row>
    <row r="438" spans="13:13">
      <c r="M438" s="19"/>
    </row>
    <row r="439" spans="13:13">
      <c r="M439" s="19"/>
    </row>
    <row r="440" spans="13:13">
      <c r="M440" s="19"/>
    </row>
    <row r="441" spans="13:13">
      <c r="M441" s="19"/>
    </row>
    <row r="442" spans="13:13">
      <c r="M442" s="19"/>
    </row>
    <row r="443" spans="13:13">
      <c r="M443" s="19"/>
    </row>
    <row r="444" spans="13:13">
      <c r="M444" s="19"/>
    </row>
    <row r="445" spans="13:13">
      <c r="M445" s="19"/>
    </row>
    <row r="446" spans="13:13">
      <c r="M446" s="19"/>
    </row>
    <row r="447" spans="13:13">
      <c r="M447" s="19"/>
    </row>
    <row r="448" spans="13:13">
      <c r="M448" s="19"/>
    </row>
    <row r="449" spans="13:13">
      <c r="M449" s="19"/>
    </row>
    <row r="450" spans="13:13">
      <c r="M450" s="19"/>
    </row>
    <row r="451" spans="13:13">
      <c r="M451" s="19"/>
    </row>
    <row r="452" spans="13:13">
      <c r="M452" s="19"/>
    </row>
    <row r="453" spans="13:13">
      <c r="M453" s="19"/>
    </row>
    <row r="454" spans="13:13">
      <c r="M454" s="19"/>
    </row>
    <row r="455" spans="13:13">
      <c r="M455" s="19"/>
    </row>
    <row r="456" spans="13:13">
      <c r="M456" s="19"/>
    </row>
    <row r="457" spans="13:13">
      <c r="M457" s="19"/>
    </row>
    <row r="458" spans="13:13">
      <c r="M458" s="19"/>
    </row>
    <row r="459" spans="13:13">
      <c r="M459" s="19"/>
    </row>
    <row r="460" spans="13:13">
      <c r="M460" s="19"/>
    </row>
    <row r="461" spans="13:13">
      <c r="M461" s="19"/>
    </row>
    <row r="462" spans="13:13">
      <c r="M462" s="19"/>
    </row>
    <row r="463" spans="13:13">
      <c r="M463" s="19"/>
    </row>
    <row r="464" spans="13:13">
      <c r="M464" s="19"/>
    </row>
    <row r="465" spans="13:13">
      <c r="M465" s="19"/>
    </row>
    <row r="466" spans="13:13">
      <c r="M466" s="19"/>
    </row>
    <row r="467" spans="13:13">
      <c r="M467" s="19"/>
    </row>
    <row r="468" spans="13:13">
      <c r="M468" s="19"/>
    </row>
    <row r="469" spans="13:13">
      <c r="M469" s="19"/>
    </row>
    <row r="470" spans="13:13">
      <c r="M470" s="19"/>
    </row>
    <row r="471" spans="13:13">
      <c r="M471" s="19"/>
    </row>
    <row r="472" spans="13:13">
      <c r="M472" s="19"/>
    </row>
    <row r="473" spans="13:13">
      <c r="M473" s="19"/>
    </row>
    <row r="474" spans="13:13">
      <c r="M474" s="19"/>
    </row>
    <row r="475" spans="13:13">
      <c r="M475" s="19"/>
    </row>
    <row r="476" spans="13:13">
      <c r="M476" s="19"/>
    </row>
    <row r="477" spans="13:13">
      <c r="M477" s="19"/>
    </row>
    <row r="478" spans="13:13">
      <c r="M478" s="19"/>
    </row>
    <row r="479" spans="13:13">
      <c r="M479" s="19"/>
    </row>
    <row r="480" spans="13:13">
      <c r="M480" s="19"/>
    </row>
    <row r="481" spans="13:13">
      <c r="M481" s="19"/>
    </row>
    <row r="482" spans="13:13">
      <c r="M482" s="19"/>
    </row>
    <row r="483" spans="13:13">
      <c r="M483" s="19"/>
    </row>
    <row r="484" spans="13:13">
      <c r="M484" s="19"/>
    </row>
    <row r="485" spans="13:13">
      <c r="M485" s="19"/>
    </row>
    <row r="486" spans="13:13">
      <c r="M486" s="19"/>
    </row>
    <row r="487" spans="13:13">
      <c r="M487" s="19"/>
    </row>
    <row r="488" spans="13:13">
      <c r="M488" s="19"/>
    </row>
    <row r="489" spans="13:13">
      <c r="M489" s="19"/>
    </row>
    <row r="490" spans="13:13">
      <c r="M490" s="19"/>
    </row>
    <row r="491" spans="13:13">
      <c r="M491" s="19"/>
    </row>
    <row r="492" spans="13:13">
      <c r="M492" s="19"/>
    </row>
    <row r="493" spans="13:13">
      <c r="M493" s="19"/>
    </row>
    <row r="494" spans="13:13">
      <c r="M494" s="19"/>
    </row>
    <row r="495" spans="13:13">
      <c r="M495" s="19"/>
    </row>
    <row r="496" spans="13:13">
      <c r="M496" s="19"/>
    </row>
    <row r="497" spans="13:13">
      <c r="M497" s="19"/>
    </row>
    <row r="498" spans="13:13">
      <c r="M498" s="19"/>
    </row>
    <row r="499" spans="13:13">
      <c r="M499" s="19"/>
    </row>
    <row r="500" spans="13:13">
      <c r="M500" s="19"/>
    </row>
    <row r="501" spans="13:13">
      <c r="M501" s="19"/>
    </row>
    <row r="502" spans="13:13">
      <c r="M502" s="19"/>
    </row>
    <row r="503" spans="13:13">
      <c r="M503" s="19"/>
    </row>
    <row r="504" spans="13:13">
      <c r="M504" s="19"/>
    </row>
    <row r="505" spans="13:13">
      <c r="M505" s="19"/>
    </row>
    <row r="506" spans="13:13">
      <c r="M506" s="19"/>
    </row>
    <row r="507" spans="13:13">
      <c r="M507" s="19"/>
    </row>
    <row r="508" spans="13:13">
      <c r="M508" s="19"/>
    </row>
    <row r="509" spans="13:13">
      <c r="M509" s="19"/>
    </row>
    <row r="510" spans="13:13">
      <c r="M510" s="19"/>
    </row>
    <row r="511" spans="13:13">
      <c r="M511" s="19"/>
    </row>
    <row r="512" spans="13:13">
      <c r="M512" s="19"/>
    </row>
    <row r="513" spans="13:13">
      <c r="M513" s="19"/>
    </row>
    <row r="514" spans="13:13">
      <c r="M514" s="19"/>
    </row>
    <row r="515" spans="13:13">
      <c r="M515" s="19"/>
    </row>
    <row r="516" spans="13:13">
      <c r="M516" s="19"/>
    </row>
    <row r="517" spans="13:13">
      <c r="M517" s="19"/>
    </row>
    <row r="518" spans="13:13">
      <c r="M518" s="19"/>
    </row>
    <row r="519" spans="13:13">
      <c r="M519" s="19"/>
    </row>
    <row r="520" spans="13:13">
      <c r="M520" s="19"/>
    </row>
    <row r="521" spans="13:13">
      <c r="M521" s="19"/>
    </row>
    <row r="522" spans="13:13">
      <c r="M522" s="19"/>
    </row>
    <row r="523" spans="13:13">
      <c r="M523" s="19"/>
    </row>
    <row r="524" spans="13:13">
      <c r="M524" s="19"/>
    </row>
    <row r="525" spans="13:13">
      <c r="M525" s="19"/>
    </row>
    <row r="526" spans="13:13">
      <c r="M526" s="19"/>
    </row>
    <row r="527" spans="13:13">
      <c r="M527" s="19"/>
    </row>
    <row r="528" spans="13:13">
      <c r="M528" s="19"/>
    </row>
    <row r="529" spans="13:13">
      <c r="M529" s="19"/>
    </row>
    <row r="530" spans="13:13">
      <c r="M530" s="19"/>
    </row>
    <row r="531" spans="13:13">
      <c r="M531" s="19"/>
    </row>
    <row r="532" spans="13:13">
      <c r="M532" s="19"/>
    </row>
    <row r="533" spans="13:13">
      <c r="M533" s="19"/>
    </row>
    <row r="534" spans="13:13">
      <c r="M534" s="19"/>
    </row>
    <row r="535" spans="13:13">
      <c r="M535" s="19"/>
    </row>
    <row r="536" spans="13:13">
      <c r="M536" s="19"/>
    </row>
    <row r="537" spans="13:13">
      <c r="M537" s="19"/>
    </row>
    <row r="538" spans="13:13">
      <c r="M538" s="19"/>
    </row>
    <row r="539" spans="13:13">
      <c r="M539" s="19"/>
    </row>
    <row r="540" spans="13:13">
      <c r="M540" s="19"/>
    </row>
    <row r="541" spans="13:13">
      <c r="M541" s="19"/>
    </row>
    <row r="542" spans="13:13">
      <c r="M542" s="19"/>
    </row>
    <row r="543" spans="13:13">
      <c r="M543" s="19"/>
    </row>
    <row r="544" spans="13:13">
      <c r="M544" s="19"/>
    </row>
    <row r="545" spans="13:13">
      <c r="M545" s="19"/>
    </row>
    <row r="546" spans="13:13">
      <c r="M546" s="19"/>
    </row>
    <row r="547" spans="13:13">
      <c r="M547" s="19"/>
    </row>
    <row r="548" spans="13:13">
      <c r="M548" s="19"/>
    </row>
    <row r="549" spans="13:13">
      <c r="M549" s="19"/>
    </row>
    <row r="550" spans="13:13">
      <c r="M550" s="19"/>
    </row>
    <row r="551" spans="13:13">
      <c r="M551" s="19"/>
    </row>
    <row r="552" spans="13:13">
      <c r="M552" s="19"/>
    </row>
    <row r="553" spans="13:13">
      <c r="M553" s="19"/>
    </row>
    <row r="554" spans="13:13">
      <c r="M554" s="19"/>
    </row>
    <row r="555" spans="13:13">
      <c r="M555" s="19"/>
    </row>
    <row r="556" spans="13:13">
      <c r="M556" s="19"/>
    </row>
    <row r="557" spans="13:13">
      <c r="M557" s="19"/>
    </row>
    <row r="558" spans="13:13">
      <c r="M558" s="19"/>
    </row>
    <row r="559" spans="13:13">
      <c r="M559" s="19"/>
    </row>
    <row r="560" spans="13:13">
      <c r="M560" s="19"/>
    </row>
    <row r="561" spans="13:13">
      <c r="M561" s="19"/>
    </row>
    <row r="562" spans="13:13">
      <c r="M562" s="19"/>
    </row>
    <row r="563" spans="13:13">
      <c r="M563" s="19"/>
    </row>
    <row r="564" spans="13:13">
      <c r="M564" s="19"/>
    </row>
    <row r="565" spans="13:13">
      <c r="M565" s="19"/>
    </row>
    <row r="566" spans="13:13">
      <c r="M566" s="19"/>
    </row>
    <row r="567" spans="13:13">
      <c r="M567" s="19"/>
    </row>
    <row r="568" spans="13:13">
      <c r="M568" s="19"/>
    </row>
    <row r="569" spans="13:13">
      <c r="M569" s="19"/>
    </row>
    <row r="570" spans="13:13">
      <c r="M570" s="19"/>
    </row>
    <row r="571" spans="13:13">
      <c r="M571" s="19"/>
    </row>
    <row r="572" spans="13:13">
      <c r="M572" s="19"/>
    </row>
    <row r="573" spans="13:13">
      <c r="M573" s="19"/>
    </row>
    <row r="574" spans="13:13">
      <c r="M574" s="19"/>
    </row>
    <row r="575" spans="13:13">
      <c r="M575" s="19"/>
    </row>
    <row r="576" spans="13:13">
      <c r="M576" s="19"/>
    </row>
    <row r="577" spans="13:13">
      <c r="M577" s="19"/>
    </row>
    <row r="578" spans="13:13">
      <c r="M578" s="19"/>
    </row>
    <row r="579" spans="13:13">
      <c r="M579" s="19"/>
    </row>
    <row r="580" spans="13:13">
      <c r="M580" s="19"/>
    </row>
    <row r="581" spans="13:13">
      <c r="M581" s="19"/>
    </row>
    <row r="582" spans="13:13">
      <c r="M582" s="19"/>
    </row>
    <row r="583" spans="13:13">
      <c r="M583" s="19"/>
    </row>
    <row r="584" spans="13:13">
      <c r="M584" s="19"/>
    </row>
    <row r="585" spans="13:13">
      <c r="M585" s="19"/>
    </row>
    <row r="586" spans="13:13">
      <c r="M586" s="19"/>
    </row>
    <row r="587" spans="13:13">
      <c r="M587" s="19"/>
    </row>
    <row r="588" spans="13:13">
      <c r="M588" s="19"/>
    </row>
    <row r="589" spans="13:13">
      <c r="M589" s="19"/>
    </row>
    <row r="590" spans="13:13">
      <c r="M590" s="19"/>
    </row>
    <row r="591" spans="13:13">
      <c r="M591" s="19"/>
    </row>
    <row r="592" spans="13:13">
      <c r="M592" s="19"/>
    </row>
    <row r="593" spans="13:13">
      <c r="M593" s="19"/>
    </row>
    <row r="594" spans="13:13">
      <c r="M594" s="19"/>
    </row>
    <row r="595" spans="13:13">
      <c r="M595" s="19"/>
    </row>
    <row r="596" spans="13:13">
      <c r="M596" s="19"/>
    </row>
  </sheetData>
  <mergeCells count="1">
    <mergeCell ref="J1:L1"/>
  </mergeCells>
  <pageMargins left="0.75" right="0.75" top="1" bottom="1" header="0.5" footer="0.5"/>
  <pageSetup orientation="portrait" horizontalDpi="4294967292" verticalDpi="4294967292"/>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pageSetUpPr fitToPage="1"/>
  </sheetPr>
  <dimension ref="A1:V490"/>
  <sheetViews>
    <sheetView topLeftCell="M1" workbookViewId="0">
      <selection activeCell="V17" sqref="V17"/>
    </sheetView>
  </sheetViews>
  <sheetFormatPr defaultColWidth="11" defaultRowHeight="15.75"/>
  <cols>
    <col min="1" max="1" width="25.625" customWidth="1"/>
    <col min="2" max="2" width="15.125" bestFit="1" customWidth="1"/>
    <col min="3" max="9" width="12.5" bestFit="1" customWidth="1"/>
    <col min="10" max="12" width="13.875" customWidth="1"/>
    <col min="13" max="13" width="11" style="190"/>
    <col min="22" max="22" width="77.375" customWidth="1"/>
  </cols>
  <sheetData>
    <row r="1" spans="1:14" ht="18.75">
      <c r="A1" s="37" t="s">
        <v>38</v>
      </c>
      <c r="J1" s="494" t="s">
        <v>215</v>
      </c>
      <c r="K1" s="494"/>
      <c r="L1" s="494"/>
    </row>
    <row r="2" spans="1:14">
      <c r="A2" s="2"/>
    </row>
    <row r="3" spans="1:14">
      <c r="A3" s="2"/>
      <c r="B3" s="82" t="s">
        <v>61</v>
      </c>
      <c r="C3" s="82" t="s">
        <v>61</v>
      </c>
      <c r="D3" s="82" t="s">
        <v>61</v>
      </c>
      <c r="E3" s="82" t="s">
        <v>61</v>
      </c>
      <c r="F3" s="82" t="s">
        <v>61</v>
      </c>
      <c r="G3" s="82" t="s">
        <v>61</v>
      </c>
      <c r="H3" s="82" t="s">
        <v>61</v>
      </c>
      <c r="I3" s="82" t="s">
        <v>61</v>
      </c>
      <c r="J3" s="82" t="s">
        <v>61</v>
      </c>
      <c r="K3" s="82" t="s">
        <v>61</v>
      </c>
      <c r="L3" s="82" t="s">
        <v>61</v>
      </c>
    </row>
    <row r="4" spans="1:14">
      <c r="A4" s="2"/>
      <c r="B4" s="30" t="s">
        <v>57</v>
      </c>
      <c r="C4" s="30" t="s">
        <v>57</v>
      </c>
      <c r="D4" s="30" t="s">
        <v>57</v>
      </c>
      <c r="E4" s="30" t="s">
        <v>57</v>
      </c>
      <c r="F4" s="30" t="s">
        <v>57</v>
      </c>
      <c r="G4" s="30" t="s">
        <v>57</v>
      </c>
      <c r="H4" s="30" t="s">
        <v>57</v>
      </c>
      <c r="I4" s="30" t="s">
        <v>57</v>
      </c>
      <c r="J4" s="30" t="s">
        <v>57</v>
      </c>
      <c r="K4" s="30" t="s">
        <v>202</v>
      </c>
      <c r="L4" s="30" t="s">
        <v>58</v>
      </c>
    </row>
    <row r="5" spans="1:14" ht="18.75">
      <c r="A5" s="93" t="s">
        <v>98</v>
      </c>
      <c r="B5" s="254">
        <v>2009</v>
      </c>
      <c r="C5" s="254">
        <v>2010</v>
      </c>
      <c r="D5" s="254">
        <v>2011</v>
      </c>
      <c r="E5" s="254">
        <v>2012</v>
      </c>
      <c r="F5" s="254">
        <v>2013</v>
      </c>
      <c r="G5" s="254">
        <v>2014</v>
      </c>
      <c r="H5" s="254">
        <v>2015</v>
      </c>
      <c r="I5" s="254">
        <v>2016</v>
      </c>
      <c r="J5" s="254">
        <v>2017</v>
      </c>
      <c r="K5" s="254">
        <v>2018</v>
      </c>
      <c r="L5" s="254">
        <v>2019</v>
      </c>
      <c r="M5" s="195"/>
      <c r="N5" s="2"/>
    </row>
    <row r="6" spans="1:14">
      <c r="A6" s="10" t="s">
        <v>100</v>
      </c>
      <c r="B6" s="32">
        <v>15281636</v>
      </c>
      <c r="C6" s="32">
        <v>15707233</v>
      </c>
      <c r="D6" s="32">
        <v>16496905</v>
      </c>
      <c r="E6" s="32">
        <v>16174985</v>
      </c>
      <c r="F6" s="32">
        <v>17097730</v>
      </c>
      <c r="G6" s="32">
        <v>18444764</v>
      </c>
      <c r="H6" s="32">
        <v>19758838</v>
      </c>
      <c r="I6" s="32">
        <v>20829121</v>
      </c>
      <c r="J6" s="32">
        <f>1065772-484</f>
        <v>1065288</v>
      </c>
      <c r="K6" s="32">
        <v>946063</v>
      </c>
      <c r="L6" s="32">
        <f>8329+508264+260875</f>
        <v>777468</v>
      </c>
      <c r="M6" s="174"/>
      <c r="N6" s="3"/>
    </row>
    <row r="7" spans="1:14">
      <c r="A7" s="96" t="s">
        <v>93</v>
      </c>
      <c r="B7" s="32">
        <v>0</v>
      </c>
      <c r="C7" s="32">
        <v>0</v>
      </c>
      <c r="D7" s="32">
        <v>0</v>
      </c>
      <c r="E7" s="32">
        <v>0</v>
      </c>
      <c r="F7" s="32">
        <v>0</v>
      </c>
      <c r="G7" s="32">
        <v>0</v>
      </c>
      <c r="H7" s="32">
        <v>0</v>
      </c>
      <c r="I7" s="32">
        <v>0</v>
      </c>
      <c r="J7" s="32">
        <v>0</v>
      </c>
      <c r="K7" s="32">
        <v>0</v>
      </c>
      <c r="L7" s="32">
        <v>0</v>
      </c>
      <c r="M7" s="174"/>
      <c r="N7" s="3"/>
    </row>
    <row r="8" spans="1:14">
      <c r="A8" s="94" t="s">
        <v>101</v>
      </c>
      <c r="B8" s="32">
        <v>0</v>
      </c>
      <c r="C8" s="32">
        <v>0</v>
      </c>
      <c r="D8" s="32">
        <v>0</v>
      </c>
      <c r="E8" s="32">
        <v>0</v>
      </c>
      <c r="F8" s="32">
        <v>0</v>
      </c>
      <c r="G8" s="32">
        <v>0</v>
      </c>
      <c r="H8" s="32">
        <v>0</v>
      </c>
      <c r="I8" s="32">
        <v>0</v>
      </c>
      <c r="J8" s="32">
        <v>0</v>
      </c>
      <c r="K8" s="32">
        <v>0</v>
      </c>
      <c r="L8" s="32">
        <v>0</v>
      </c>
      <c r="M8" s="174"/>
      <c r="N8" s="3"/>
    </row>
    <row r="9" spans="1:14">
      <c r="A9" s="73" t="s">
        <v>83</v>
      </c>
      <c r="B9" s="32">
        <v>0</v>
      </c>
      <c r="C9" s="32">
        <v>0</v>
      </c>
      <c r="D9" s="32">
        <v>0</v>
      </c>
      <c r="E9" s="32">
        <v>0</v>
      </c>
      <c r="F9" s="32">
        <v>0</v>
      </c>
      <c r="G9" s="32">
        <v>0</v>
      </c>
      <c r="H9" s="32">
        <v>0</v>
      </c>
      <c r="I9" s="32">
        <v>0</v>
      </c>
      <c r="J9" s="32">
        <f>484+442942</f>
        <v>443426</v>
      </c>
      <c r="K9" s="32">
        <f>687879+0</f>
        <v>687879</v>
      </c>
      <c r="L9" s="32">
        <f>855+550197</f>
        <v>551052</v>
      </c>
      <c r="M9" s="174"/>
      <c r="N9" s="3"/>
    </row>
    <row r="10" spans="1:14" ht="16.5" thickBot="1">
      <c r="A10" s="39"/>
      <c r="B10" s="125">
        <v>0</v>
      </c>
      <c r="C10" s="125">
        <v>0</v>
      </c>
      <c r="D10" s="125">
        <v>0</v>
      </c>
      <c r="E10" s="125">
        <v>0</v>
      </c>
      <c r="F10" s="125">
        <v>0</v>
      </c>
      <c r="G10" s="125">
        <v>0</v>
      </c>
      <c r="H10" s="125">
        <v>0</v>
      </c>
      <c r="I10" s="125">
        <v>0</v>
      </c>
      <c r="J10" s="125">
        <v>0</v>
      </c>
      <c r="K10" s="125">
        <v>0</v>
      </c>
      <c r="L10" s="125">
        <v>0</v>
      </c>
      <c r="M10" s="195"/>
      <c r="N10" s="2"/>
    </row>
    <row r="11" spans="1:14">
      <c r="A11" s="95" t="s">
        <v>108</v>
      </c>
      <c r="B11" s="32">
        <f t="shared" ref="B11:K11" si="0">SUM(B6:B9)</f>
        <v>15281636</v>
      </c>
      <c r="C11" s="32">
        <f t="shared" si="0"/>
        <v>15707233</v>
      </c>
      <c r="D11" s="32">
        <f t="shared" si="0"/>
        <v>16496905</v>
      </c>
      <c r="E11" s="32">
        <f t="shared" si="0"/>
        <v>16174985</v>
      </c>
      <c r="F11" s="32">
        <f t="shared" si="0"/>
        <v>17097730</v>
      </c>
      <c r="G11" s="32">
        <f t="shared" si="0"/>
        <v>18444764</v>
      </c>
      <c r="H11" s="32">
        <f t="shared" si="0"/>
        <v>19758838</v>
      </c>
      <c r="I11" s="32">
        <f t="shared" si="0"/>
        <v>20829121</v>
      </c>
      <c r="J11" s="32">
        <f t="shared" si="0"/>
        <v>1508714</v>
      </c>
      <c r="K11" s="32">
        <f t="shared" si="0"/>
        <v>1633942</v>
      </c>
      <c r="L11" s="32">
        <f>SUM(L6:L9)</f>
        <v>1328520</v>
      </c>
      <c r="M11" s="195"/>
      <c r="N11" s="2"/>
    </row>
    <row r="12" spans="1:14">
      <c r="A12" s="2"/>
      <c r="B12" s="31"/>
      <c r="C12" s="31"/>
      <c r="D12" s="31"/>
      <c r="E12" s="31"/>
      <c r="F12" s="31"/>
      <c r="G12" s="31"/>
      <c r="H12" s="31"/>
      <c r="I12" s="31"/>
      <c r="J12" s="31"/>
      <c r="K12" s="31"/>
      <c r="L12" s="31"/>
      <c r="M12" s="195"/>
      <c r="N12" s="2"/>
    </row>
    <row r="13" spans="1:14" ht="18.75">
      <c r="A13" s="93"/>
      <c r="B13" s="1"/>
      <c r="C13" s="1"/>
      <c r="D13" s="1"/>
      <c r="E13" s="1"/>
      <c r="F13" s="1"/>
      <c r="G13" s="1"/>
      <c r="H13" s="1"/>
      <c r="I13" s="27"/>
      <c r="J13" s="1"/>
      <c r="K13" s="1"/>
      <c r="L13" s="1"/>
      <c r="M13" s="173"/>
      <c r="N13" s="1"/>
    </row>
    <row r="14" spans="1:14" ht="18.75">
      <c r="A14" s="93" t="s">
        <v>73</v>
      </c>
      <c r="B14" s="254">
        <v>2009</v>
      </c>
      <c r="C14" s="254">
        <v>2010</v>
      </c>
      <c r="D14" s="254">
        <v>2011</v>
      </c>
      <c r="E14" s="254">
        <v>2012</v>
      </c>
      <c r="F14" s="254">
        <v>2013</v>
      </c>
      <c r="G14" s="254">
        <v>2014</v>
      </c>
      <c r="H14" s="254">
        <v>2015</v>
      </c>
      <c r="I14" s="254">
        <v>2016</v>
      </c>
      <c r="J14" s="254">
        <v>2017</v>
      </c>
      <c r="K14" s="254">
        <v>2018</v>
      </c>
      <c r="L14" s="254">
        <v>2019</v>
      </c>
      <c r="M14" s="173"/>
      <c r="N14" s="1"/>
    </row>
    <row r="15" spans="1:14">
      <c r="A15" s="10" t="s">
        <v>100</v>
      </c>
      <c r="B15" s="3">
        <v>15281636</v>
      </c>
      <c r="C15" s="3">
        <v>15707233</v>
      </c>
      <c r="D15" s="3">
        <v>16496905</v>
      </c>
      <c r="E15" s="3">
        <v>16174985</v>
      </c>
      <c r="F15" s="3">
        <v>17097730</v>
      </c>
      <c r="G15" s="3">
        <v>18444764</v>
      </c>
      <c r="H15" s="3">
        <v>19758838</v>
      </c>
      <c r="I15" s="3">
        <v>20829121</v>
      </c>
      <c r="J15" s="3">
        <v>24480952</v>
      </c>
      <c r="K15" s="3">
        <v>26765644</v>
      </c>
      <c r="L15" s="3">
        <v>24457482</v>
      </c>
      <c r="M15" s="173"/>
      <c r="N15" s="1"/>
    </row>
    <row r="16" spans="1:14">
      <c r="A16" s="96" t="s">
        <v>93</v>
      </c>
      <c r="B16" s="3">
        <v>0</v>
      </c>
      <c r="C16" s="3">
        <v>0</v>
      </c>
      <c r="D16" s="3">
        <v>0</v>
      </c>
      <c r="E16" s="3">
        <v>0</v>
      </c>
      <c r="F16" s="3">
        <v>0</v>
      </c>
      <c r="G16" s="3">
        <v>0</v>
      </c>
      <c r="H16" s="3">
        <v>0</v>
      </c>
      <c r="I16" s="3">
        <v>0</v>
      </c>
      <c r="J16" s="3"/>
      <c r="K16" s="3">
        <v>0</v>
      </c>
      <c r="L16" s="3">
        <v>0</v>
      </c>
      <c r="M16" s="173"/>
      <c r="N16" s="1"/>
    </row>
    <row r="17" spans="1:22">
      <c r="A17" s="94" t="s">
        <v>101</v>
      </c>
      <c r="B17" s="3">
        <v>0</v>
      </c>
      <c r="C17" s="3">
        <v>0</v>
      </c>
      <c r="D17" s="3">
        <v>0</v>
      </c>
      <c r="E17" s="3">
        <v>0</v>
      </c>
      <c r="F17" s="3">
        <v>0</v>
      </c>
      <c r="G17" s="3">
        <v>0</v>
      </c>
      <c r="H17" s="3">
        <v>0</v>
      </c>
      <c r="I17" s="3">
        <v>0</v>
      </c>
      <c r="J17" s="3">
        <v>0</v>
      </c>
      <c r="K17" s="3">
        <v>0</v>
      </c>
      <c r="L17" s="3">
        <v>0</v>
      </c>
      <c r="M17" s="173"/>
      <c r="N17" s="1"/>
    </row>
    <row r="18" spans="1:22">
      <c r="A18" s="73" t="s">
        <v>83</v>
      </c>
      <c r="B18" s="1">
        <v>0</v>
      </c>
      <c r="C18" s="1">
        <v>0</v>
      </c>
      <c r="D18" s="1">
        <v>0</v>
      </c>
      <c r="E18" s="1">
        <v>0</v>
      </c>
      <c r="F18" s="1">
        <v>0</v>
      </c>
      <c r="G18" s="1">
        <v>0</v>
      </c>
      <c r="H18" s="1">
        <v>0</v>
      </c>
      <c r="I18" s="1">
        <v>0</v>
      </c>
      <c r="J18" s="1"/>
      <c r="K18" s="1"/>
      <c r="L18" s="1">
        <v>0</v>
      </c>
      <c r="M18" s="173"/>
      <c r="N18" s="1"/>
    </row>
    <row r="19" spans="1:22" ht="16.5" thickBot="1">
      <c r="A19" s="153" t="s">
        <v>157</v>
      </c>
      <c r="B19" s="69"/>
      <c r="C19" s="69"/>
      <c r="D19" s="69"/>
      <c r="E19" s="69"/>
      <c r="F19" s="69"/>
      <c r="G19" s="69"/>
      <c r="H19" s="69"/>
      <c r="I19" s="69"/>
      <c r="J19" s="69"/>
      <c r="K19" s="69"/>
      <c r="L19" s="69"/>
      <c r="M19" s="173"/>
      <c r="N19" s="1"/>
    </row>
    <row r="20" spans="1:22">
      <c r="A20" s="95" t="s">
        <v>119</v>
      </c>
      <c r="B20" s="1">
        <f t="shared" ref="B20:L20" si="1">SUM(B15:B18)</f>
        <v>15281636</v>
      </c>
      <c r="C20" s="1">
        <f t="shared" si="1"/>
        <v>15707233</v>
      </c>
      <c r="D20" s="1">
        <f t="shared" si="1"/>
        <v>16496905</v>
      </c>
      <c r="E20" s="1">
        <f t="shared" si="1"/>
        <v>16174985</v>
      </c>
      <c r="F20" s="1">
        <f t="shared" si="1"/>
        <v>17097730</v>
      </c>
      <c r="G20" s="1">
        <f t="shared" si="1"/>
        <v>18444764</v>
      </c>
      <c r="H20" s="1">
        <f t="shared" si="1"/>
        <v>19758838</v>
      </c>
      <c r="I20" s="1">
        <f t="shared" si="1"/>
        <v>20829121</v>
      </c>
      <c r="J20" s="1">
        <f t="shared" si="1"/>
        <v>24480952</v>
      </c>
      <c r="K20" s="1">
        <f t="shared" si="1"/>
        <v>26765644</v>
      </c>
      <c r="L20" s="1">
        <f t="shared" si="1"/>
        <v>24457482</v>
      </c>
      <c r="M20" s="173"/>
      <c r="N20" s="1"/>
      <c r="V20" s="250"/>
    </row>
    <row r="21" spans="1:22" ht="18.75">
      <c r="A21" s="223"/>
      <c r="B21" s="173"/>
      <c r="C21" s="173"/>
      <c r="D21" s="173"/>
      <c r="E21" s="173"/>
      <c r="F21" s="173"/>
      <c r="G21" s="173"/>
      <c r="H21" s="173"/>
      <c r="I21" s="173"/>
      <c r="J21" s="173"/>
      <c r="K21" s="173"/>
      <c r="L21" s="173"/>
      <c r="M21" s="173"/>
      <c r="N21" s="1"/>
    </row>
    <row r="22" spans="1:22" ht="18.75">
      <c r="A22" s="93"/>
      <c r="B22" s="1"/>
      <c r="C22" s="1"/>
      <c r="D22" s="1"/>
      <c r="E22" s="1"/>
      <c r="F22" s="1"/>
      <c r="G22" s="1"/>
      <c r="H22" s="1"/>
      <c r="I22" s="27"/>
      <c r="J22" s="1"/>
      <c r="K22" s="1"/>
      <c r="L22" s="1"/>
      <c r="M22" s="173"/>
      <c r="N22" s="1"/>
    </row>
    <row r="23" spans="1:22" ht="18.75" customHeight="1">
      <c r="A23" s="93"/>
      <c r="B23" s="1"/>
      <c r="C23" s="1"/>
      <c r="D23" s="1"/>
      <c r="E23" s="1"/>
      <c r="F23" s="1"/>
      <c r="G23" s="1"/>
      <c r="H23" s="1"/>
      <c r="I23" s="27"/>
      <c r="J23" s="1"/>
      <c r="K23" s="1"/>
      <c r="L23" s="1"/>
      <c r="M23" s="173"/>
      <c r="N23" s="1"/>
    </row>
    <row r="24" spans="1:22">
      <c r="M24" s="173"/>
      <c r="N24" s="1"/>
    </row>
    <row r="25" spans="1:22">
      <c r="B25" s="254">
        <v>2009</v>
      </c>
      <c r="C25" s="254">
        <v>2010</v>
      </c>
      <c r="D25" s="254">
        <v>2011</v>
      </c>
      <c r="E25" s="254">
        <v>2012</v>
      </c>
      <c r="F25" s="254">
        <v>2013</v>
      </c>
      <c r="G25" s="254">
        <v>2014</v>
      </c>
      <c r="H25" s="254">
        <v>2015</v>
      </c>
      <c r="I25" s="254">
        <v>2016</v>
      </c>
      <c r="J25" s="254">
        <v>2017</v>
      </c>
      <c r="K25" s="254">
        <v>2018</v>
      </c>
      <c r="L25" s="254">
        <v>2019</v>
      </c>
      <c r="M25" s="173"/>
      <c r="N25" s="1"/>
    </row>
    <row r="26" spans="1:22">
      <c r="A26" s="2" t="s">
        <v>203</v>
      </c>
      <c r="B26" s="8">
        <f t="shared" ref="B26:L26" si="2">+B6/B27</f>
        <v>241.94351033849466</v>
      </c>
      <c r="C26" s="8">
        <f t="shared" si="2"/>
        <v>231.8684567919459</v>
      </c>
      <c r="D26" s="8">
        <f t="shared" si="2"/>
        <v>239.91659516295576</v>
      </c>
      <c r="E26" s="8">
        <f t="shared" si="2"/>
        <v>233.26725890887064</v>
      </c>
      <c r="F26" s="8">
        <f t="shared" si="2"/>
        <v>242.96902088958362</v>
      </c>
      <c r="G26" s="8">
        <f t="shared" si="2"/>
        <v>259.68665437087304</v>
      </c>
      <c r="H26" s="8">
        <f t="shared" si="2"/>
        <v>269.12064832470719</v>
      </c>
      <c r="I26" s="8">
        <f t="shared" si="2"/>
        <v>280.01775895677895</v>
      </c>
      <c r="J26" s="8">
        <f t="shared" si="2"/>
        <v>14.046518987341772</v>
      </c>
      <c r="K26" s="8">
        <f t="shared" si="2"/>
        <v>12.244868111102482</v>
      </c>
      <c r="L26" s="8">
        <f t="shared" si="2"/>
        <v>9.8438592048619906</v>
      </c>
      <c r="M26" s="173"/>
      <c r="N26" s="1"/>
    </row>
    <row r="27" spans="1:22">
      <c r="A27" s="353" t="s">
        <v>21</v>
      </c>
      <c r="B27" s="12">
        <f>Stats!D4</f>
        <v>63162</v>
      </c>
      <c r="C27" s="12">
        <f>Stats!E4</f>
        <v>67742</v>
      </c>
      <c r="D27" s="12">
        <f>Stats!F4</f>
        <v>68761</v>
      </c>
      <c r="E27" s="12">
        <f>Stats!G4</f>
        <v>69341</v>
      </c>
      <c r="F27" s="12">
        <f>Stats!H4</f>
        <v>70370</v>
      </c>
      <c r="G27" s="12">
        <f>Stats!I4</f>
        <v>71027</v>
      </c>
      <c r="H27" s="12">
        <f>Stats!J4</f>
        <v>73420</v>
      </c>
      <c r="I27" s="12">
        <f>Stats!K4</f>
        <v>74385</v>
      </c>
      <c r="J27" s="12">
        <f>Stats!L4</f>
        <v>75840</v>
      </c>
      <c r="K27" s="12">
        <f>Stats!M4</f>
        <v>77262</v>
      </c>
      <c r="L27" s="12">
        <f>Stats!N4</f>
        <v>78980</v>
      </c>
      <c r="M27" s="173"/>
      <c r="N27" s="1"/>
    </row>
    <row r="28" spans="1:22">
      <c r="M28" s="173"/>
      <c r="N28" s="1"/>
    </row>
    <row r="29" spans="1:22">
      <c r="A29" s="253" t="s">
        <v>159</v>
      </c>
      <c r="B29" s="1">
        <f t="shared" ref="B29:L29" si="3">+B15/B30</f>
        <v>112364.9705882353</v>
      </c>
      <c r="C29" s="1">
        <f t="shared" si="3"/>
        <v>117218.15671641791</v>
      </c>
      <c r="D29" s="1">
        <f t="shared" si="3"/>
        <v>123111.23134328358</v>
      </c>
      <c r="E29" s="1">
        <f t="shared" si="3"/>
        <v>120934.46728971963</v>
      </c>
      <c r="F29" s="1">
        <f t="shared" si="3"/>
        <v>127120.66914498141</v>
      </c>
      <c r="G29" s="1">
        <f t="shared" si="3"/>
        <v>131748.3142857143</v>
      </c>
      <c r="H29" s="1">
        <f t="shared" si="3"/>
        <v>135334.50684931508</v>
      </c>
      <c r="I29" s="1">
        <f t="shared" si="3"/>
        <v>135254.03246753247</v>
      </c>
      <c r="J29" s="1">
        <f t="shared" si="3"/>
        <v>154453.95583596214</v>
      </c>
      <c r="K29" s="1">
        <f t="shared" si="3"/>
        <v>162709.0820668693</v>
      </c>
      <c r="L29" s="1">
        <f t="shared" si="3"/>
        <v>148677.70212765958</v>
      </c>
      <c r="M29" s="173"/>
      <c r="N29" s="1"/>
    </row>
    <row r="30" spans="1:22">
      <c r="A30" s="353" t="s">
        <v>64</v>
      </c>
      <c r="B30" s="34">
        <f>+B40</f>
        <v>136</v>
      </c>
      <c r="C30" s="34">
        <f t="shared" ref="C30:L30" si="4">+C40</f>
        <v>134</v>
      </c>
      <c r="D30" s="34">
        <f t="shared" si="4"/>
        <v>134</v>
      </c>
      <c r="E30" s="34">
        <f t="shared" si="4"/>
        <v>133.75</v>
      </c>
      <c r="F30" s="34">
        <f t="shared" si="4"/>
        <v>134.5</v>
      </c>
      <c r="G30" s="34">
        <f t="shared" si="4"/>
        <v>140</v>
      </c>
      <c r="H30" s="34">
        <f t="shared" si="4"/>
        <v>146</v>
      </c>
      <c r="I30" s="34">
        <f t="shared" si="4"/>
        <v>154</v>
      </c>
      <c r="J30" s="34">
        <f t="shared" si="4"/>
        <v>158.5</v>
      </c>
      <c r="K30" s="34">
        <f t="shared" si="4"/>
        <v>164.5</v>
      </c>
      <c r="L30" s="34">
        <f t="shared" si="4"/>
        <v>164.5</v>
      </c>
      <c r="M30" s="173"/>
      <c r="N30" s="1"/>
    </row>
    <row r="31" spans="1:22">
      <c r="M31" s="173"/>
      <c r="N31" s="1"/>
    </row>
    <row r="32" spans="1:22">
      <c r="A32" s="190"/>
      <c r="B32" s="190"/>
      <c r="C32" s="190"/>
      <c r="D32" s="190"/>
      <c r="E32" s="190"/>
      <c r="F32" s="190"/>
      <c r="G32" s="190"/>
      <c r="H32" s="190"/>
      <c r="I32" s="190"/>
      <c r="J32" s="190"/>
      <c r="K32" s="190"/>
      <c r="L32" s="190"/>
      <c r="M32" s="173"/>
      <c r="N32" s="1"/>
    </row>
    <row r="33" spans="1:14">
      <c r="A33" s="190"/>
      <c r="B33" s="190"/>
      <c r="C33" s="190"/>
      <c r="D33" s="190"/>
      <c r="E33" s="190"/>
      <c r="F33" s="190"/>
      <c r="G33" s="190"/>
      <c r="H33" s="190"/>
      <c r="I33" s="190"/>
      <c r="J33" s="190"/>
      <c r="K33" s="190"/>
      <c r="L33" s="190"/>
      <c r="M33" s="173"/>
      <c r="N33" s="1"/>
    </row>
    <row r="34" spans="1:14">
      <c r="A34" s="366"/>
      <c r="B34" s="117"/>
      <c r="C34" s="117"/>
      <c r="D34" s="117"/>
      <c r="E34" s="117"/>
      <c r="F34" s="117"/>
      <c r="G34" s="117"/>
      <c r="H34" s="117"/>
      <c r="I34" s="117"/>
      <c r="J34" s="117"/>
      <c r="K34" s="117"/>
      <c r="L34" s="117"/>
      <c r="M34" s="173"/>
      <c r="N34" s="1"/>
    </row>
    <row r="35" spans="1:14">
      <c r="A35" s="9" t="s">
        <v>63</v>
      </c>
      <c r="B35" s="15"/>
      <c r="C35" s="15"/>
      <c r="D35" s="15"/>
      <c r="E35" s="15"/>
      <c r="F35" s="15"/>
      <c r="G35" s="15"/>
      <c r="H35" s="15"/>
      <c r="I35" s="15"/>
      <c r="J35" s="15">
        <v>158.5</v>
      </c>
      <c r="K35" s="15">
        <v>164.5</v>
      </c>
      <c r="L35" s="15">
        <v>164.5</v>
      </c>
      <c r="M35" s="173"/>
      <c r="N35" s="1"/>
    </row>
    <row r="36" spans="1:14">
      <c r="A36" s="353" t="s">
        <v>13</v>
      </c>
      <c r="B36" s="22">
        <v>6</v>
      </c>
      <c r="C36" s="22">
        <v>5</v>
      </c>
      <c r="D36" s="22">
        <v>5</v>
      </c>
      <c r="E36" s="22">
        <v>5</v>
      </c>
      <c r="F36" s="22">
        <v>5</v>
      </c>
      <c r="G36" s="22">
        <v>5</v>
      </c>
      <c r="H36" s="452">
        <v>7</v>
      </c>
      <c r="I36" s="451">
        <v>7</v>
      </c>
      <c r="J36" s="15">
        <v>8</v>
      </c>
      <c r="K36" s="15">
        <v>8</v>
      </c>
      <c r="L36" s="15">
        <v>8</v>
      </c>
      <c r="M36" s="173"/>
      <c r="N36" s="1"/>
    </row>
    <row r="37" spans="1:14">
      <c r="A37" s="353" t="s">
        <v>248</v>
      </c>
      <c r="B37" s="22">
        <v>33</v>
      </c>
      <c r="C37" s="22">
        <v>31</v>
      </c>
      <c r="D37" s="22">
        <v>31</v>
      </c>
      <c r="E37" s="22">
        <v>31</v>
      </c>
      <c r="F37" s="22">
        <v>31</v>
      </c>
      <c r="G37" s="22">
        <v>33</v>
      </c>
      <c r="H37" s="452">
        <v>34</v>
      </c>
      <c r="I37" s="451">
        <v>35</v>
      </c>
      <c r="J37" s="15">
        <v>36</v>
      </c>
      <c r="K37" s="15">
        <v>36</v>
      </c>
      <c r="L37" s="15">
        <v>36</v>
      </c>
      <c r="M37" s="173"/>
      <c r="N37" s="1"/>
    </row>
    <row r="38" spans="1:14">
      <c r="A38" s="353" t="s">
        <v>249</v>
      </c>
      <c r="B38" s="22">
        <v>72</v>
      </c>
      <c r="C38" s="22">
        <v>71</v>
      </c>
      <c r="D38" s="22">
        <v>69</v>
      </c>
      <c r="E38" s="22">
        <v>69</v>
      </c>
      <c r="F38" s="22">
        <v>71</v>
      </c>
      <c r="G38" s="22">
        <v>73</v>
      </c>
      <c r="H38" s="452">
        <v>75</v>
      </c>
      <c r="I38" s="451">
        <v>79</v>
      </c>
      <c r="J38" s="15">
        <v>79</v>
      </c>
      <c r="K38" s="15">
        <v>84</v>
      </c>
      <c r="L38" s="15">
        <v>84</v>
      </c>
      <c r="M38" s="173"/>
      <c r="N38" s="1"/>
    </row>
    <row r="39" spans="1:14" ht="16.5" thickBot="1">
      <c r="A39" s="353" t="s">
        <v>250</v>
      </c>
      <c r="B39" s="35">
        <v>25</v>
      </c>
      <c r="C39" s="35">
        <v>27</v>
      </c>
      <c r="D39" s="35">
        <v>29</v>
      </c>
      <c r="E39" s="35">
        <v>28.75</v>
      </c>
      <c r="F39" s="35">
        <v>27.5</v>
      </c>
      <c r="G39" s="35">
        <v>29</v>
      </c>
      <c r="H39" s="462">
        <v>30</v>
      </c>
      <c r="I39" s="463">
        <v>33</v>
      </c>
      <c r="J39" s="464">
        <v>35.5</v>
      </c>
      <c r="K39" s="464">
        <v>36.5</v>
      </c>
      <c r="L39" s="464">
        <v>36.5</v>
      </c>
    </row>
    <row r="40" spans="1:14">
      <c r="A40" s="17" t="s">
        <v>64</v>
      </c>
      <c r="B40" s="34">
        <f t="shared" ref="B40:H40" si="5">SUM(B36:B39)</f>
        <v>136</v>
      </c>
      <c r="C40" s="34">
        <f t="shared" si="5"/>
        <v>134</v>
      </c>
      <c r="D40" s="34">
        <f t="shared" si="5"/>
        <v>134</v>
      </c>
      <c r="E40" s="34">
        <f t="shared" si="5"/>
        <v>133.75</v>
      </c>
      <c r="F40" s="34">
        <f t="shared" si="5"/>
        <v>134.5</v>
      </c>
      <c r="G40" s="34">
        <f t="shared" si="5"/>
        <v>140</v>
      </c>
      <c r="H40" s="34">
        <f t="shared" si="5"/>
        <v>146</v>
      </c>
      <c r="I40" s="54">
        <f>SUM(I36:I39)</f>
        <v>154</v>
      </c>
      <c r="J40" s="34">
        <f>SUM(J36:J39)</f>
        <v>158.5</v>
      </c>
      <c r="K40" s="34">
        <f>SUM(K36:K39)</f>
        <v>164.5</v>
      </c>
      <c r="L40" s="34">
        <f>SUM(L36:L39)</f>
        <v>164.5</v>
      </c>
      <c r="M40" s="173"/>
      <c r="N40" s="1"/>
    </row>
    <row r="41" spans="1:14">
      <c r="A41" s="242"/>
      <c r="B41" s="117"/>
      <c r="C41" s="339"/>
      <c r="D41" s="339"/>
      <c r="E41" s="339"/>
      <c r="F41" s="339"/>
      <c r="G41" s="339"/>
      <c r="H41" s="339"/>
      <c r="I41" s="339"/>
      <c r="J41" s="339"/>
      <c r="K41" s="339"/>
      <c r="L41" s="339"/>
      <c r="M41" s="173"/>
      <c r="N41" s="1"/>
    </row>
    <row r="42" spans="1:14">
      <c r="A42" s="211"/>
      <c r="B42" s="117"/>
      <c r="C42" s="117"/>
      <c r="D42" s="117"/>
      <c r="E42" s="117"/>
      <c r="F42" s="117"/>
      <c r="G42" s="117"/>
      <c r="H42" s="117"/>
      <c r="I42" s="117"/>
      <c r="J42" s="117"/>
      <c r="K42" s="117"/>
      <c r="L42" s="339"/>
      <c r="M42" s="173"/>
      <c r="N42" s="1"/>
    </row>
    <row r="43" spans="1:14">
      <c r="A43" s="211"/>
      <c r="B43" s="117"/>
      <c r="C43" s="117"/>
      <c r="D43" s="117"/>
      <c r="E43" s="117"/>
      <c r="F43" s="117"/>
      <c r="G43" s="117"/>
      <c r="H43" s="117"/>
      <c r="I43" s="117"/>
      <c r="J43" s="117"/>
      <c r="K43" s="117"/>
      <c r="L43" s="339"/>
      <c r="M43" s="173"/>
      <c r="N43" s="1"/>
    </row>
    <row r="44" spans="1:14">
      <c r="A44" s="163"/>
      <c r="B44" s="373"/>
      <c r="C44" s="373"/>
      <c r="D44" s="373"/>
      <c r="E44" s="373"/>
      <c r="F44" s="373"/>
      <c r="G44" s="373"/>
      <c r="H44" s="373"/>
      <c r="I44" s="373"/>
      <c r="J44" s="373"/>
      <c r="K44" s="373"/>
      <c r="L44" s="373"/>
      <c r="M44" s="173"/>
      <c r="N44" s="1"/>
    </row>
    <row r="45" spans="1:14">
      <c r="A45" s="356"/>
      <c r="B45" s="117"/>
      <c r="C45" s="117"/>
      <c r="D45" s="117"/>
      <c r="E45" s="117"/>
      <c r="F45" s="117"/>
      <c r="G45" s="117"/>
      <c r="H45" s="117"/>
      <c r="I45" s="117"/>
      <c r="J45" s="117"/>
      <c r="K45" s="117"/>
      <c r="L45" s="117"/>
      <c r="M45" s="173"/>
      <c r="N45" s="1"/>
    </row>
    <row r="46" spans="1:14" s="17" customFormat="1">
      <c r="A46" s="356"/>
      <c r="B46" s="117"/>
      <c r="C46" s="117"/>
      <c r="D46" s="117"/>
      <c r="E46" s="117"/>
      <c r="F46" s="117"/>
      <c r="G46" s="117"/>
      <c r="H46" s="117"/>
      <c r="I46" s="117"/>
      <c r="J46" s="117"/>
      <c r="K46" s="117"/>
      <c r="L46" s="117"/>
      <c r="M46" s="197"/>
      <c r="N46" s="33"/>
    </row>
    <row r="47" spans="1:14">
      <c r="A47" s="163"/>
      <c r="B47" s="117"/>
      <c r="C47" s="117"/>
      <c r="D47" s="117"/>
      <c r="E47" s="117"/>
      <c r="F47" s="117"/>
      <c r="G47" s="117"/>
      <c r="H47" s="117"/>
      <c r="I47" s="117"/>
      <c r="J47" s="117"/>
      <c r="K47" s="117"/>
      <c r="L47" s="117"/>
      <c r="M47" s="173"/>
      <c r="N47" s="1"/>
    </row>
    <row r="48" spans="1:14">
      <c r="A48" s="163"/>
      <c r="B48" s="163"/>
      <c r="C48" s="163"/>
      <c r="D48" s="163"/>
      <c r="E48" s="163"/>
      <c r="F48" s="163"/>
      <c r="G48" s="163"/>
      <c r="H48" s="163"/>
      <c r="I48" s="163"/>
      <c r="J48" s="163"/>
      <c r="K48" s="163"/>
      <c r="L48" s="163"/>
      <c r="M48" s="173"/>
      <c r="N48" s="1"/>
    </row>
    <row r="49" spans="1:14">
      <c r="A49" s="163"/>
      <c r="B49" s="163"/>
      <c r="C49" s="163"/>
      <c r="D49" s="163"/>
      <c r="E49" s="163"/>
      <c r="F49" s="163"/>
      <c r="G49" s="163"/>
      <c r="H49" s="163"/>
      <c r="I49" s="163"/>
      <c r="J49" s="163"/>
      <c r="K49" s="163"/>
      <c r="L49" s="163"/>
      <c r="M49" s="173"/>
      <c r="N49" s="1"/>
    </row>
    <row r="50" spans="1:14">
      <c r="A50" s="357"/>
      <c r="B50" s="117"/>
      <c r="C50" s="117"/>
      <c r="D50" s="117"/>
      <c r="E50" s="117"/>
      <c r="F50" s="117"/>
      <c r="G50" s="117"/>
      <c r="H50" s="117"/>
      <c r="I50" s="117"/>
      <c r="J50" s="117"/>
      <c r="K50" s="117"/>
      <c r="L50" s="117"/>
      <c r="M50" s="173"/>
      <c r="N50" s="1"/>
    </row>
    <row r="51" spans="1:14">
      <c r="A51" s="357"/>
      <c r="B51" s="358"/>
      <c r="C51" s="358"/>
      <c r="D51" s="358"/>
      <c r="E51" s="358"/>
      <c r="F51" s="358"/>
      <c r="G51" s="358"/>
      <c r="H51" s="358"/>
      <c r="I51" s="358"/>
      <c r="J51" s="358"/>
      <c r="K51" s="358"/>
      <c r="L51" s="358"/>
      <c r="M51" s="173"/>
      <c r="N51" s="1"/>
    </row>
    <row r="52" spans="1:14">
      <c r="A52" s="242"/>
      <c r="B52" s="360"/>
      <c r="C52" s="360"/>
      <c r="D52" s="360"/>
      <c r="E52" s="360"/>
      <c r="F52" s="360"/>
      <c r="G52" s="360"/>
      <c r="H52" s="358"/>
      <c r="I52" s="397"/>
      <c r="J52" s="358"/>
      <c r="K52" s="358"/>
      <c r="L52" s="358"/>
      <c r="M52" s="173"/>
      <c r="N52" s="1"/>
    </row>
    <row r="53" spans="1:14">
      <c r="A53" s="242"/>
      <c r="B53" s="360"/>
      <c r="C53" s="360"/>
      <c r="D53" s="360"/>
      <c r="E53" s="360"/>
      <c r="F53" s="360"/>
      <c r="G53" s="360"/>
      <c r="H53" s="358"/>
      <c r="I53" s="397"/>
      <c r="J53" s="358"/>
      <c r="K53" s="358"/>
      <c r="L53" s="358"/>
      <c r="M53" s="173"/>
      <c r="N53" s="1"/>
    </row>
    <row r="54" spans="1:14">
      <c r="A54" s="242"/>
      <c r="B54" s="360"/>
      <c r="C54" s="360"/>
      <c r="D54" s="360"/>
      <c r="E54" s="360"/>
      <c r="F54" s="360"/>
      <c r="G54" s="360"/>
      <c r="H54" s="358"/>
      <c r="I54" s="397"/>
      <c r="J54" s="358"/>
      <c r="K54" s="358"/>
      <c r="L54" s="358"/>
      <c r="M54" s="173"/>
      <c r="N54" s="1"/>
    </row>
    <row r="55" spans="1:14">
      <c r="A55" s="242"/>
      <c r="B55" s="360"/>
      <c r="C55" s="360"/>
      <c r="D55" s="360"/>
      <c r="E55" s="360"/>
      <c r="F55" s="360"/>
      <c r="G55" s="360"/>
      <c r="H55" s="358"/>
      <c r="I55" s="397"/>
      <c r="J55" s="358"/>
      <c r="K55" s="358"/>
      <c r="L55" s="358"/>
      <c r="M55" s="173"/>
      <c r="N55" s="1"/>
    </row>
    <row r="56" spans="1:14">
      <c r="A56" s="163"/>
      <c r="B56" s="163"/>
      <c r="C56" s="163"/>
      <c r="D56" s="163"/>
      <c r="E56" s="163"/>
      <c r="F56" s="163"/>
      <c r="G56" s="163"/>
      <c r="H56" s="163"/>
      <c r="I56" s="163"/>
      <c r="J56" s="163"/>
      <c r="K56" s="163"/>
      <c r="L56" s="163"/>
      <c r="M56" s="173"/>
      <c r="N56" s="1"/>
    </row>
    <row r="57" spans="1:14">
      <c r="A57" s="242"/>
      <c r="B57" s="358"/>
      <c r="C57" s="237"/>
      <c r="D57" s="237"/>
      <c r="E57" s="237"/>
      <c r="F57" s="237"/>
      <c r="G57" s="237"/>
      <c r="H57" s="237"/>
      <c r="I57" s="237"/>
      <c r="J57" s="237"/>
      <c r="K57" s="237"/>
      <c r="L57" s="237"/>
      <c r="M57" s="173"/>
      <c r="N57" s="1"/>
    </row>
    <row r="58" spans="1:14">
      <c r="A58" s="242"/>
      <c r="B58" s="358"/>
      <c r="C58" s="237"/>
      <c r="D58" s="237"/>
      <c r="E58" s="237"/>
      <c r="F58" s="237"/>
      <c r="G58" s="237"/>
      <c r="H58" s="237"/>
      <c r="I58" s="237"/>
      <c r="J58" s="237"/>
      <c r="K58" s="237"/>
      <c r="L58" s="237"/>
      <c r="M58" s="173"/>
      <c r="N58" s="1"/>
    </row>
    <row r="59" spans="1:14">
      <c r="A59" s="356"/>
      <c r="B59" s="145"/>
      <c r="C59" s="145"/>
      <c r="D59" s="145"/>
      <c r="E59" s="145"/>
      <c r="F59" s="145"/>
      <c r="G59" s="145"/>
      <c r="H59" s="145"/>
      <c r="I59" s="145"/>
      <c r="J59" s="145"/>
      <c r="K59" s="145"/>
      <c r="L59" s="145"/>
      <c r="M59" s="173"/>
      <c r="N59" s="1"/>
    </row>
    <row r="60" spans="1:14">
      <c r="A60" s="356"/>
      <c r="B60" s="165"/>
      <c r="C60" s="165"/>
      <c r="D60" s="165"/>
      <c r="E60" s="165"/>
      <c r="F60" s="165"/>
      <c r="G60" s="165"/>
      <c r="H60" s="165"/>
      <c r="I60" s="165"/>
      <c r="J60" s="165"/>
      <c r="K60" s="165"/>
      <c r="L60" s="165"/>
      <c r="M60" s="173"/>
      <c r="N60" s="1"/>
    </row>
    <row r="61" spans="1:14">
      <c r="A61" s="371"/>
      <c r="B61" s="144"/>
      <c r="C61" s="144"/>
      <c r="D61" s="144"/>
      <c r="E61" s="144"/>
      <c r="F61" s="144"/>
      <c r="G61" s="144"/>
      <c r="H61" s="144"/>
      <c r="I61" s="144"/>
      <c r="J61" s="144"/>
      <c r="K61" s="144"/>
      <c r="L61" s="144"/>
      <c r="M61" s="173"/>
      <c r="N61" s="1"/>
    </row>
    <row r="62" spans="1:14">
      <c r="A62" s="242"/>
      <c r="B62" s="358"/>
      <c r="C62" s="237"/>
      <c r="D62" s="237"/>
      <c r="E62" s="237"/>
      <c r="F62" s="237"/>
      <c r="G62" s="237"/>
      <c r="H62" s="237"/>
      <c r="I62" s="237"/>
      <c r="J62" s="237"/>
      <c r="K62" s="237"/>
      <c r="L62" s="237"/>
      <c r="M62" s="173"/>
      <c r="N62" s="1"/>
    </row>
    <row r="63" spans="1:14">
      <c r="A63" s="242"/>
      <c r="B63" s="358"/>
      <c r="C63" s="237"/>
      <c r="D63" s="237"/>
      <c r="E63" s="237"/>
      <c r="F63" s="237"/>
      <c r="G63" s="237"/>
      <c r="H63" s="237"/>
      <c r="I63" s="237"/>
      <c r="J63" s="237"/>
      <c r="K63" s="237"/>
      <c r="L63" s="237"/>
      <c r="M63" s="173"/>
      <c r="N63" s="1"/>
    </row>
    <row r="64" spans="1:14">
      <c r="A64" s="242"/>
      <c r="B64" s="358"/>
      <c r="C64" s="237"/>
      <c r="D64" s="237"/>
      <c r="E64" s="237"/>
      <c r="F64" s="237"/>
      <c r="G64" s="237"/>
      <c r="H64" s="237"/>
      <c r="I64" s="237"/>
      <c r="J64" s="237"/>
      <c r="K64" s="237"/>
      <c r="L64" s="237"/>
      <c r="M64" s="173"/>
      <c r="N64" s="1"/>
    </row>
    <row r="65" spans="1:14">
      <c r="A65" s="163"/>
      <c r="B65" s="117"/>
      <c r="C65" s="117"/>
      <c r="D65" s="117"/>
      <c r="E65" s="117"/>
      <c r="F65" s="117"/>
      <c r="G65" s="117"/>
      <c r="H65" s="117"/>
      <c r="I65" s="117"/>
      <c r="J65" s="117"/>
      <c r="K65" s="117"/>
      <c r="L65" s="117"/>
      <c r="M65" s="27"/>
      <c r="N65" s="1"/>
    </row>
    <row r="66" spans="1:14" ht="18.75">
      <c r="A66" s="364"/>
      <c r="B66" s="373"/>
      <c r="C66" s="373"/>
      <c r="D66" s="373"/>
      <c r="E66" s="373"/>
      <c r="F66" s="373"/>
      <c r="G66" s="373"/>
      <c r="H66" s="373"/>
      <c r="I66" s="373"/>
      <c r="J66" s="373"/>
      <c r="K66" s="373"/>
      <c r="L66" s="373"/>
      <c r="M66" s="27"/>
      <c r="N66" s="1"/>
    </row>
    <row r="67" spans="1:14">
      <c r="A67" s="165"/>
      <c r="B67" s="365"/>
      <c r="C67" s="365"/>
      <c r="D67" s="365"/>
      <c r="E67" s="365"/>
      <c r="F67" s="365"/>
      <c r="G67" s="365"/>
      <c r="H67" s="365"/>
      <c r="I67" s="365"/>
      <c r="J67" s="365"/>
      <c r="K67" s="365"/>
      <c r="L67" s="365"/>
      <c r="M67" s="27"/>
      <c r="N67" s="1"/>
    </row>
    <row r="68" spans="1:14">
      <c r="A68" s="163"/>
      <c r="B68" s="117"/>
      <c r="C68" s="117"/>
      <c r="D68" s="117"/>
      <c r="E68" s="117"/>
      <c r="F68" s="117"/>
      <c r="G68" s="117"/>
      <c r="H68" s="117"/>
      <c r="I68" s="117"/>
      <c r="J68" s="117"/>
      <c r="K68" s="117"/>
      <c r="L68" s="117"/>
      <c r="M68" s="27"/>
      <c r="N68" s="1"/>
    </row>
    <row r="69" spans="1:14">
      <c r="A69" s="163"/>
      <c r="B69" s="117"/>
      <c r="C69" s="117"/>
      <c r="D69" s="117"/>
      <c r="E69" s="117"/>
      <c r="F69" s="117"/>
      <c r="G69" s="117"/>
      <c r="H69" s="117"/>
      <c r="I69" s="117"/>
      <c r="J69" s="117"/>
      <c r="K69" s="117"/>
      <c r="L69" s="117"/>
      <c r="M69" s="27"/>
      <c r="N69" s="1"/>
    </row>
    <row r="70" spans="1:14">
      <c r="A70" s="163"/>
      <c r="B70" s="117"/>
      <c r="C70" s="117"/>
      <c r="D70" s="117"/>
      <c r="E70" s="117"/>
      <c r="F70" s="117"/>
      <c r="G70" s="117"/>
      <c r="H70" s="117"/>
      <c r="I70" s="117"/>
      <c r="J70" s="117"/>
      <c r="K70" s="117"/>
      <c r="L70" s="117"/>
      <c r="M70" s="27"/>
      <c r="N70" s="1"/>
    </row>
    <row r="71" spans="1:14">
      <c r="A71" s="163"/>
      <c r="B71" s="117"/>
      <c r="C71" s="117"/>
      <c r="D71" s="117"/>
      <c r="E71" s="117"/>
      <c r="F71" s="117"/>
      <c r="G71" s="117"/>
      <c r="H71" s="117"/>
      <c r="I71" s="117"/>
      <c r="J71" s="117"/>
      <c r="K71" s="117"/>
      <c r="L71" s="117"/>
      <c r="M71" s="27"/>
      <c r="N71" s="1"/>
    </row>
    <row r="72" spans="1:14">
      <c r="A72" s="163"/>
      <c r="B72" s="117"/>
      <c r="C72" s="117"/>
      <c r="D72" s="117"/>
      <c r="E72" s="117"/>
      <c r="F72" s="117"/>
      <c r="G72" s="117"/>
      <c r="H72" s="117"/>
      <c r="I72" s="117"/>
      <c r="J72" s="117"/>
      <c r="K72" s="117"/>
      <c r="L72" s="117"/>
      <c r="M72" s="27"/>
      <c r="N72" s="1"/>
    </row>
    <row r="73" spans="1:14">
      <c r="A73" s="163"/>
      <c r="B73" s="117"/>
      <c r="C73" s="117"/>
      <c r="D73" s="117"/>
      <c r="E73" s="117"/>
      <c r="F73" s="117"/>
      <c r="G73" s="117"/>
      <c r="H73" s="117"/>
      <c r="I73" s="117"/>
      <c r="J73" s="117"/>
      <c r="K73" s="117"/>
      <c r="L73" s="117"/>
      <c r="M73" s="27"/>
      <c r="N73" s="1"/>
    </row>
    <row r="74" spans="1:14">
      <c r="A74" s="163"/>
      <c r="B74" s="117"/>
      <c r="C74" s="117"/>
      <c r="D74" s="117"/>
      <c r="E74" s="117"/>
      <c r="F74" s="117"/>
      <c r="G74" s="117"/>
      <c r="H74" s="117"/>
      <c r="I74" s="117"/>
      <c r="J74" s="117"/>
      <c r="K74" s="117"/>
      <c r="L74" s="117"/>
      <c r="M74" s="27"/>
      <c r="N74" s="1"/>
    </row>
    <row r="75" spans="1:14">
      <c r="A75" s="163"/>
      <c r="B75" s="117"/>
      <c r="C75" s="117"/>
      <c r="D75" s="117"/>
      <c r="E75" s="117"/>
      <c r="F75" s="117"/>
      <c r="G75" s="117"/>
      <c r="H75" s="117"/>
      <c r="I75" s="117"/>
      <c r="J75" s="117"/>
      <c r="K75" s="117"/>
      <c r="L75" s="117"/>
      <c r="M75" s="27"/>
      <c r="N75" s="1"/>
    </row>
    <row r="76" spans="1:14">
      <c r="A76" s="163"/>
      <c r="B76" s="373"/>
      <c r="C76" s="373"/>
      <c r="D76" s="373"/>
      <c r="E76" s="373"/>
      <c r="F76" s="373"/>
      <c r="G76" s="373"/>
      <c r="H76" s="373"/>
      <c r="I76" s="373"/>
      <c r="J76" s="373"/>
      <c r="K76" s="373"/>
      <c r="L76" s="373"/>
      <c r="M76" s="27"/>
      <c r="N76" s="1"/>
    </row>
    <row r="77" spans="1:14">
      <c r="A77" s="163"/>
      <c r="B77" s="159"/>
      <c r="C77" s="159"/>
      <c r="D77" s="159"/>
      <c r="E77" s="159"/>
      <c r="F77" s="159"/>
      <c r="G77" s="159"/>
      <c r="H77" s="159"/>
      <c r="I77" s="159"/>
      <c r="J77" s="159"/>
      <c r="K77" s="159"/>
      <c r="L77" s="159"/>
      <c r="M77" s="27"/>
      <c r="N77" s="1"/>
    </row>
    <row r="78" spans="1:14">
      <c r="A78" s="163"/>
      <c r="B78" s="159"/>
      <c r="C78" s="159"/>
      <c r="D78" s="159"/>
      <c r="E78" s="159"/>
      <c r="F78" s="159"/>
      <c r="G78" s="159"/>
      <c r="H78" s="159"/>
      <c r="I78" s="159"/>
      <c r="J78" s="159"/>
      <c r="K78" s="159"/>
      <c r="L78" s="159"/>
      <c r="M78" s="27"/>
      <c r="N78" s="1"/>
    </row>
    <row r="79" spans="1:14">
      <c r="A79" s="163"/>
      <c r="B79" s="117"/>
      <c r="C79" s="117"/>
      <c r="D79" s="117"/>
      <c r="E79" s="117"/>
      <c r="F79" s="117"/>
      <c r="G79" s="117"/>
      <c r="H79" s="117"/>
      <c r="I79" s="117"/>
      <c r="J79" s="117"/>
      <c r="K79" s="117"/>
      <c r="L79" s="117"/>
      <c r="M79" s="27"/>
      <c r="N79" s="1"/>
    </row>
    <row r="80" spans="1:14">
      <c r="A80" s="163"/>
      <c r="B80" s="117"/>
      <c r="C80" s="117"/>
      <c r="D80" s="117"/>
      <c r="E80" s="117"/>
      <c r="F80" s="117"/>
      <c r="G80" s="117"/>
      <c r="H80" s="117"/>
      <c r="I80" s="117"/>
      <c r="J80" s="117"/>
      <c r="K80" s="117"/>
      <c r="L80" s="117"/>
      <c r="M80" s="27"/>
      <c r="N80" s="1"/>
    </row>
    <row r="81" spans="1:14">
      <c r="A81" s="163"/>
      <c r="B81" s="117"/>
      <c r="C81" s="117"/>
      <c r="D81" s="117"/>
      <c r="E81" s="117"/>
      <c r="F81" s="117"/>
      <c r="G81" s="117"/>
      <c r="H81" s="117"/>
      <c r="I81" s="117"/>
      <c r="J81" s="117"/>
      <c r="K81" s="117"/>
      <c r="L81" s="117"/>
      <c r="M81" s="27"/>
      <c r="N81" s="1"/>
    </row>
    <row r="82" spans="1:14">
      <c r="A82" s="163"/>
      <c r="B82" s="163"/>
      <c r="C82" s="163"/>
      <c r="D82" s="163"/>
      <c r="E82" s="163"/>
      <c r="F82" s="163"/>
      <c r="G82" s="163"/>
      <c r="H82" s="163"/>
      <c r="I82" s="163"/>
      <c r="J82" s="163"/>
      <c r="K82" s="163"/>
      <c r="L82" s="163"/>
      <c r="M82" s="27"/>
      <c r="N82" s="1"/>
    </row>
    <row r="83" spans="1:14">
      <c r="A83" s="163"/>
      <c r="B83" s="163"/>
      <c r="C83" s="163"/>
      <c r="D83" s="163"/>
      <c r="E83" s="163"/>
      <c r="F83" s="163"/>
      <c r="G83" s="163"/>
      <c r="H83" s="163"/>
      <c r="I83" s="163"/>
      <c r="J83" s="163"/>
      <c r="K83" s="163"/>
      <c r="L83" s="163"/>
      <c r="M83" s="27"/>
      <c r="N83" s="1"/>
    </row>
    <row r="84" spans="1:14">
      <c r="A84" s="163"/>
      <c r="B84" s="163"/>
      <c r="C84" s="163"/>
      <c r="D84" s="163"/>
      <c r="E84" s="163"/>
      <c r="F84" s="163"/>
      <c r="G84" s="163"/>
      <c r="H84" s="163"/>
      <c r="I84" s="163"/>
      <c r="J84" s="163"/>
      <c r="K84" s="163"/>
      <c r="L84" s="163"/>
      <c r="M84" s="27"/>
      <c r="N84" s="1"/>
    </row>
    <row r="85" spans="1:14">
      <c r="A85" s="163"/>
      <c r="B85" s="163"/>
      <c r="C85" s="163"/>
      <c r="D85" s="163"/>
      <c r="E85" s="163"/>
      <c r="F85" s="163"/>
      <c r="G85" s="163"/>
      <c r="H85" s="163"/>
      <c r="I85" s="163"/>
      <c r="J85" s="163"/>
      <c r="K85" s="163"/>
      <c r="L85" s="163"/>
      <c r="M85" s="27"/>
      <c r="N85" s="1"/>
    </row>
    <row r="86" spans="1:14">
      <c r="A86" s="163"/>
      <c r="B86" s="163"/>
      <c r="C86" s="163"/>
      <c r="D86" s="163"/>
      <c r="E86" s="163"/>
      <c r="F86" s="163"/>
      <c r="G86" s="163"/>
      <c r="H86" s="163"/>
      <c r="I86" s="163"/>
      <c r="J86" s="163"/>
      <c r="K86" s="163"/>
      <c r="L86" s="163"/>
      <c r="M86" s="27"/>
      <c r="N86" s="1"/>
    </row>
    <row r="87" spans="1:14">
      <c r="A87" s="163"/>
      <c r="B87" s="163"/>
      <c r="C87" s="163"/>
      <c r="D87" s="163"/>
      <c r="E87" s="163"/>
      <c r="F87" s="163"/>
      <c r="G87" s="163"/>
      <c r="H87" s="163"/>
      <c r="I87" s="163"/>
      <c r="J87" s="163"/>
      <c r="K87" s="163"/>
      <c r="L87" s="163"/>
      <c r="M87" s="27"/>
      <c r="N87" s="1"/>
    </row>
    <row r="88" spans="1:14">
      <c r="A88" s="163"/>
      <c r="B88" s="163"/>
      <c r="C88" s="163"/>
      <c r="D88" s="163"/>
      <c r="E88" s="163"/>
      <c r="F88" s="163"/>
      <c r="G88" s="163"/>
      <c r="H88" s="163"/>
      <c r="I88" s="163"/>
      <c r="J88" s="163"/>
      <c r="K88" s="163"/>
      <c r="L88" s="163"/>
      <c r="M88" s="27"/>
      <c r="N88" s="1"/>
    </row>
    <row r="89" spans="1:14">
      <c r="A89" s="163"/>
      <c r="B89" s="163"/>
      <c r="C89" s="163"/>
      <c r="D89" s="163"/>
      <c r="E89" s="163"/>
      <c r="F89" s="163"/>
      <c r="G89" s="163"/>
      <c r="H89" s="163"/>
      <c r="I89" s="163"/>
      <c r="J89" s="163"/>
      <c r="K89" s="163"/>
      <c r="L89" s="163"/>
      <c r="M89" s="27"/>
      <c r="N89" s="1"/>
    </row>
    <row r="90" spans="1:14">
      <c r="A90" s="163"/>
      <c r="B90" s="117"/>
      <c r="C90" s="117"/>
      <c r="D90" s="117"/>
      <c r="E90" s="117"/>
      <c r="F90" s="117"/>
      <c r="G90" s="117"/>
      <c r="H90" s="117"/>
      <c r="I90" s="117"/>
      <c r="J90" s="117"/>
      <c r="K90" s="117"/>
      <c r="L90" s="117"/>
      <c r="M90" s="27"/>
      <c r="N90" s="1"/>
    </row>
    <row r="91" spans="1:14">
      <c r="A91" s="163"/>
      <c r="B91" s="117"/>
      <c r="C91" s="117"/>
      <c r="D91" s="117"/>
      <c r="E91" s="117"/>
      <c r="F91" s="117"/>
      <c r="G91" s="117"/>
      <c r="H91" s="117"/>
      <c r="I91" s="117"/>
      <c r="J91" s="117"/>
      <c r="K91" s="117"/>
      <c r="L91" s="117"/>
      <c r="M91" s="27"/>
      <c r="N91" s="1"/>
    </row>
    <row r="92" spans="1:14">
      <c r="A92" s="163"/>
      <c r="B92" s="117"/>
      <c r="C92" s="117"/>
      <c r="D92" s="117"/>
      <c r="E92" s="117"/>
      <c r="F92" s="117"/>
      <c r="G92" s="117"/>
      <c r="H92" s="117"/>
      <c r="I92" s="117"/>
      <c r="J92" s="117"/>
      <c r="K92" s="117"/>
      <c r="L92" s="117"/>
      <c r="M92" s="27"/>
      <c r="N92" s="1"/>
    </row>
    <row r="93" spans="1:14">
      <c r="A93" s="163"/>
      <c r="B93" s="117"/>
      <c r="C93" s="117"/>
      <c r="D93" s="117"/>
      <c r="E93" s="117"/>
      <c r="F93" s="117"/>
      <c r="G93" s="117"/>
      <c r="H93" s="117"/>
      <c r="I93" s="117"/>
      <c r="J93" s="117"/>
      <c r="K93" s="117"/>
      <c r="L93" s="117"/>
      <c r="M93" s="27"/>
      <c r="N93" s="1"/>
    </row>
    <row r="94" spans="1:14">
      <c r="A94" s="163"/>
      <c r="B94" s="117"/>
      <c r="C94" s="117"/>
      <c r="D94" s="117"/>
      <c r="E94" s="117"/>
      <c r="F94" s="117"/>
      <c r="G94" s="117"/>
      <c r="H94" s="117"/>
      <c r="I94" s="117"/>
      <c r="J94" s="117"/>
      <c r="K94" s="117"/>
      <c r="L94" s="117"/>
      <c r="M94" s="27"/>
      <c r="N94" s="1"/>
    </row>
    <row r="95" spans="1:14">
      <c r="A95" s="163"/>
      <c r="B95" s="117"/>
      <c r="C95" s="117"/>
      <c r="D95" s="117"/>
      <c r="E95" s="117"/>
      <c r="F95" s="117"/>
      <c r="G95" s="117"/>
      <c r="H95" s="117"/>
      <c r="I95" s="117"/>
      <c r="J95" s="117"/>
      <c r="K95" s="117"/>
      <c r="L95" s="117"/>
      <c r="M95" s="27"/>
      <c r="N95" s="1"/>
    </row>
    <row r="96" spans="1:14">
      <c r="A96" s="163"/>
      <c r="B96" s="117"/>
      <c r="C96" s="117"/>
      <c r="D96" s="117"/>
      <c r="E96" s="117"/>
      <c r="F96" s="117"/>
      <c r="G96" s="117"/>
      <c r="H96" s="117"/>
      <c r="I96" s="117"/>
      <c r="J96" s="117"/>
      <c r="K96" s="117"/>
      <c r="L96" s="117"/>
      <c r="M96" s="27"/>
      <c r="N96" s="1"/>
    </row>
    <row r="97" spans="1:14">
      <c r="A97" s="163"/>
      <c r="B97" s="117"/>
      <c r="C97" s="117"/>
      <c r="D97" s="117"/>
      <c r="E97" s="117"/>
      <c r="F97" s="117"/>
      <c r="G97" s="117"/>
      <c r="H97" s="117"/>
      <c r="I97" s="117"/>
      <c r="J97" s="117"/>
      <c r="K97" s="117"/>
      <c r="L97" s="117"/>
      <c r="M97" s="27"/>
      <c r="N97" s="1"/>
    </row>
    <row r="98" spans="1:14">
      <c r="A98" s="163"/>
      <c r="B98" s="117"/>
      <c r="C98" s="117"/>
      <c r="D98" s="117"/>
      <c r="E98" s="117"/>
      <c r="F98" s="117"/>
      <c r="G98" s="117"/>
      <c r="H98" s="117"/>
      <c r="I98" s="117"/>
      <c r="J98" s="117"/>
      <c r="K98" s="117"/>
      <c r="L98" s="117"/>
      <c r="M98" s="27"/>
      <c r="N98" s="1"/>
    </row>
    <row r="99" spans="1:14">
      <c r="A99" s="163"/>
      <c r="B99" s="117"/>
      <c r="C99" s="117"/>
      <c r="D99" s="117"/>
      <c r="E99" s="117"/>
      <c r="F99" s="117"/>
      <c r="G99" s="117"/>
      <c r="H99" s="117"/>
      <c r="I99" s="117"/>
      <c r="J99" s="117"/>
      <c r="K99" s="117"/>
      <c r="L99" s="117"/>
      <c r="M99" s="27"/>
      <c r="N99" s="1"/>
    </row>
    <row r="100" spans="1:14">
      <c r="A100" s="163"/>
      <c r="B100" s="117"/>
      <c r="C100" s="117"/>
      <c r="D100" s="117"/>
      <c r="E100" s="117"/>
      <c r="F100" s="117"/>
      <c r="G100" s="117"/>
      <c r="H100" s="117"/>
      <c r="I100" s="117"/>
      <c r="J100" s="117"/>
      <c r="K100" s="117"/>
      <c r="L100" s="117"/>
      <c r="M100" s="27"/>
      <c r="N100" s="1"/>
    </row>
    <row r="101" spans="1:14">
      <c r="A101" s="163"/>
      <c r="B101" s="117"/>
      <c r="C101" s="117"/>
      <c r="D101" s="117"/>
      <c r="E101" s="117"/>
      <c r="F101" s="117"/>
      <c r="G101" s="117"/>
      <c r="H101" s="117"/>
      <c r="I101" s="117"/>
      <c r="J101" s="117"/>
      <c r="K101" s="117"/>
      <c r="L101" s="117"/>
      <c r="M101" s="27"/>
      <c r="N101" s="1"/>
    </row>
    <row r="102" spans="1:14">
      <c r="A102" s="163"/>
      <c r="B102" s="117"/>
      <c r="C102" s="117"/>
      <c r="D102" s="117"/>
      <c r="E102" s="117"/>
      <c r="F102" s="117"/>
      <c r="G102" s="117"/>
      <c r="H102" s="117"/>
      <c r="I102" s="117"/>
      <c r="J102" s="117"/>
      <c r="K102" s="117"/>
      <c r="L102" s="117"/>
      <c r="M102" s="27"/>
      <c r="N102" s="1"/>
    </row>
    <row r="103" spans="1:14">
      <c r="A103" s="163"/>
      <c r="B103" s="117"/>
      <c r="C103" s="117"/>
      <c r="D103" s="117"/>
      <c r="E103" s="117"/>
      <c r="F103" s="117"/>
      <c r="G103" s="117"/>
      <c r="H103" s="117"/>
      <c r="I103" s="117"/>
      <c r="J103" s="117"/>
      <c r="K103" s="117"/>
      <c r="L103" s="117"/>
      <c r="M103" s="27"/>
      <c r="N103" s="1"/>
    </row>
    <row r="104" spans="1:14">
      <c r="A104" s="163"/>
      <c r="B104" s="117"/>
      <c r="C104" s="117"/>
      <c r="D104" s="117"/>
      <c r="E104" s="117"/>
      <c r="F104" s="117"/>
      <c r="G104" s="117"/>
      <c r="H104" s="117"/>
      <c r="I104" s="117"/>
      <c r="J104" s="117"/>
      <c r="K104" s="117"/>
      <c r="L104" s="117"/>
      <c r="M104" s="27"/>
      <c r="N104" s="1"/>
    </row>
    <row r="105" spans="1:14">
      <c r="A105" s="163"/>
      <c r="B105" s="117"/>
      <c r="C105" s="117"/>
      <c r="D105" s="117"/>
      <c r="E105" s="117"/>
      <c r="F105" s="117"/>
      <c r="G105" s="117"/>
      <c r="H105" s="117"/>
      <c r="I105" s="117"/>
      <c r="J105" s="117"/>
      <c r="K105" s="117"/>
      <c r="L105" s="117"/>
      <c r="M105" s="27"/>
      <c r="N105" s="1"/>
    </row>
    <row r="106" spans="1:14">
      <c r="A106" s="163"/>
      <c r="B106" s="117"/>
      <c r="C106" s="117"/>
      <c r="D106" s="117"/>
      <c r="E106" s="117"/>
      <c r="F106" s="117"/>
      <c r="G106" s="117"/>
      <c r="H106" s="117"/>
      <c r="I106" s="117"/>
      <c r="J106" s="117"/>
      <c r="K106" s="117"/>
      <c r="L106" s="117"/>
      <c r="M106" s="27"/>
      <c r="N106" s="1"/>
    </row>
    <row r="107" spans="1:14">
      <c r="A107" s="163"/>
      <c r="B107" s="117"/>
      <c r="C107" s="117"/>
      <c r="D107" s="117"/>
      <c r="E107" s="117"/>
      <c r="F107" s="117"/>
      <c r="G107" s="117"/>
      <c r="H107" s="117"/>
      <c r="I107" s="117"/>
      <c r="J107" s="117"/>
      <c r="K107" s="117"/>
      <c r="L107" s="117"/>
      <c r="M107" s="27"/>
      <c r="N107" s="1"/>
    </row>
    <row r="108" spans="1:14">
      <c r="A108" s="163"/>
      <c r="B108" s="117"/>
      <c r="C108" s="117"/>
      <c r="D108" s="117"/>
      <c r="E108" s="117"/>
      <c r="F108" s="117"/>
      <c r="G108" s="117"/>
      <c r="H108" s="117"/>
      <c r="I108" s="117"/>
      <c r="J108" s="117"/>
      <c r="K108" s="117"/>
      <c r="L108" s="117"/>
      <c r="M108" s="27"/>
      <c r="N108" s="1"/>
    </row>
    <row r="109" spans="1:14">
      <c r="A109" s="163"/>
      <c r="B109" s="117"/>
      <c r="C109" s="117"/>
      <c r="D109" s="117"/>
      <c r="E109" s="117"/>
      <c r="F109" s="117"/>
      <c r="G109" s="117"/>
      <c r="H109" s="117"/>
      <c r="I109" s="117"/>
      <c r="J109" s="117"/>
      <c r="K109" s="117"/>
      <c r="L109" s="117"/>
      <c r="M109" s="27"/>
      <c r="N109" s="1"/>
    </row>
    <row r="110" spans="1:14">
      <c r="A110" s="163"/>
      <c r="B110" s="117"/>
      <c r="C110" s="117"/>
      <c r="D110" s="117"/>
      <c r="E110" s="117"/>
      <c r="F110" s="117"/>
      <c r="G110" s="117"/>
      <c r="H110" s="117"/>
      <c r="I110" s="117"/>
      <c r="J110" s="117"/>
      <c r="K110" s="117"/>
      <c r="L110" s="117"/>
      <c r="M110" s="27"/>
      <c r="N110" s="1"/>
    </row>
    <row r="111" spans="1:14">
      <c r="A111" s="163"/>
      <c r="B111" s="117"/>
      <c r="C111" s="117"/>
      <c r="D111" s="117"/>
      <c r="E111" s="117"/>
      <c r="F111" s="117"/>
      <c r="G111" s="117"/>
      <c r="H111" s="117"/>
      <c r="I111" s="117"/>
      <c r="J111" s="117"/>
      <c r="K111" s="117"/>
      <c r="L111" s="117"/>
      <c r="M111" s="27"/>
      <c r="N111" s="1"/>
    </row>
    <row r="112" spans="1:14">
      <c r="A112" s="163"/>
      <c r="B112" s="117"/>
      <c r="C112" s="117"/>
      <c r="D112" s="117"/>
      <c r="E112" s="117"/>
      <c r="F112" s="117"/>
      <c r="G112" s="117"/>
      <c r="H112" s="117"/>
      <c r="I112" s="117"/>
      <c r="J112" s="117"/>
      <c r="K112" s="117"/>
      <c r="L112" s="117"/>
      <c r="M112" s="27"/>
      <c r="N112" s="1"/>
    </row>
    <row r="113" spans="1:14">
      <c r="A113" s="163"/>
      <c r="B113" s="117"/>
      <c r="C113" s="117"/>
      <c r="D113" s="117"/>
      <c r="E113" s="117"/>
      <c r="F113" s="117"/>
      <c r="G113" s="117"/>
      <c r="H113" s="117"/>
      <c r="I113" s="117"/>
      <c r="J113" s="117"/>
      <c r="K113" s="117"/>
      <c r="L113" s="117"/>
      <c r="M113" s="27"/>
      <c r="N113" s="1"/>
    </row>
    <row r="114" spans="1:14">
      <c r="A114" s="163"/>
      <c r="B114" s="117"/>
      <c r="C114" s="117"/>
      <c r="D114" s="117"/>
      <c r="E114" s="117"/>
      <c r="F114" s="117"/>
      <c r="G114" s="117"/>
      <c r="H114" s="117"/>
      <c r="I114" s="117"/>
      <c r="J114" s="117"/>
      <c r="K114" s="117"/>
      <c r="L114" s="117"/>
      <c r="M114" s="27"/>
      <c r="N114" s="1"/>
    </row>
    <row r="115" spans="1:14">
      <c r="A115" s="163"/>
      <c r="B115" s="117"/>
      <c r="C115" s="117"/>
      <c r="D115" s="117"/>
      <c r="E115" s="117"/>
      <c r="F115" s="117"/>
      <c r="G115" s="117"/>
      <c r="H115" s="117"/>
      <c r="I115" s="117"/>
      <c r="J115" s="117"/>
      <c r="K115" s="117"/>
      <c r="L115" s="117"/>
      <c r="M115" s="27"/>
      <c r="N115" s="1"/>
    </row>
    <row r="116" spans="1:14">
      <c r="A116" s="163"/>
      <c r="B116" s="117"/>
      <c r="C116" s="117"/>
      <c r="D116" s="117"/>
      <c r="E116" s="117"/>
      <c r="F116" s="117"/>
      <c r="G116" s="117"/>
      <c r="H116" s="117"/>
      <c r="I116" s="117"/>
      <c r="J116" s="117"/>
      <c r="K116" s="117"/>
      <c r="L116" s="117"/>
      <c r="M116" s="27"/>
      <c r="N116" s="1"/>
    </row>
    <row r="117" spans="1:14">
      <c r="A117" s="163"/>
      <c r="B117" s="117"/>
      <c r="C117" s="117"/>
      <c r="D117" s="117"/>
      <c r="E117" s="117"/>
      <c r="F117" s="117"/>
      <c r="G117" s="117"/>
      <c r="H117" s="117"/>
      <c r="I117" s="117"/>
      <c r="J117" s="117"/>
      <c r="K117" s="117"/>
      <c r="L117" s="117"/>
      <c r="M117" s="27"/>
      <c r="N117" s="1"/>
    </row>
    <row r="118" spans="1:14">
      <c r="A118" s="163"/>
      <c r="B118" s="117"/>
      <c r="C118" s="117"/>
      <c r="D118" s="117"/>
      <c r="E118" s="117"/>
      <c r="F118" s="117"/>
      <c r="G118" s="117"/>
      <c r="H118" s="117"/>
      <c r="I118" s="117"/>
      <c r="J118" s="117"/>
      <c r="K118" s="117"/>
      <c r="L118" s="117"/>
      <c r="M118" s="27"/>
      <c r="N118" s="1"/>
    </row>
    <row r="119" spans="1:14">
      <c r="A119" s="163"/>
      <c r="B119" s="117"/>
      <c r="C119" s="117"/>
      <c r="D119" s="117"/>
      <c r="E119" s="117"/>
      <c r="F119" s="117"/>
      <c r="G119" s="117"/>
      <c r="H119" s="117"/>
      <c r="I119" s="117"/>
      <c r="J119" s="117"/>
      <c r="K119" s="117"/>
      <c r="L119" s="117"/>
      <c r="M119" s="27"/>
      <c r="N119" s="1"/>
    </row>
    <row r="120" spans="1:14">
      <c r="A120" s="163"/>
      <c r="B120" s="117"/>
      <c r="C120" s="117"/>
      <c r="D120" s="117"/>
      <c r="E120" s="117"/>
      <c r="F120" s="117"/>
      <c r="G120" s="117"/>
      <c r="H120" s="117"/>
      <c r="I120" s="117"/>
      <c r="J120" s="117"/>
      <c r="K120" s="117"/>
      <c r="L120" s="117"/>
      <c r="M120" s="27"/>
      <c r="N120" s="1"/>
    </row>
    <row r="121" spans="1:14">
      <c r="A121" s="163"/>
      <c r="B121" s="117"/>
      <c r="C121" s="117"/>
      <c r="D121" s="117"/>
      <c r="E121" s="117"/>
      <c r="F121" s="117"/>
      <c r="G121" s="117"/>
      <c r="H121" s="117"/>
      <c r="I121" s="117"/>
      <c r="J121" s="117"/>
      <c r="K121" s="117"/>
      <c r="L121" s="117"/>
      <c r="M121" s="27"/>
      <c r="N121" s="1"/>
    </row>
    <row r="122" spans="1:14">
      <c r="A122" s="163"/>
      <c r="B122" s="117"/>
      <c r="C122" s="117"/>
      <c r="D122" s="117"/>
      <c r="E122" s="117"/>
      <c r="F122" s="117"/>
      <c r="G122" s="117"/>
      <c r="H122" s="117"/>
      <c r="I122" s="117"/>
      <c r="J122" s="117"/>
      <c r="K122" s="117"/>
      <c r="L122" s="117"/>
      <c r="M122" s="27"/>
      <c r="N122" s="1"/>
    </row>
    <row r="123" spans="1:14">
      <c r="A123" s="163"/>
      <c r="B123" s="117"/>
      <c r="C123" s="117"/>
      <c r="D123" s="117"/>
      <c r="E123" s="117"/>
      <c r="F123" s="117"/>
      <c r="G123" s="117"/>
      <c r="H123" s="117"/>
      <c r="I123" s="117"/>
      <c r="J123" s="117"/>
      <c r="K123" s="117"/>
      <c r="L123" s="117"/>
      <c r="M123" s="27"/>
      <c r="N123" s="1"/>
    </row>
    <row r="124" spans="1:14">
      <c r="A124" s="163"/>
      <c r="B124" s="117"/>
      <c r="C124" s="117"/>
      <c r="D124" s="117"/>
      <c r="E124" s="117"/>
      <c r="F124" s="117"/>
      <c r="G124" s="117"/>
      <c r="H124" s="117"/>
      <c r="I124" s="117"/>
      <c r="J124" s="117"/>
      <c r="K124" s="117"/>
      <c r="L124" s="117"/>
      <c r="M124" s="27"/>
      <c r="N124" s="1"/>
    </row>
    <row r="125" spans="1:14">
      <c r="A125" s="163"/>
      <c r="B125" s="117"/>
      <c r="C125" s="117"/>
      <c r="D125" s="117"/>
      <c r="E125" s="117"/>
      <c r="F125" s="117"/>
      <c r="G125" s="117"/>
      <c r="H125" s="117"/>
      <c r="I125" s="117"/>
      <c r="J125" s="117"/>
      <c r="K125" s="117"/>
      <c r="L125" s="117"/>
      <c r="M125" s="27"/>
      <c r="N125" s="1"/>
    </row>
    <row r="126" spans="1:14">
      <c r="A126" s="163"/>
      <c r="B126" s="117"/>
      <c r="C126" s="117"/>
      <c r="D126" s="117"/>
      <c r="E126" s="117"/>
      <c r="F126" s="117"/>
      <c r="G126" s="117"/>
      <c r="H126" s="117"/>
      <c r="I126" s="117"/>
      <c r="J126" s="117"/>
      <c r="K126" s="117"/>
      <c r="L126" s="117"/>
      <c r="M126" s="27"/>
      <c r="N126" s="1"/>
    </row>
    <row r="127" spans="1:14">
      <c r="A127" s="163"/>
      <c r="B127" s="117"/>
      <c r="C127" s="117"/>
      <c r="D127" s="117"/>
      <c r="E127" s="117"/>
      <c r="F127" s="117"/>
      <c r="G127" s="117"/>
      <c r="H127" s="117"/>
      <c r="I127" s="117"/>
      <c r="J127" s="117"/>
      <c r="K127" s="117"/>
      <c r="L127" s="117"/>
      <c r="M127" s="27"/>
      <c r="N127" s="1"/>
    </row>
    <row r="128" spans="1:14">
      <c r="A128" s="163"/>
      <c r="B128" s="117"/>
      <c r="C128" s="117"/>
      <c r="D128" s="117"/>
      <c r="E128" s="117"/>
      <c r="F128" s="117"/>
      <c r="G128" s="117"/>
      <c r="H128" s="117"/>
      <c r="I128" s="117"/>
      <c r="J128" s="117"/>
      <c r="K128" s="117"/>
      <c r="L128" s="117"/>
      <c r="M128" s="27"/>
      <c r="N128" s="1"/>
    </row>
    <row r="129" spans="2:14">
      <c r="B129" s="1"/>
      <c r="C129" s="1"/>
      <c r="D129" s="1"/>
      <c r="E129" s="1"/>
      <c r="F129" s="1"/>
      <c r="G129" s="1"/>
      <c r="H129" s="1"/>
      <c r="I129" s="1"/>
      <c r="J129" s="1"/>
      <c r="K129" s="1"/>
      <c r="L129" s="1"/>
      <c r="M129" s="27"/>
      <c r="N129" s="1"/>
    </row>
    <row r="130" spans="2:14">
      <c r="B130" s="1"/>
      <c r="C130" s="1"/>
      <c r="D130" s="1"/>
      <c r="E130" s="1"/>
      <c r="F130" s="1"/>
      <c r="G130" s="1"/>
      <c r="H130" s="1"/>
      <c r="I130" s="1"/>
      <c r="J130" s="1"/>
      <c r="K130" s="1"/>
      <c r="L130" s="1"/>
      <c r="M130" s="27"/>
      <c r="N130" s="1"/>
    </row>
    <row r="131" spans="2:14">
      <c r="B131" s="1"/>
      <c r="C131" s="1"/>
      <c r="D131" s="1"/>
      <c r="E131" s="1"/>
      <c r="F131" s="1"/>
      <c r="G131" s="1"/>
      <c r="H131" s="1"/>
      <c r="I131" s="1"/>
      <c r="J131" s="1"/>
      <c r="K131" s="1"/>
      <c r="L131" s="1"/>
      <c r="M131" s="27"/>
      <c r="N131" s="1"/>
    </row>
    <row r="132" spans="2:14">
      <c r="B132" s="1"/>
      <c r="C132" s="1"/>
      <c r="D132" s="1"/>
      <c r="E132" s="1"/>
      <c r="F132" s="1"/>
      <c r="G132" s="1"/>
      <c r="H132" s="1"/>
      <c r="I132" s="1"/>
      <c r="J132" s="1"/>
      <c r="K132" s="1"/>
      <c r="L132" s="1"/>
      <c r="M132" s="27"/>
      <c r="N132" s="1"/>
    </row>
    <row r="133" spans="2:14">
      <c r="B133" s="1"/>
      <c r="C133" s="1"/>
      <c r="D133" s="1"/>
      <c r="E133" s="1"/>
      <c r="F133" s="1"/>
      <c r="G133" s="1"/>
      <c r="H133" s="1"/>
      <c r="I133" s="1"/>
      <c r="J133" s="1"/>
      <c r="K133" s="1"/>
      <c r="L133" s="1"/>
      <c r="M133" s="27"/>
      <c r="N133" s="1"/>
    </row>
    <row r="134" spans="2:14">
      <c r="B134" s="1"/>
      <c r="C134" s="1"/>
      <c r="D134" s="1"/>
      <c r="E134" s="1"/>
      <c r="F134" s="1"/>
      <c r="G134" s="1"/>
      <c r="H134" s="1"/>
      <c r="I134" s="1"/>
      <c r="J134" s="1"/>
      <c r="K134" s="1"/>
      <c r="L134" s="1"/>
      <c r="M134" s="27"/>
      <c r="N134" s="1"/>
    </row>
    <row r="135" spans="2:14">
      <c r="B135" s="1"/>
      <c r="C135" s="1"/>
      <c r="D135" s="1"/>
      <c r="E135" s="1"/>
      <c r="F135" s="1"/>
      <c r="G135" s="1"/>
      <c r="H135" s="1"/>
      <c r="I135" s="1"/>
      <c r="J135" s="1"/>
      <c r="K135" s="1"/>
      <c r="L135" s="1"/>
      <c r="M135" s="27"/>
      <c r="N135" s="1"/>
    </row>
    <row r="136" spans="2:14">
      <c r="B136" s="1"/>
      <c r="C136" s="1"/>
      <c r="D136" s="1"/>
      <c r="E136" s="1"/>
      <c r="F136" s="1"/>
      <c r="G136" s="1"/>
      <c r="H136" s="1"/>
      <c r="I136" s="1"/>
      <c r="J136" s="1"/>
      <c r="K136" s="1"/>
      <c r="L136" s="1"/>
      <c r="M136" s="27"/>
      <c r="N136" s="1"/>
    </row>
    <row r="137" spans="2:14">
      <c r="B137" s="1"/>
      <c r="C137" s="1"/>
      <c r="D137" s="1"/>
      <c r="E137" s="1"/>
      <c r="F137" s="1"/>
      <c r="G137" s="1"/>
      <c r="H137" s="1"/>
      <c r="I137" s="1"/>
      <c r="J137" s="1"/>
      <c r="K137" s="1"/>
      <c r="L137" s="1"/>
      <c r="M137" s="27"/>
      <c r="N137" s="1"/>
    </row>
    <row r="138" spans="2:14">
      <c r="B138" s="1"/>
      <c r="C138" s="1"/>
      <c r="D138" s="1"/>
      <c r="E138" s="1"/>
      <c r="F138" s="1"/>
      <c r="G138" s="1"/>
      <c r="H138" s="1"/>
      <c r="I138" s="1"/>
      <c r="J138" s="1"/>
      <c r="K138" s="1"/>
      <c r="L138" s="1"/>
      <c r="M138" s="27"/>
      <c r="N138" s="1"/>
    </row>
    <row r="139" spans="2:14">
      <c r="B139" s="1"/>
      <c r="C139" s="1"/>
      <c r="D139" s="1"/>
      <c r="E139" s="1"/>
      <c r="F139" s="1"/>
      <c r="G139" s="1"/>
      <c r="H139" s="1"/>
      <c r="I139" s="1"/>
      <c r="J139" s="1"/>
      <c r="K139" s="1"/>
      <c r="L139" s="1"/>
      <c r="M139" s="27"/>
      <c r="N139" s="1"/>
    </row>
    <row r="140" spans="2:14">
      <c r="B140" s="1"/>
      <c r="C140" s="1"/>
      <c r="D140" s="1"/>
      <c r="E140" s="1"/>
      <c r="F140" s="1"/>
      <c r="G140" s="1"/>
      <c r="H140" s="1"/>
      <c r="I140" s="1"/>
      <c r="J140" s="1"/>
      <c r="K140" s="1"/>
      <c r="L140" s="1"/>
      <c r="M140" s="27"/>
      <c r="N140" s="1"/>
    </row>
    <row r="141" spans="2:14">
      <c r="B141" s="1"/>
      <c r="C141" s="1"/>
      <c r="D141" s="1"/>
      <c r="E141" s="1"/>
      <c r="F141" s="1"/>
      <c r="G141" s="1"/>
      <c r="H141" s="1"/>
      <c r="I141" s="1"/>
      <c r="J141" s="1"/>
      <c r="K141" s="1"/>
      <c r="L141" s="1"/>
      <c r="M141" s="27"/>
      <c r="N141" s="1"/>
    </row>
    <row r="142" spans="2:14">
      <c r="B142" s="1"/>
      <c r="C142" s="1"/>
      <c r="D142" s="1"/>
      <c r="E142" s="1"/>
      <c r="F142" s="1"/>
      <c r="G142" s="1"/>
      <c r="H142" s="1"/>
      <c r="I142" s="1"/>
      <c r="J142" s="1"/>
      <c r="K142" s="1"/>
      <c r="L142" s="1"/>
      <c r="M142" s="27"/>
      <c r="N142" s="1"/>
    </row>
    <row r="143" spans="2:14">
      <c r="B143" s="1"/>
      <c r="C143" s="1"/>
      <c r="D143" s="1"/>
      <c r="E143" s="1"/>
      <c r="F143" s="1"/>
      <c r="G143" s="1"/>
      <c r="H143" s="1"/>
      <c r="I143" s="1"/>
      <c r="J143" s="1"/>
      <c r="K143" s="1"/>
      <c r="L143" s="1"/>
      <c r="M143" s="27"/>
      <c r="N143" s="1"/>
    </row>
    <row r="144" spans="2:14">
      <c r="B144" s="1"/>
      <c r="C144" s="1"/>
      <c r="D144" s="1"/>
      <c r="E144" s="1"/>
      <c r="F144" s="1"/>
      <c r="G144" s="1"/>
      <c r="H144" s="1"/>
      <c r="I144" s="1"/>
      <c r="J144" s="1"/>
      <c r="K144" s="1"/>
      <c r="L144" s="1"/>
      <c r="M144" s="27"/>
      <c r="N144" s="1"/>
    </row>
    <row r="145" spans="2:14">
      <c r="B145" s="1"/>
      <c r="C145" s="1"/>
      <c r="D145" s="1"/>
      <c r="E145" s="1"/>
      <c r="F145" s="1"/>
      <c r="G145" s="1"/>
      <c r="H145" s="1"/>
      <c r="I145" s="1"/>
      <c r="J145" s="1"/>
      <c r="K145" s="1"/>
      <c r="L145" s="1"/>
      <c r="M145" s="27"/>
      <c r="N145" s="1"/>
    </row>
    <row r="146" spans="2:14">
      <c r="B146" s="1"/>
      <c r="C146" s="1"/>
      <c r="D146" s="1"/>
      <c r="E146" s="1"/>
      <c r="F146" s="1"/>
      <c r="G146" s="1"/>
      <c r="H146" s="1"/>
      <c r="I146" s="1"/>
      <c r="J146" s="1"/>
      <c r="K146" s="1"/>
      <c r="L146" s="1"/>
      <c r="M146" s="27"/>
      <c r="N146" s="1"/>
    </row>
    <row r="147" spans="2:14">
      <c r="B147" s="1"/>
      <c r="C147" s="1"/>
      <c r="D147" s="1"/>
      <c r="E147" s="1"/>
      <c r="F147" s="1"/>
      <c r="G147" s="1"/>
      <c r="H147" s="1"/>
      <c r="I147" s="1"/>
      <c r="J147" s="1"/>
      <c r="K147" s="1"/>
      <c r="L147" s="1"/>
      <c r="M147" s="27"/>
      <c r="N147" s="1"/>
    </row>
    <row r="148" spans="2:14">
      <c r="B148" s="1"/>
      <c r="C148" s="1"/>
      <c r="D148" s="1"/>
      <c r="E148" s="1"/>
      <c r="F148" s="1"/>
      <c r="G148" s="1"/>
      <c r="H148" s="1"/>
      <c r="I148" s="1"/>
      <c r="J148" s="1"/>
      <c r="K148" s="1"/>
      <c r="L148" s="1"/>
      <c r="M148" s="27"/>
      <c r="N148" s="1"/>
    </row>
    <row r="149" spans="2:14">
      <c r="B149" s="1"/>
      <c r="C149" s="1"/>
      <c r="D149" s="1"/>
      <c r="E149" s="1"/>
      <c r="F149" s="1"/>
      <c r="G149" s="1"/>
      <c r="H149" s="1"/>
      <c r="I149" s="1"/>
      <c r="J149" s="1"/>
      <c r="K149" s="1"/>
      <c r="L149" s="1"/>
      <c r="M149" s="27"/>
      <c r="N149" s="1"/>
    </row>
    <row r="150" spans="2:14">
      <c r="B150" s="1"/>
      <c r="C150" s="1"/>
      <c r="D150" s="1"/>
      <c r="E150" s="1"/>
      <c r="F150" s="1"/>
      <c r="G150" s="1"/>
      <c r="H150" s="1"/>
      <c r="I150" s="1"/>
      <c r="J150" s="1"/>
      <c r="K150" s="1"/>
      <c r="L150" s="1"/>
      <c r="M150" s="27"/>
      <c r="N150" s="1"/>
    </row>
    <row r="151" spans="2:14">
      <c r="B151" s="1"/>
      <c r="C151" s="1"/>
      <c r="D151" s="1"/>
      <c r="E151" s="1"/>
      <c r="F151" s="1"/>
      <c r="G151" s="1"/>
      <c r="H151" s="1"/>
      <c r="I151" s="1"/>
      <c r="J151" s="1"/>
      <c r="K151" s="1"/>
      <c r="L151" s="1"/>
      <c r="M151" s="27"/>
      <c r="N151" s="1"/>
    </row>
    <row r="152" spans="2:14">
      <c r="B152" s="1"/>
      <c r="C152" s="1"/>
      <c r="D152" s="1"/>
      <c r="E152" s="1"/>
      <c r="F152" s="1"/>
      <c r="G152" s="1"/>
      <c r="H152" s="1"/>
      <c r="I152" s="1"/>
      <c r="J152" s="1"/>
      <c r="K152" s="1"/>
      <c r="L152" s="1"/>
      <c r="M152" s="27"/>
      <c r="N152" s="1"/>
    </row>
    <row r="153" spans="2:14">
      <c r="B153" s="1"/>
      <c r="C153" s="1"/>
      <c r="D153" s="1"/>
      <c r="E153" s="1"/>
      <c r="F153" s="1"/>
      <c r="G153" s="1"/>
      <c r="H153" s="1"/>
      <c r="I153" s="1"/>
      <c r="J153" s="1"/>
      <c r="K153" s="1"/>
      <c r="L153" s="1"/>
      <c r="M153" s="27"/>
      <c r="N153" s="1"/>
    </row>
    <row r="154" spans="2:14">
      <c r="B154" s="1"/>
      <c r="C154" s="1"/>
      <c r="D154" s="1"/>
      <c r="E154" s="1"/>
      <c r="F154" s="1"/>
      <c r="G154" s="1"/>
      <c r="H154" s="1"/>
      <c r="I154" s="1"/>
      <c r="J154" s="1"/>
      <c r="K154" s="1"/>
      <c r="L154" s="1"/>
      <c r="M154" s="27"/>
      <c r="N154" s="1"/>
    </row>
    <row r="155" spans="2:14">
      <c r="B155" s="1"/>
      <c r="C155" s="1"/>
      <c r="D155" s="1"/>
      <c r="E155" s="1"/>
      <c r="F155" s="1"/>
      <c r="G155" s="1"/>
      <c r="H155" s="1"/>
      <c r="I155" s="1"/>
      <c r="J155" s="1"/>
      <c r="K155" s="1"/>
      <c r="L155" s="1"/>
      <c r="M155" s="27"/>
      <c r="N155" s="1"/>
    </row>
    <row r="156" spans="2:14">
      <c r="B156" s="1"/>
      <c r="C156" s="1"/>
      <c r="D156" s="1"/>
      <c r="E156" s="1"/>
      <c r="F156" s="1"/>
      <c r="G156" s="1"/>
      <c r="H156" s="1"/>
      <c r="I156" s="1"/>
      <c r="J156" s="1"/>
      <c r="K156" s="1"/>
      <c r="L156" s="1"/>
      <c r="M156" s="27"/>
      <c r="N156" s="1"/>
    </row>
    <row r="157" spans="2:14">
      <c r="B157" s="1"/>
      <c r="C157" s="1"/>
      <c r="D157" s="1"/>
      <c r="E157" s="1"/>
      <c r="F157" s="1"/>
      <c r="G157" s="1"/>
      <c r="H157" s="1"/>
      <c r="I157" s="1"/>
      <c r="J157" s="1"/>
      <c r="K157" s="1"/>
      <c r="L157" s="1"/>
      <c r="M157" s="27"/>
      <c r="N157" s="1"/>
    </row>
    <row r="158" spans="2:14">
      <c r="B158" s="1"/>
      <c r="C158" s="1"/>
      <c r="D158" s="1"/>
      <c r="E158" s="1"/>
      <c r="F158" s="1"/>
      <c r="G158" s="1"/>
      <c r="H158" s="1"/>
      <c r="I158" s="1"/>
      <c r="J158" s="1"/>
      <c r="K158" s="1"/>
      <c r="L158" s="1"/>
      <c r="M158" s="27"/>
      <c r="N158" s="1"/>
    </row>
    <row r="159" spans="2:14">
      <c r="B159" s="1"/>
      <c r="C159" s="1"/>
      <c r="D159" s="1"/>
      <c r="E159" s="1"/>
      <c r="F159" s="1"/>
      <c r="G159" s="1"/>
      <c r="H159" s="1"/>
      <c r="I159" s="1"/>
      <c r="J159" s="1"/>
      <c r="K159" s="1"/>
      <c r="L159" s="1"/>
      <c r="M159" s="27"/>
      <c r="N159" s="1"/>
    </row>
    <row r="160" spans="2:14">
      <c r="B160" s="1"/>
      <c r="C160" s="1"/>
      <c r="D160" s="1"/>
      <c r="E160" s="1"/>
      <c r="F160" s="1"/>
      <c r="G160" s="1"/>
      <c r="H160" s="1"/>
      <c r="I160" s="1"/>
      <c r="J160" s="1"/>
      <c r="K160" s="1"/>
      <c r="L160" s="1"/>
      <c r="M160" s="27"/>
      <c r="N160" s="1"/>
    </row>
    <row r="161" spans="2:14">
      <c r="B161" s="1"/>
      <c r="C161" s="1"/>
      <c r="D161" s="1"/>
      <c r="E161" s="1"/>
      <c r="F161" s="1"/>
      <c r="G161" s="1"/>
      <c r="H161" s="1"/>
      <c r="I161" s="1"/>
      <c r="J161" s="1"/>
      <c r="K161" s="1"/>
      <c r="L161" s="1"/>
      <c r="M161" s="27"/>
      <c r="N161" s="1"/>
    </row>
    <row r="162" spans="2:14">
      <c r="B162" s="1"/>
      <c r="C162" s="1"/>
      <c r="D162" s="1"/>
      <c r="E162" s="1"/>
      <c r="F162" s="1"/>
      <c r="G162" s="1"/>
      <c r="H162" s="1"/>
      <c r="I162" s="1"/>
      <c r="J162" s="1"/>
      <c r="K162" s="1"/>
      <c r="L162" s="1"/>
      <c r="M162" s="27"/>
      <c r="N162" s="1"/>
    </row>
    <row r="163" spans="2:14">
      <c r="B163" s="1"/>
      <c r="C163" s="1"/>
      <c r="D163" s="1"/>
      <c r="E163" s="1"/>
      <c r="F163" s="1"/>
      <c r="G163" s="1"/>
      <c r="H163" s="1"/>
      <c r="I163" s="1"/>
      <c r="J163" s="1"/>
      <c r="K163" s="1"/>
      <c r="L163" s="1"/>
      <c r="M163" s="27"/>
      <c r="N163" s="1"/>
    </row>
    <row r="164" spans="2:14">
      <c r="B164" s="1"/>
      <c r="C164" s="1"/>
      <c r="D164" s="1"/>
      <c r="E164" s="1"/>
      <c r="F164" s="1"/>
      <c r="G164" s="1"/>
      <c r="H164" s="1"/>
      <c r="I164" s="1"/>
      <c r="J164" s="1"/>
      <c r="K164" s="1"/>
      <c r="L164" s="1"/>
      <c r="M164" s="27"/>
      <c r="N164" s="1"/>
    </row>
    <row r="165" spans="2:14">
      <c r="B165" s="1"/>
      <c r="C165" s="1"/>
      <c r="D165" s="1"/>
      <c r="E165" s="1"/>
      <c r="F165" s="1"/>
      <c r="G165" s="1"/>
      <c r="H165" s="1"/>
      <c r="I165" s="1"/>
      <c r="J165" s="1"/>
      <c r="K165" s="1"/>
      <c r="L165" s="1"/>
      <c r="M165" s="27"/>
      <c r="N165" s="1"/>
    </row>
    <row r="166" spans="2:14">
      <c r="B166" s="1"/>
      <c r="C166" s="1"/>
      <c r="D166" s="1"/>
      <c r="E166" s="1"/>
      <c r="F166" s="1"/>
      <c r="G166" s="1"/>
      <c r="H166" s="1"/>
      <c r="I166" s="1"/>
      <c r="J166" s="1"/>
      <c r="K166" s="1"/>
      <c r="L166" s="1"/>
      <c r="M166" s="27"/>
      <c r="N166" s="1"/>
    </row>
    <row r="167" spans="2:14">
      <c r="B167" s="1"/>
      <c r="C167" s="1"/>
      <c r="D167" s="1"/>
      <c r="E167" s="1"/>
      <c r="F167" s="1"/>
      <c r="G167" s="1"/>
      <c r="H167" s="1"/>
      <c r="I167" s="1"/>
      <c r="J167" s="1"/>
      <c r="K167" s="1"/>
      <c r="L167" s="1"/>
      <c r="M167" s="27"/>
      <c r="N167" s="1"/>
    </row>
    <row r="168" spans="2:14">
      <c r="M168" s="19"/>
    </row>
    <row r="169" spans="2:14">
      <c r="M169" s="19"/>
    </row>
    <row r="170" spans="2:14">
      <c r="M170" s="19"/>
    </row>
    <row r="171" spans="2:14">
      <c r="M171" s="19"/>
    </row>
    <row r="172" spans="2:14">
      <c r="M172" s="19"/>
    </row>
    <row r="173" spans="2:14">
      <c r="M173" s="19"/>
    </row>
    <row r="174" spans="2:14">
      <c r="M174" s="19"/>
    </row>
    <row r="175" spans="2:14">
      <c r="M175" s="19"/>
    </row>
    <row r="176" spans="2:14">
      <c r="M176" s="19"/>
    </row>
    <row r="177" spans="13:13">
      <c r="M177" s="19"/>
    </row>
    <row r="178" spans="13:13">
      <c r="M178" s="19"/>
    </row>
    <row r="179" spans="13:13">
      <c r="M179" s="19"/>
    </row>
    <row r="180" spans="13:13">
      <c r="M180" s="19"/>
    </row>
    <row r="181" spans="13:13">
      <c r="M181" s="19"/>
    </row>
    <row r="182" spans="13:13">
      <c r="M182" s="19"/>
    </row>
    <row r="183" spans="13:13">
      <c r="M183" s="19"/>
    </row>
    <row r="184" spans="13:13">
      <c r="M184" s="19"/>
    </row>
    <row r="185" spans="13:13">
      <c r="M185" s="19"/>
    </row>
    <row r="186" spans="13:13">
      <c r="M186" s="19"/>
    </row>
    <row r="187" spans="13:13">
      <c r="M187" s="19"/>
    </row>
    <row r="188" spans="13:13">
      <c r="M188" s="19"/>
    </row>
    <row r="189" spans="13:13">
      <c r="M189" s="19"/>
    </row>
    <row r="190" spans="13:13">
      <c r="M190" s="19"/>
    </row>
    <row r="191" spans="13:13">
      <c r="M191" s="19"/>
    </row>
    <row r="192" spans="13:13">
      <c r="M192" s="19"/>
    </row>
    <row r="193" spans="13:13">
      <c r="M193" s="19"/>
    </row>
    <row r="194" spans="13:13">
      <c r="M194" s="19"/>
    </row>
    <row r="195" spans="13:13">
      <c r="M195" s="19"/>
    </row>
    <row r="196" spans="13:13">
      <c r="M196" s="19"/>
    </row>
    <row r="197" spans="13:13">
      <c r="M197" s="19"/>
    </row>
    <row r="198" spans="13:13">
      <c r="M198" s="19"/>
    </row>
    <row r="199" spans="13:13">
      <c r="M199" s="19"/>
    </row>
    <row r="200" spans="13:13">
      <c r="M200" s="19"/>
    </row>
    <row r="201" spans="13:13">
      <c r="M201" s="19"/>
    </row>
    <row r="202" spans="13:13">
      <c r="M202" s="19"/>
    </row>
    <row r="203" spans="13:13">
      <c r="M203" s="19"/>
    </row>
    <row r="204" spans="13:13">
      <c r="M204" s="19"/>
    </row>
    <row r="205" spans="13:13">
      <c r="M205" s="19"/>
    </row>
    <row r="206" spans="13:13">
      <c r="M206" s="19"/>
    </row>
    <row r="207" spans="13:13">
      <c r="M207" s="19"/>
    </row>
    <row r="208" spans="13:13">
      <c r="M208" s="19"/>
    </row>
    <row r="209" spans="13:13">
      <c r="M209" s="19"/>
    </row>
    <row r="210" spans="13:13">
      <c r="M210" s="19"/>
    </row>
    <row r="211" spans="13:13">
      <c r="M211" s="19"/>
    </row>
    <row r="212" spans="13:13">
      <c r="M212" s="19"/>
    </row>
    <row r="213" spans="13:13">
      <c r="M213" s="19"/>
    </row>
    <row r="214" spans="13:13">
      <c r="M214" s="19"/>
    </row>
    <row r="215" spans="13:13">
      <c r="M215" s="19"/>
    </row>
    <row r="216" spans="13:13">
      <c r="M216" s="19"/>
    </row>
    <row r="217" spans="13:13">
      <c r="M217" s="19"/>
    </row>
    <row r="218" spans="13:13">
      <c r="M218" s="19"/>
    </row>
    <row r="219" spans="13:13">
      <c r="M219" s="19"/>
    </row>
    <row r="220" spans="13:13">
      <c r="M220" s="19"/>
    </row>
    <row r="221" spans="13:13">
      <c r="M221" s="19"/>
    </row>
    <row r="222" spans="13:13">
      <c r="M222" s="19"/>
    </row>
    <row r="223" spans="13:13">
      <c r="M223" s="19"/>
    </row>
    <row r="224" spans="13:13">
      <c r="M224" s="19"/>
    </row>
    <row r="225" spans="13:13">
      <c r="M225" s="19"/>
    </row>
    <row r="226" spans="13:13">
      <c r="M226" s="19"/>
    </row>
    <row r="227" spans="13:13">
      <c r="M227" s="19"/>
    </row>
    <row r="228" spans="13:13">
      <c r="M228" s="19"/>
    </row>
    <row r="229" spans="13:13">
      <c r="M229" s="19"/>
    </row>
    <row r="230" spans="13:13">
      <c r="M230" s="19"/>
    </row>
    <row r="231" spans="13:13">
      <c r="M231" s="19"/>
    </row>
    <row r="232" spans="13:13">
      <c r="M232" s="19"/>
    </row>
    <row r="233" spans="13:13">
      <c r="M233" s="19"/>
    </row>
    <row r="234" spans="13:13">
      <c r="M234" s="19"/>
    </row>
    <row r="235" spans="13:13">
      <c r="M235" s="19"/>
    </row>
    <row r="236" spans="13:13">
      <c r="M236" s="19"/>
    </row>
    <row r="237" spans="13:13">
      <c r="M237" s="19"/>
    </row>
    <row r="238" spans="13:13">
      <c r="M238" s="19"/>
    </row>
    <row r="239" spans="13:13">
      <c r="M239" s="19"/>
    </row>
    <row r="240" spans="13:13">
      <c r="M240" s="19"/>
    </row>
    <row r="241" spans="13:13">
      <c r="M241" s="19"/>
    </row>
    <row r="242" spans="13:13">
      <c r="M242" s="19"/>
    </row>
    <row r="243" spans="13:13">
      <c r="M243" s="19"/>
    </row>
    <row r="244" spans="13:13">
      <c r="M244" s="19"/>
    </row>
    <row r="245" spans="13:13">
      <c r="M245" s="19"/>
    </row>
    <row r="246" spans="13:13">
      <c r="M246" s="19"/>
    </row>
    <row r="247" spans="13:13">
      <c r="M247" s="19"/>
    </row>
    <row r="248" spans="13:13">
      <c r="M248" s="19"/>
    </row>
    <row r="249" spans="13:13">
      <c r="M249" s="19"/>
    </row>
    <row r="250" spans="13:13">
      <c r="M250" s="19"/>
    </row>
    <row r="251" spans="13:13">
      <c r="M251" s="19"/>
    </row>
    <row r="252" spans="13:13">
      <c r="M252" s="19"/>
    </row>
    <row r="253" spans="13:13">
      <c r="M253" s="19"/>
    </row>
    <row r="254" spans="13:13">
      <c r="M254" s="19"/>
    </row>
    <row r="255" spans="13:13">
      <c r="M255" s="19"/>
    </row>
    <row r="256" spans="13:13">
      <c r="M256" s="19"/>
    </row>
    <row r="257" spans="13:13">
      <c r="M257" s="19"/>
    </row>
    <row r="258" spans="13:13">
      <c r="M258" s="19"/>
    </row>
    <row r="259" spans="13:13">
      <c r="M259" s="19"/>
    </row>
    <row r="260" spans="13:13">
      <c r="M260" s="19"/>
    </row>
    <row r="261" spans="13:13">
      <c r="M261" s="19"/>
    </row>
    <row r="262" spans="13:13">
      <c r="M262" s="19"/>
    </row>
    <row r="263" spans="13:13">
      <c r="M263" s="19"/>
    </row>
    <row r="264" spans="13:13">
      <c r="M264" s="19"/>
    </row>
    <row r="265" spans="13:13">
      <c r="M265" s="19"/>
    </row>
    <row r="266" spans="13:13">
      <c r="M266" s="19"/>
    </row>
    <row r="267" spans="13:13">
      <c r="M267" s="19"/>
    </row>
    <row r="268" spans="13:13">
      <c r="M268" s="19"/>
    </row>
    <row r="269" spans="13:13">
      <c r="M269" s="19"/>
    </row>
    <row r="270" spans="13:13">
      <c r="M270" s="19"/>
    </row>
    <row r="271" spans="13:13">
      <c r="M271" s="19"/>
    </row>
    <row r="272" spans="13:13">
      <c r="M272" s="19"/>
    </row>
    <row r="273" spans="13:13">
      <c r="M273" s="19"/>
    </row>
    <row r="274" spans="13:13">
      <c r="M274" s="19"/>
    </row>
    <row r="275" spans="13:13">
      <c r="M275" s="19"/>
    </row>
    <row r="276" spans="13:13">
      <c r="M276" s="19"/>
    </row>
    <row r="277" spans="13:13">
      <c r="M277" s="19"/>
    </row>
    <row r="278" spans="13:13">
      <c r="M278" s="19"/>
    </row>
    <row r="279" spans="13:13">
      <c r="M279" s="19"/>
    </row>
    <row r="280" spans="13:13">
      <c r="M280" s="19"/>
    </row>
    <row r="281" spans="13:13">
      <c r="M281" s="19"/>
    </row>
    <row r="282" spans="13:13">
      <c r="M282" s="19"/>
    </row>
    <row r="283" spans="13:13">
      <c r="M283" s="19"/>
    </row>
    <row r="284" spans="13:13">
      <c r="M284" s="19"/>
    </row>
    <row r="285" spans="13:13">
      <c r="M285" s="19"/>
    </row>
    <row r="286" spans="13:13">
      <c r="M286" s="19"/>
    </row>
    <row r="287" spans="13:13">
      <c r="M287" s="19"/>
    </row>
    <row r="288" spans="13:13">
      <c r="M288" s="19"/>
    </row>
    <row r="289" spans="13:13">
      <c r="M289" s="19"/>
    </row>
    <row r="290" spans="13:13">
      <c r="M290" s="19"/>
    </row>
    <row r="291" spans="13:13">
      <c r="M291" s="19"/>
    </row>
    <row r="292" spans="13:13">
      <c r="M292" s="19"/>
    </row>
    <row r="293" spans="13:13">
      <c r="M293" s="19"/>
    </row>
    <row r="294" spans="13:13">
      <c r="M294" s="19"/>
    </row>
    <row r="295" spans="13:13">
      <c r="M295" s="19"/>
    </row>
    <row r="296" spans="13:13">
      <c r="M296" s="19"/>
    </row>
    <row r="297" spans="13:13">
      <c r="M297" s="19"/>
    </row>
    <row r="298" spans="13:13">
      <c r="M298" s="19"/>
    </row>
    <row r="299" spans="13:13">
      <c r="M299" s="19"/>
    </row>
    <row r="300" spans="13:13">
      <c r="M300" s="19"/>
    </row>
    <row r="301" spans="13:13">
      <c r="M301" s="19"/>
    </row>
    <row r="302" spans="13:13">
      <c r="M302" s="19"/>
    </row>
    <row r="303" spans="13:13">
      <c r="M303" s="19"/>
    </row>
    <row r="304" spans="13:13">
      <c r="M304" s="19"/>
    </row>
    <row r="305" spans="13:13">
      <c r="M305" s="19"/>
    </row>
    <row r="306" spans="13:13">
      <c r="M306" s="19"/>
    </row>
    <row r="307" spans="13:13">
      <c r="M307" s="19"/>
    </row>
    <row r="308" spans="13:13">
      <c r="M308" s="19"/>
    </row>
    <row r="309" spans="13:13">
      <c r="M309" s="19"/>
    </row>
    <row r="310" spans="13:13">
      <c r="M310" s="19"/>
    </row>
    <row r="311" spans="13:13">
      <c r="M311" s="19"/>
    </row>
    <row r="312" spans="13:13">
      <c r="M312" s="19"/>
    </row>
    <row r="313" spans="13:13">
      <c r="M313" s="19"/>
    </row>
    <row r="314" spans="13:13">
      <c r="M314" s="19"/>
    </row>
    <row r="315" spans="13:13">
      <c r="M315" s="19"/>
    </row>
    <row r="316" spans="13:13">
      <c r="M316" s="19"/>
    </row>
    <row r="317" spans="13:13">
      <c r="M317" s="19"/>
    </row>
    <row r="318" spans="13:13">
      <c r="M318" s="19"/>
    </row>
    <row r="319" spans="13:13">
      <c r="M319" s="19"/>
    </row>
    <row r="320" spans="13:13">
      <c r="M320" s="19"/>
    </row>
    <row r="321" spans="2:13">
      <c r="M321" s="19"/>
    </row>
    <row r="322" spans="2:13">
      <c r="M322" s="19"/>
    </row>
    <row r="323" spans="2:13">
      <c r="B323" s="1"/>
      <c r="C323" s="1"/>
      <c r="D323" s="1"/>
      <c r="E323" s="1"/>
      <c r="F323" s="1"/>
      <c r="G323" s="1"/>
      <c r="H323" s="1"/>
      <c r="I323" s="1"/>
      <c r="J323" s="1"/>
      <c r="K323" s="1"/>
      <c r="L323" s="1"/>
      <c r="M323" s="19"/>
    </row>
    <row r="324" spans="2:13">
      <c r="B324" s="1"/>
      <c r="C324" s="1"/>
      <c r="D324" s="1"/>
      <c r="E324" s="1"/>
      <c r="F324" s="1"/>
      <c r="G324" s="1"/>
      <c r="H324" s="1"/>
      <c r="I324" s="1"/>
      <c r="J324" s="1"/>
      <c r="K324" s="1"/>
      <c r="L324" s="1"/>
      <c r="M324" s="19"/>
    </row>
    <row r="325" spans="2:13">
      <c r="B325" s="1"/>
      <c r="C325" s="1"/>
      <c r="D325" s="1"/>
      <c r="E325" s="1"/>
      <c r="F325" s="1"/>
      <c r="G325" s="1"/>
      <c r="H325" s="1"/>
      <c r="I325" s="1"/>
      <c r="J325" s="1"/>
      <c r="K325" s="1"/>
      <c r="L325" s="1"/>
      <c r="M325" s="19"/>
    </row>
    <row r="326" spans="2:13">
      <c r="B326" s="1"/>
      <c r="C326" s="1"/>
      <c r="D326" s="1"/>
      <c r="E326" s="1"/>
      <c r="F326" s="1"/>
      <c r="G326" s="1"/>
      <c r="H326" s="1"/>
      <c r="I326" s="1"/>
      <c r="J326" s="1"/>
      <c r="K326" s="1"/>
      <c r="L326" s="1"/>
      <c r="M326" s="19"/>
    </row>
    <row r="327" spans="2:13">
      <c r="B327" s="1"/>
      <c r="C327" s="1"/>
      <c r="D327" s="1"/>
      <c r="E327" s="1"/>
      <c r="F327" s="1"/>
      <c r="G327" s="1"/>
      <c r="H327" s="1"/>
      <c r="I327" s="1"/>
      <c r="J327" s="1"/>
      <c r="K327" s="1"/>
      <c r="L327" s="1"/>
      <c r="M327" s="19"/>
    </row>
    <row r="328" spans="2:13">
      <c r="B328" s="1"/>
      <c r="C328" s="1"/>
      <c r="D328" s="1"/>
      <c r="E328" s="1"/>
      <c r="F328" s="1"/>
      <c r="G328" s="1"/>
      <c r="H328" s="1"/>
      <c r="I328" s="1"/>
      <c r="J328" s="1"/>
      <c r="K328" s="1"/>
      <c r="L328" s="1"/>
      <c r="M328" s="19"/>
    </row>
    <row r="329" spans="2:13">
      <c r="B329" s="1"/>
      <c r="C329" s="1"/>
      <c r="D329" s="1"/>
      <c r="E329" s="1"/>
      <c r="F329" s="1"/>
      <c r="G329" s="1"/>
      <c r="H329" s="1"/>
      <c r="I329" s="1"/>
      <c r="J329" s="1"/>
      <c r="K329" s="1"/>
      <c r="L329" s="1"/>
      <c r="M329" s="19"/>
    </row>
    <row r="330" spans="2:13">
      <c r="B330" s="1"/>
      <c r="C330" s="1"/>
      <c r="D330" s="1"/>
      <c r="E330" s="1"/>
      <c r="F330" s="1"/>
      <c r="G330" s="1"/>
      <c r="H330" s="1"/>
      <c r="I330" s="1"/>
      <c r="J330" s="1"/>
      <c r="K330" s="1"/>
      <c r="L330" s="1"/>
      <c r="M330" s="19"/>
    </row>
    <row r="331" spans="2:13">
      <c r="M331" s="19"/>
    </row>
    <row r="332" spans="2:13">
      <c r="M332" s="19"/>
    </row>
    <row r="333" spans="2:13">
      <c r="M333" s="19"/>
    </row>
    <row r="334" spans="2:13">
      <c r="M334" s="19"/>
    </row>
    <row r="335" spans="2:13">
      <c r="M335" s="19"/>
    </row>
    <row r="336" spans="2:13">
      <c r="M336" s="19"/>
    </row>
    <row r="337" spans="13:13">
      <c r="M337" s="19"/>
    </row>
    <row r="338" spans="13:13">
      <c r="M338" s="19"/>
    </row>
    <row r="339" spans="13:13">
      <c r="M339" s="19"/>
    </row>
    <row r="340" spans="13:13">
      <c r="M340" s="19"/>
    </row>
    <row r="341" spans="13:13">
      <c r="M341" s="19"/>
    </row>
    <row r="342" spans="13:13">
      <c r="M342" s="19"/>
    </row>
    <row r="343" spans="13:13">
      <c r="M343" s="19"/>
    </row>
    <row r="344" spans="13:13">
      <c r="M344" s="19"/>
    </row>
    <row r="345" spans="13:13">
      <c r="M345" s="19"/>
    </row>
    <row r="346" spans="13:13">
      <c r="M346" s="19"/>
    </row>
    <row r="347" spans="13:13">
      <c r="M347" s="19"/>
    </row>
    <row r="348" spans="13:13">
      <c r="M348" s="19"/>
    </row>
    <row r="349" spans="13:13">
      <c r="M349" s="19"/>
    </row>
    <row r="350" spans="13:13">
      <c r="M350" s="19"/>
    </row>
    <row r="351" spans="13:13">
      <c r="M351" s="19"/>
    </row>
    <row r="352" spans="13:13">
      <c r="M352" s="19"/>
    </row>
    <row r="353" spans="13:13">
      <c r="M353" s="19"/>
    </row>
    <row r="354" spans="13:13">
      <c r="M354" s="19"/>
    </row>
    <row r="355" spans="13:13">
      <c r="M355" s="19"/>
    </row>
    <row r="356" spans="13:13">
      <c r="M356" s="19"/>
    </row>
    <row r="357" spans="13:13">
      <c r="M357" s="19"/>
    </row>
    <row r="358" spans="13:13">
      <c r="M358" s="19"/>
    </row>
    <row r="359" spans="13:13">
      <c r="M359" s="19"/>
    </row>
    <row r="360" spans="13:13">
      <c r="M360" s="19"/>
    </row>
    <row r="361" spans="13:13">
      <c r="M361" s="19"/>
    </row>
    <row r="362" spans="13:13">
      <c r="M362" s="19"/>
    </row>
    <row r="363" spans="13:13">
      <c r="M363" s="19"/>
    </row>
    <row r="364" spans="13:13">
      <c r="M364" s="19"/>
    </row>
    <row r="365" spans="13:13">
      <c r="M365" s="19"/>
    </row>
    <row r="366" spans="13:13">
      <c r="M366" s="19"/>
    </row>
    <row r="367" spans="13:13">
      <c r="M367" s="19"/>
    </row>
    <row r="368" spans="13:13">
      <c r="M368" s="19"/>
    </row>
    <row r="369" spans="13:13">
      <c r="M369" s="19"/>
    </row>
    <row r="370" spans="13:13">
      <c r="M370" s="19"/>
    </row>
    <row r="371" spans="13:13">
      <c r="M371" s="19"/>
    </row>
    <row r="372" spans="13:13">
      <c r="M372" s="19"/>
    </row>
    <row r="373" spans="13:13">
      <c r="M373" s="19"/>
    </row>
    <row r="374" spans="13:13">
      <c r="M374" s="19"/>
    </row>
    <row r="375" spans="13:13">
      <c r="M375" s="19"/>
    </row>
    <row r="376" spans="13:13">
      <c r="M376" s="19"/>
    </row>
    <row r="377" spans="13:13">
      <c r="M377" s="19"/>
    </row>
    <row r="378" spans="13:13">
      <c r="M378" s="19"/>
    </row>
    <row r="379" spans="13:13">
      <c r="M379" s="19"/>
    </row>
    <row r="380" spans="13:13">
      <c r="M380" s="19"/>
    </row>
    <row r="381" spans="13:13">
      <c r="M381" s="19"/>
    </row>
    <row r="382" spans="13:13">
      <c r="M382" s="19"/>
    </row>
    <row r="383" spans="13:13">
      <c r="M383" s="19"/>
    </row>
    <row r="384" spans="13:13">
      <c r="M384" s="19"/>
    </row>
    <row r="385" spans="13:13">
      <c r="M385" s="19"/>
    </row>
    <row r="386" spans="13:13">
      <c r="M386" s="19"/>
    </row>
    <row r="387" spans="13:13">
      <c r="M387" s="19"/>
    </row>
    <row r="388" spans="13:13">
      <c r="M388" s="19"/>
    </row>
    <row r="389" spans="13:13">
      <c r="M389" s="19"/>
    </row>
    <row r="390" spans="13:13">
      <c r="M390" s="19"/>
    </row>
    <row r="391" spans="13:13">
      <c r="M391" s="19"/>
    </row>
    <row r="392" spans="13:13">
      <c r="M392" s="19"/>
    </row>
    <row r="393" spans="13:13">
      <c r="M393" s="19"/>
    </row>
    <row r="394" spans="13:13">
      <c r="M394" s="19"/>
    </row>
    <row r="395" spans="13:13">
      <c r="M395" s="19"/>
    </row>
    <row r="396" spans="13:13">
      <c r="M396" s="19"/>
    </row>
    <row r="397" spans="13:13">
      <c r="M397" s="19"/>
    </row>
    <row r="398" spans="13:13">
      <c r="M398" s="19"/>
    </row>
    <row r="399" spans="13:13">
      <c r="M399" s="19"/>
    </row>
    <row r="400" spans="13:13">
      <c r="M400" s="19"/>
    </row>
    <row r="401" spans="13:13">
      <c r="M401" s="19"/>
    </row>
    <row r="402" spans="13:13">
      <c r="M402" s="19"/>
    </row>
    <row r="403" spans="13:13">
      <c r="M403" s="19"/>
    </row>
    <row r="404" spans="13:13">
      <c r="M404" s="19"/>
    </row>
    <row r="405" spans="13:13">
      <c r="M405" s="19"/>
    </row>
    <row r="406" spans="13:13">
      <c r="M406" s="19"/>
    </row>
    <row r="407" spans="13:13">
      <c r="M407" s="19"/>
    </row>
    <row r="408" spans="13:13">
      <c r="M408" s="19"/>
    </row>
    <row r="409" spans="13:13">
      <c r="M409" s="19"/>
    </row>
    <row r="410" spans="13:13">
      <c r="M410" s="19"/>
    </row>
    <row r="411" spans="13:13">
      <c r="M411" s="19"/>
    </row>
    <row r="412" spans="13:13">
      <c r="M412" s="19"/>
    </row>
    <row r="413" spans="13:13">
      <c r="M413" s="19"/>
    </row>
    <row r="414" spans="13:13">
      <c r="M414" s="19"/>
    </row>
    <row r="415" spans="13:13">
      <c r="M415" s="19"/>
    </row>
    <row r="416" spans="13:13">
      <c r="M416" s="19"/>
    </row>
    <row r="417" spans="13:13">
      <c r="M417" s="19"/>
    </row>
    <row r="418" spans="13:13">
      <c r="M418" s="19"/>
    </row>
    <row r="419" spans="13:13">
      <c r="M419" s="19"/>
    </row>
    <row r="420" spans="13:13">
      <c r="M420" s="19"/>
    </row>
    <row r="421" spans="13:13">
      <c r="M421" s="19"/>
    </row>
    <row r="422" spans="13:13">
      <c r="M422" s="19"/>
    </row>
    <row r="423" spans="13:13">
      <c r="M423" s="19"/>
    </row>
    <row r="424" spans="13:13">
      <c r="M424" s="19"/>
    </row>
    <row r="425" spans="13:13">
      <c r="M425" s="19"/>
    </row>
    <row r="426" spans="13:13">
      <c r="M426" s="19"/>
    </row>
    <row r="427" spans="13:13">
      <c r="M427" s="19"/>
    </row>
    <row r="428" spans="13:13">
      <c r="M428" s="19"/>
    </row>
    <row r="429" spans="13:13">
      <c r="M429" s="19"/>
    </row>
    <row r="430" spans="13:13">
      <c r="M430" s="19"/>
    </row>
    <row r="431" spans="13:13">
      <c r="M431" s="19"/>
    </row>
    <row r="432" spans="13:13">
      <c r="M432" s="19"/>
    </row>
    <row r="433" spans="13:13">
      <c r="M433" s="19"/>
    </row>
    <row r="434" spans="13:13">
      <c r="M434" s="19"/>
    </row>
    <row r="435" spans="13:13">
      <c r="M435" s="19"/>
    </row>
    <row r="436" spans="13:13">
      <c r="M436" s="19"/>
    </row>
    <row r="437" spans="13:13">
      <c r="M437" s="19"/>
    </row>
    <row r="438" spans="13:13">
      <c r="M438" s="19"/>
    </row>
    <row r="439" spans="13:13">
      <c r="M439" s="19"/>
    </row>
    <row r="440" spans="13:13">
      <c r="M440" s="19"/>
    </row>
    <row r="441" spans="13:13">
      <c r="M441" s="19"/>
    </row>
    <row r="442" spans="13:13">
      <c r="M442" s="19"/>
    </row>
    <row r="443" spans="13:13">
      <c r="M443" s="19"/>
    </row>
    <row r="444" spans="13:13">
      <c r="M444" s="19"/>
    </row>
    <row r="445" spans="13:13">
      <c r="M445" s="19"/>
    </row>
    <row r="446" spans="13:13">
      <c r="M446" s="19"/>
    </row>
    <row r="447" spans="13:13">
      <c r="M447" s="19"/>
    </row>
    <row r="448" spans="13:13">
      <c r="M448" s="19"/>
    </row>
    <row r="449" spans="13:13">
      <c r="M449" s="19"/>
    </row>
    <row r="450" spans="13:13">
      <c r="M450" s="19"/>
    </row>
    <row r="451" spans="13:13">
      <c r="M451" s="19"/>
    </row>
    <row r="452" spans="13:13">
      <c r="M452" s="19"/>
    </row>
    <row r="453" spans="13:13">
      <c r="M453" s="19"/>
    </row>
    <row r="454" spans="13:13">
      <c r="M454" s="19"/>
    </row>
    <row r="455" spans="13:13">
      <c r="M455" s="19"/>
    </row>
    <row r="456" spans="13:13">
      <c r="M456" s="19"/>
    </row>
    <row r="457" spans="13:13">
      <c r="M457" s="19"/>
    </row>
    <row r="458" spans="13:13">
      <c r="M458" s="19"/>
    </row>
    <row r="459" spans="13:13">
      <c r="M459" s="19"/>
    </row>
    <row r="460" spans="13:13">
      <c r="M460" s="19"/>
    </row>
    <row r="461" spans="13:13">
      <c r="M461" s="19"/>
    </row>
    <row r="462" spans="13:13">
      <c r="M462" s="19"/>
    </row>
    <row r="463" spans="13:13">
      <c r="M463" s="19"/>
    </row>
    <row r="464" spans="13:13">
      <c r="M464" s="19"/>
    </row>
    <row r="465" spans="13:13">
      <c r="M465" s="19"/>
    </row>
    <row r="466" spans="13:13">
      <c r="M466" s="19"/>
    </row>
    <row r="467" spans="13:13">
      <c r="M467" s="19"/>
    </row>
    <row r="468" spans="13:13">
      <c r="M468" s="19"/>
    </row>
    <row r="469" spans="13:13">
      <c r="M469" s="19"/>
    </row>
    <row r="470" spans="13:13">
      <c r="M470" s="19"/>
    </row>
    <row r="471" spans="13:13">
      <c r="M471" s="19"/>
    </row>
    <row r="472" spans="13:13">
      <c r="M472" s="19"/>
    </row>
    <row r="473" spans="13:13">
      <c r="M473" s="19"/>
    </row>
    <row r="474" spans="13:13">
      <c r="M474" s="19"/>
    </row>
    <row r="475" spans="13:13">
      <c r="M475" s="19"/>
    </row>
    <row r="476" spans="13:13">
      <c r="M476" s="19"/>
    </row>
    <row r="477" spans="13:13">
      <c r="M477" s="19"/>
    </row>
    <row r="478" spans="13:13">
      <c r="M478" s="19"/>
    </row>
    <row r="479" spans="13:13">
      <c r="M479" s="19"/>
    </row>
    <row r="480" spans="13:13">
      <c r="M480" s="19"/>
    </row>
    <row r="481" spans="13:13">
      <c r="M481" s="19"/>
    </row>
    <row r="482" spans="13:13">
      <c r="M482" s="19"/>
    </row>
    <row r="483" spans="13:13">
      <c r="M483" s="19"/>
    </row>
    <row r="484" spans="13:13">
      <c r="M484" s="19"/>
    </row>
    <row r="485" spans="13:13">
      <c r="M485" s="19"/>
    </row>
    <row r="486" spans="13:13">
      <c r="M486" s="19"/>
    </row>
    <row r="487" spans="13:13">
      <c r="M487" s="19"/>
    </row>
    <row r="488" spans="13:13">
      <c r="M488" s="19"/>
    </row>
    <row r="489" spans="13:13">
      <c r="M489" s="19"/>
    </row>
    <row r="490" spans="13:13">
      <c r="M490" s="19"/>
    </row>
  </sheetData>
  <mergeCells count="1">
    <mergeCell ref="J1:L1"/>
  </mergeCells>
  <phoneticPr fontId="12" type="noConversion"/>
  <pageMargins left="0.5" right="0.5" top="1" bottom="0.5" header="0.5" footer="0.25"/>
  <pageSetup scale="70" fitToHeight="0" orientation="landscape" horizontalDpi="4294967292" verticalDpi="4294967292"/>
  <headerFooter>
    <oddHeader>&amp;C&amp;"Arial,Bold"&amp;14&amp;K000000Police _x000D_Financial Dashboard&amp;R&amp;"Calibri,Regular"&amp;K000000Printed:    &amp;D</oddHeader>
    <oddFooter>&amp;C&amp;"Calibri,Regular"&amp;K000000Page &amp;P of &amp;N</oddFooter>
  </headerFooter>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sheetPr>
  <dimension ref="A1:Z457"/>
  <sheetViews>
    <sheetView topLeftCell="A22" workbookViewId="0">
      <selection activeCell="B27" sqref="B27"/>
    </sheetView>
  </sheetViews>
  <sheetFormatPr defaultColWidth="11" defaultRowHeight="15.75"/>
  <cols>
    <col min="1" max="1" width="27.5" customWidth="1"/>
    <col min="2" max="2" width="15.375" bestFit="1" customWidth="1"/>
    <col min="3" max="4" width="12.625" bestFit="1" customWidth="1"/>
    <col min="5" max="9" width="13.5" bestFit="1" customWidth="1"/>
    <col min="10" max="10" width="13.875" customWidth="1"/>
    <col min="11" max="11" width="15" customWidth="1"/>
    <col min="12" max="12" width="13.875" customWidth="1"/>
    <col min="13" max="13" width="12.125" style="190" bestFit="1" customWidth="1"/>
    <col min="15" max="15" width="12.625" bestFit="1" customWidth="1"/>
    <col min="26" max="26" width="70.875" customWidth="1"/>
  </cols>
  <sheetData>
    <row r="1" spans="1:14" ht="18.75">
      <c r="A1" s="37" t="s">
        <v>37</v>
      </c>
      <c r="J1" s="494" t="s">
        <v>215</v>
      </c>
      <c r="K1" s="494"/>
      <c r="L1" s="494"/>
    </row>
    <row r="2" spans="1:14">
      <c r="A2" s="2"/>
    </row>
    <row r="3" spans="1:14">
      <c r="A3" s="2"/>
      <c r="B3" s="82" t="s">
        <v>61</v>
      </c>
      <c r="C3" s="82" t="s">
        <v>61</v>
      </c>
      <c r="D3" s="82" t="s">
        <v>61</v>
      </c>
      <c r="E3" s="82" t="s">
        <v>61</v>
      </c>
      <c r="F3" s="82" t="s">
        <v>61</v>
      </c>
      <c r="G3" s="82" t="s">
        <v>61</v>
      </c>
      <c r="H3" s="82" t="s">
        <v>61</v>
      </c>
      <c r="I3" s="82" t="s">
        <v>61</v>
      </c>
      <c r="J3" s="82" t="s">
        <v>61</v>
      </c>
      <c r="K3" s="82" t="s">
        <v>61</v>
      </c>
      <c r="L3" s="82" t="s">
        <v>61</v>
      </c>
    </row>
    <row r="4" spans="1:14">
      <c r="A4" s="2"/>
      <c r="B4" s="30" t="s">
        <v>57</v>
      </c>
      <c r="C4" s="30" t="s">
        <v>57</v>
      </c>
      <c r="D4" s="30" t="s">
        <v>57</v>
      </c>
      <c r="E4" s="30" t="s">
        <v>57</v>
      </c>
      <c r="F4" s="30" t="s">
        <v>57</v>
      </c>
      <c r="G4" s="30" t="s">
        <v>57</v>
      </c>
      <c r="H4" s="30" t="s">
        <v>57</v>
      </c>
      <c r="I4" s="30" t="s">
        <v>57</v>
      </c>
      <c r="J4" s="30" t="s">
        <v>57</v>
      </c>
      <c r="K4" s="30" t="s">
        <v>202</v>
      </c>
      <c r="L4" s="30" t="s">
        <v>58</v>
      </c>
    </row>
    <row r="5" spans="1:14" ht="18.75">
      <c r="A5" s="93" t="s">
        <v>98</v>
      </c>
      <c r="B5" s="254">
        <v>2009</v>
      </c>
      <c r="C5" s="254">
        <v>2010</v>
      </c>
      <c r="D5" s="254">
        <v>2011</v>
      </c>
      <c r="E5" s="254">
        <v>2012</v>
      </c>
      <c r="F5" s="254">
        <v>2013</v>
      </c>
      <c r="G5" s="254">
        <v>2014</v>
      </c>
      <c r="H5" s="254">
        <v>2015</v>
      </c>
      <c r="I5" s="254">
        <v>2016</v>
      </c>
      <c r="J5" s="254">
        <v>2017</v>
      </c>
      <c r="K5" s="254">
        <v>2018</v>
      </c>
      <c r="L5" s="254">
        <v>2019</v>
      </c>
      <c r="M5" s="195"/>
      <c r="N5" s="2"/>
    </row>
    <row r="6" spans="1:14">
      <c r="A6" s="10" t="s">
        <v>100</v>
      </c>
      <c r="B6" s="32">
        <v>3549788</v>
      </c>
      <c r="C6" s="32">
        <v>10613584</v>
      </c>
      <c r="D6" s="32">
        <v>4455067</v>
      </c>
      <c r="E6" s="32">
        <f>4619343</f>
        <v>4619343</v>
      </c>
      <c r="F6" s="32">
        <v>5178065</v>
      </c>
      <c r="G6" s="32">
        <f>5924459</f>
        <v>5924459</v>
      </c>
      <c r="H6" s="32">
        <v>5314453</v>
      </c>
      <c r="I6" s="32">
        <v>5437058</v>
      </c>
      <c r="J6" s="32">
        <f>4022487+1775662</f>
        <v>5798149</v>
      </c>
      <c r="K6" s="32">
        <f>5554491+3415906</f>
        <v>8970397</v>
      </c>
      <c r="L6" s="32">
        <f>305000+2316733</f>
        <v>2621733</v>
      </c>
      <c r="M6" s="174"/>
      <c r="N6" s="3"/>
    </row>
    <row r="7" spans="1:14">
      <c r="A7" s="96" t="s">
        <v>93</v>
      </c>
      <c r="B7" s="32">
        <v>4692267</v>
      </c>
      <c r="C7" s="32">
        <v>4802684</v>
      </c>
      <c r="D7" s="32">
        <v>4858193</v>
      </c>
      <c r="E7" s="32">
        <v>4709810</v>
      </c>
      <c r="F7" s="145">
        <v>4722785</v>
      </c>
      <c r="G7" s="32">
        <v>5327304</v>
      </c>
      <c r="H7" s="32">
        <v>5335828</v>
      </c>
      <c r="I7" s="32">
        <v>6097036</v>
      </c>
      <c r="J7" s="32">
        <f>2401297+4454326</f>
        <v>6855623</v>
      </c>
      <c r="K7" s="32">
        <f>2683012+5697598</f>
        <v>8380610</v>
      </c>
      <c r="L7" s="32">
        <f>2898159+6051564</f>
        <v>8949723</v>
      </c>
      <c r="M7" s="174"/>
      <c r="N7" s="3"/>
    </row>
    <row r="8" spans="1:14">
      <c r="A8" s="94" t="s">
        <v>101</v>
      </c>
      <c r="B8" s="32">
        <v>10060312</v>
      </c>
      <c r="C8" s="32">
        <v>10904128</v>
      </c>
      <c r="D8" s="32">
        <v>10625240</v>
      </c>
      <c r="E8" s="32">
        <v>10514459</v>
      </c>
      <c r="F8" s="32">
        <v>10405904</v>
      </c>
      <c r="G8" s="32">
        <v>12854624</v>
      </c>
      <c r="H8" s="32">
        <v>13649921</v>
      </c>
      <c r="I8" s="32">
        <v>15896990</v>
      </c>
      <c r="J8" s="32">
        <f>8288678+7261123</f>
        <v>15549801</v>
      </c>
      <c r="K8" s="32">
        <f>7019163+8038560</f>
        <v>15057723</v>
      </c>
      <c r="L8" s="32">
        <f>7690253+8394429</f>
        <v>16084682</v>
      </c>
      <c r="M8" s="174"/>
      <c r="N8" s="3"/>
    </row>
    <row r="9" spans="1:14">
      <c r="A9" s="73" t="s">
        <v>83</v>
      </c>
      <c r="B9" s="145"/>
      <c r="C9" s="145"/>
      <c r="D9" s="145">
        <v>13640212</v>
      </c>
      <c r="E9" s="145">
        <v>12896888</v>
      </c>
      <c r="F9" s="145">
        <v>13531490</v>
      </c>
      <c r="G9" s="145">
        <v>15009773</v>
      </c>
      <c r="H9" s="145">
        <v>15771485</v>
      </c>
      <c r="I9" s="145">
        <v>18791293</v>
      </c>
      <c r="J9" s="145">
        <f>21989938+2703366</f>
        <v>24693304</v>
      </c>
      <c r="K9" s="145">
        <f>44607329+2973895+771990</f>
        <v>48353214</v>
      </c>
      <c r="L9" s="145">
        <f>29268356+3056314+271099</f>
        <v>32595769</v>
      </c>
      <c r="M9" s="174"/>
      <c r="N9" s="3"/>
    </row>
    <row r="10" spans="1:14" ht="16.5" thickBot="1">
      <c r="A10" s="73"/>
      <c r="B10" s="125">
        <v>0</v>
      </c>
      <c r="C10" s="125">
        <v>0</v>
      </c>
      <c r="D10" s="125">
        <v>0</v>
      </c>
      <c r="E10" s="125">
        <v>0</v>
      </c>
      <c r="F10" s="125">
        <v>0</v>
      </c>
      <c r="G10" s="125">
        <v>0</v>
      </c>
      <c r="H10" s="125">
        <v>0</v>
      </c>
      <c r="I10" s="125">
        <v>0</v>
      </c>
      <c r="J10" s="125">
        <v>0</v>
      </c>
      <c r="K10" s="125">
        <v>0</v>
      </c>
      <c r="L10" s="125">
        <v>0</v>
      </c>
      <c r="M10" s="174"/>
      <c r="N10" s="3"/>
    </row>
    <row r="11" spans="1:14">
      <c r="A11" s="95" t="s">
        <v>108</v>
      </c>
      <c r="B11" s="32">
        <f t="shared" ref="B11:L11" si="0">SUM(B6:B9)</f>
        <v>18302367</v>
      </c>
      <c r="C11" s="32">
        <f t="shared" si="0"/>
        <v>26320396</v>
      </c>
      <c r="D11" s="32">
        <f t="shared" si="0"/>
        <v>33578712</v>
      </c>
      <c r="E11" s="32">
        <f t="shared" si="0"/>
        <v>32740500</v>
      </c>
      <c r="F11" s="32">
        <f t="shared" si="0"/>
        <v>33838244</v>
      </c>
      <c r="G11" s="32">
        <f t="shared" si="0"/>
        <v>39116160</v>
      </c>
      <c r="H11" s="32">
        <f t="shared" si="0"/>
        <v>40071687</v>
      </c>
      <c r="I11" s="32">
        <f t="shared" si="0"/>
        <v>46222377</v>
      </c>
      <c r="J11" s="32">
        <f t="shared" si="0"/>
        <v>52896877</v>
      </c>
      <c r="K11" s="32">
        <f t="shared" si="0"/>
        <v>80761944</v>
      </c>
      <c r="L11" s="32">
        <f t="shared" si="0"/>
        <v>60251907</v>
      </c>
      <c r="M11" s="195"/>
      <c r="N11" s="2"/>
    </row>
    <row r="12" spans="1:14">
      <c r="A12" s="95"/>
      <c r="B12" s="32"/>
      <c r="C12" s="32"/>
      <c r="D12" s="32"/>
      <c r="E12" s="32"/>
      <c r="F12" s="32"/>
      <c r="G12" s="32"/>
      <c r="H12" s="32"/>
      <c r="I12" s="32"/>
      <c r="J12" s="32"/>
      <c r="K12" s="32"/>
      <c r="L12" s="32"/>
      <c r="M12" s="195"/>
      <c r="N12" s="2"/>
    </row>
    <row r="13" spans="1:14">
      <c r="A13" s="88"/>
      <c r="B13" s="76"/>
      <c r="C13" s="31"/>
      <c r="D13" s="31"/>
      <c r="E13" s="31"/>
      <c r="F13" s="31"/>
      <c r="G13" s="31"/>
      <c r="H13" s="31"/>
      <c r="I13" s="31"/>
      <c r="J13" s="31"/>
      <c r="K13" s="31"/>
      <c r="L13" s="31"/>
      <c r="M13" s="195"/>
      <c r="N13" s="2"/>
    </row>
    <row r="14" spans="1:14" ht="18.75">
      <c r="A14" s="93" t="s">
        <v>73</v>
      </c>
      <c r="B14" s="254">
        <v>2009</v>
      </c>
      <c r="C14" s="254">
        <v>2010</v>
      </c>
      <c r="D14" s="254">
        <v>2011</v>
      </c>
      <c r="E14" s="254">
        <v>2012</v>
      </c>
      <c r="F14" s="254">
        <v>2013</v>
      </c>
      <c r="G14" s="254">
        <v>2014</v>
      </c>
      <c r="H14" s="254">
        <v>2015</v>
      </c>
      <c r="I14" s="254">
        <v>2016</v>
      </c>
      <c r="J14" s="254">
        <v>2017</v>
      </c>
      <c r="K14" s="254">
        <v>2018</v>
      </c>
      <c r="L14" s="254">
        <v>2019</v>
      </c>
      <c r="M14" s="195"/>
      <c r="N14" s="2"/>
    </row>
    <row r="15" spans="1:14">
      <c r="A15" s="10" t="s">
        <v>100</v>
      </c>
      <c r="B15" s="27">
        <v>3993873</v>
      </c>
      <c r="C15" s="27">
        <v>3869830</v>
      </c>
      <c r="D15" s="27">
        <v>4455067</v>
      </c>
      <c r="E15" s="27">
        <v>4619343</v>
      </c>
      <c r="F15" s="27">
        <v>5178065</v>
      </c>
      <c r="G15" s="27">
        <v>5507029</v>
      </c>
      <c r="H15" s="27">
        <v>5314453</v>
      </c>
      <c r="I15" s="27">
        <v>5437058</v>
      </c>
      <c r="J15" s="27">
        <v>5801294</v>
      </c>
      <c r="K15" s="27">
        <v>7061778</v>
      </c>
      <c r="L15" s="27">
        <v>5641211</v>
      </c>
      <c r="M15" s="195"/>
      <c r="N15" s="2"/>
    </row>
    <row r="16" spans="1:14">
      <c r="A16" s="96" t="s">
        <v>93</v>
      </c>
      <c r="B16" s="27">
        <v>4962185</v>
      </c>
      <c r="C16" s="27">
        <v>4258356</v>
      </c>
      <c r="D16" s="27">
        <v>4160986</v>
      </c>
      <c r="E16" s="27">
        <v>4106437</v>
      </c>
      <c r="F16" s="27">
        <v>4854971</v>
      </c>
      <c r="G16" s="27">
        <v>7456697</v>
      </c>
      <c r="H16" s="27">
        <v>5029718</v>
      </c>
      <c r="I16" s="27">
        <v>4774417</v>
      </c>
      <c r="J16" s="27">
        <v>8648324</v>
      </c>
      <c r="K16" s="27">
        <v>8003967</v>
      </c>
      <c r="L16" s="27">
        <v>7653673</v>
      </c>
      <c r="M16" s="196"/>
      <c r="N16" s="10"/>
    </row>
    <row r="17" spans="1:26">
      <c r="A17" s="94" t="s">
        <v>101</v>
      </c>
      <c r="B17" s="27">
        <v>9372269</v>
      </c>
      <c r="C17" s="27">
        <v>9590649</v>
      </c>
      <c r="D17" s="27">
        <v>10022460</v>
      </c>
      <c r="E17" s="27">
        <v>8823433</v>
      </c>
      <c r="F17" s="27">
        <v>11594610</v>
      </c>
      <c r="G17" s="27">
        <v>15637201</v>
      </c>
      <c r="H17" s="27">
        <v>10852994</v>
      </c>
      <c r="I17" s="27">
        <v>13826489</v>
      </c>
      <c r="J17" s="27">
        <v>14289214</v>
      </c>
      <c r="K17" s="27">
        <v>21678756</v>
      </c>
      <c r="L17" s="27">
        <v>19000299</v>
      </c>
    </row>
    <row r="18" spans="1:26">
      <c r="A18" s="73" t="s">
        <v>83</v>
      </c>
      <c r="B18" s="27">
        <v>6068629</v>
      </c>
      <c r="C18" s="27">
        <v>6743754</v>
      </c>
      <c r="D18" s="27">
        <v>13640212</v>
      </c>
      <c r="E18" s="27">
        <v>12896888</v>
      </c>
      <c r="F18" s="27">
        <v>13531490</v>
      </c>
      <c r="G18" s="27">
        <v>15009773</v>
      </c>
      <c r="H18" s="27">
        <v>17068138</v>
      </c>
      <c r="I18" s="27">
        <v>18791293</v>
      </c>
      <c r="J18" s="27">
        <v>23765600</v>
      </c>
      <c r="K18" s="27">
        <v>48023235</v>
      </c>
      <c r="L18" s="27">
        <v>31650993</v>
      </c>
    </row>
    <row r="19" spans="1:26" ht="16.5" thickBot="1">
      <c r="A19" s="153" t="s">
        <v>157</v>
      </c>
      <c r="B19" s="69"/>
      <c r="C19" s="69"/>
      <c r="D19" s="69"/>
      <c r="E19" s="69"/>
      <c r="F19" s="69"/>
      <c r="G19" s="69"/>
      <c r="H19" s="69"/>
      <c r="I19" s="69"/>
      <c r="J19" s="69"/>
      <c r="K19" s="69"/>
      <c r="L19" s="69"/>
      <c r="M19" s="173"/>
      <c r="N19" s="1"/>
    </row>
    <row r="20" spans="1:26">
      <c r="A20" s="95" t="s">
        <v>119</v>
      </c>
      <c r="B20" s="1">
        <f t="shared" ref="B20:L20" si="1">SUM(B15:B18)</f>
        <v>24396956</v>
      </c>
      <c r="C20" s="1">
        <f t="shared" si="1"/>
        <v>24462589</v>
      </c>
      <c r="D20" s="1">
        <f t="shared" si="1"/>
        <v>32278725</v>
      </c>
      <c r="E20" s="1">
        <f t="shared" si="1"/>
        <v>30446101</v>
      </c>
      <c r="F20" s="1">
        <f t="shared" si="1"/>
        <v>35159136</v>
      </c>
      <c r="G20" s="1">
        <f t="shared" si="1"/>
        <v>43610700</v>
      </c>
      <c r="H20" s="1">
        <f t="shared" si="1"/>
        <v>38265303</v>
      </c>
      <c r="I20" s="1">
        <f t="shared" si="1"/>
        <v>42829257</v>
      </c>
      <c r="J20" s="1">
        <f t="shared" si="1"/>
        <v>52504432</v>
      </c>
      <c r="K20" s="1">
        <f t="shared" si="1"/>
        <v>84767736</v>
      </c>
      <c r="L20" s="1">
        <f t="shared" si="1"/>
        <v>63946176</v>
      </c>
      <c r="M20" s="173"/>
      <c r="N20" s="1"/>
    </row>
    <row r="21" spans="1:26" ht="18.75">
      <c r="A21" s="223"/>
      <c r="B21" s="173"/>
      <c r="C21" s="173"/>
      <c r="D21" s="173"/>
      <c r="E21" s="173"/>
      <c r="F21" s="173"/>
      <c r="G21" s="173"/>
      <c r="H21" s="173"/>
      <c r="I21" s="173"/>
      <c r="J21" s="173"/>
      <c r="K21" s="173"/>
      <c r="L21" s="173"/>
      <c r="M21" s="173"/>
      <c r="N21" s="1"/>
    </row>
    <row r="22" spans="1:26" ht="18.75">
      <c r="A22" s="93"/>
      <c r="B22" s="1"/>
      <c r="C22" s="1"/>
      <c r="D22" s="1"/>
      <c r="E22" s="1"/>
      <c r="F22" s="1"/>
      <c r="G22" s="1"/>
      <c r="H22" s="1"/>
      <c r="I22" s="1"/>
      <c r="J22" s="1"/>
      <c r="K22" s="1"/>
      <c r="L22" s="1"/>
      <c r="M22" s="173"/>
      <c r="N22" s="1"/>
    </row>
    <row r="23" spans="1:26">
      <c r="M23" s="173"/>
      <c r="N23" s="1"/>
    </row>
    <row r="24" spans="1:26">
      <c r="M24" s="173"/>
      <c r="N24" s="1"/>
    </row>
    <row r="25" spans="1:26" ht="18.75">
      <c r="A25" s="37"/>
      <c r="B25" s="254">
        <v>2009</v>
      </c>
      <c r="C25" s="254">
        <v>2010</v>
      </c>
      <c r="D25" s="254">
        <v>2011</v>
      </c>
      <c r="E25" s="254">
        <v>2012</v>
      </c>
      <c r="F25" s="254">
        <v>2013</v>
      </c>
      <c r="G25" s="254">
        <v>2014</v>
      </c>
      <c r="H25" s="254">
        <v>2015</v>
      </c>
      <c r="I25" s="254">
        <v>2016</v>
      </c>
      <c r="J25" s="254">
        <v>2017</v>
      </c>
      <c r="K25" s="254">
        <v>2018</v>
      </c>
      <c r="L25" s="254">
        <v>2019</v>
      </c>
      <c r="M25" s="173"/>
      <c r="N25" s="1"/>
    </row>
    <row r="26" spans="1:26">
      <c r="A26" s="2" t="s">
        <v>203</v>
      </c>
      <c r="B26" s="8">
        <f t="shared" ref="B26:L26" si="2">+B15/B27</f>
        <v>63.232212406193597</v>
      </c>
      <c r="C26" s="8">
        <f t="shared" si="2"/>
        <v>57.126007499040476</v>
      </c>
      <c r="D26" s="8">
        <f t="shared" si="2"/>
        <v>64.790608048166845</v>
      </c>
      <c r="E26" s="8">
        <f t="shared" si="2"/>
        <v>66.617773034712513</v>
      </c>
      <c r="F26" s="8">
        <f t="shared" si="2"/>
        <v>73.583416228506465</v>
      </c>
      <c r="G26" s="8">
        <f t="shared" si="2"/>
        <v>77.534303856280005</v>
      </c>
      <c r="H26" s="8">
        <f t="shared" si="2"/>
        <v>72.384268591664394</v>
      </c>
      <c r="I26" s="8">
        <f t="shared" si="2"/>
        <v>73.093473146467701</v>
      </c>
      <c r="J26" s="8">
        <f t="shared" si="2"/>
        <v>76.493855485232061</v>
      </c>
      <c r="K26" s="8">
        <f t="shared" si="2"/>
        <v>91.400403820765703</v>
      </c>
      <c r="L26" s="8">
        <f t="shared" si="2"/>
        <v>71.425816662446195</v>
      </c>
      <c r="M26" s="173"/>
      <c r="N26" s="1"/>
    </row>
    <row r="27" spans="1:26">
      <c r="B27" s="273">
        <f>Stats!D4</f>
        <v>63162</v>
      </c>
      <c r="C27" s="273">
        <f>Stats!E4</f>
        <v>67742</v>
      </c>
      <c r="D27" s="273">
        <f>Stats!F4</f>
        <v>68761</v>
      </c>
      <c r="E27" s="273">
        <f>Stats!G4</f>
        <v>69341</v>
      </c>
      <c r="F27" s="273">
        <f>Stats!H4</f>
        <v>70370</v>
      </c>
      <c r="G27" s="273">
        <f>Stats!I4</f>
        <v>71027</v>
      </c>
      <c r="H27" s="273">
        <f>Stats!J4</f>
        <v>73420</v>
      </c>
      <c r="I27" s="273">
        <f>Stats!K4</f>
        <v>74385</v>
      </c>
      <c r="J27" s="273">
        <f>Stats!L4</f>
        <v>75840</v>
      </c>
      <c r="K27" s="273">
        <f>Stats!M4</f>
        <v>77262</v>
      </c>
      <c r="L27" s="273">
        <f>Stats!N4</f>
        <v>78980</v>
      </c>
      <c r="M27" s="173"/>
      <c r="N27" s="1"/>
    </row>
    <row r="28" spans="1:26">
      <c r="B28" s="52"/>
      <c r="C28" s="52"/>
      <c r="D28" s="52"/>
      <c r="E28" s="52"/>
      <c r="F28" s="52"/>
      <c r="G28" s="52"/>
      <c r="H28" s="52"/>
      <c r="I28" s="52"/>
      <c r="J28" s="52"/>
      <c r="K28" s="52"/>
      <c r="L28" s="52"/>
      <c r="M28" s="173"/>
      <c r="N28" s="1"/>
      <c r="Z28" s="250"/>
    </row>
    <row r="29" spans="1:26">
      <c r="A29" s="253" t="s">
        <v>159</v>
      </c>
      <c r="B29" s="1">
        <f t="shared" ref="B29:L29" si="3">+B15/B30</f>
        <v>150997.08884688091</v>
      </c>
      <c r="C29" s="1">
        <f t="shared" si="3"/>
        <v>146307.37240075614</v>
      </c>
      <c r="D29" s="1">
        <f t="shared" si="3"/>
        <v>168433.53497164461</v>
      </c>
      <c r="E29" s="1">
        <f t="shared" si="3"/>
        <v>174644.34782608697</v>
      </c>
      <c r="F29" s="1">
        <f t="shared" si="3"/>
        <v>178862.34887737478</v>
      </c>
      <c r="G29" s="1">
        <f t="shared" si="3"/>
        <v>190225.52677029363</v>
      </c>
      <c r="H29" s="1">
        <f t="shared" si="3"/>
        <v>181690.70085470084</v>
      </c>
      <c r="I29" s="1">
        <f t="shared" si="3"/>
        <v>185882.32478632478</v>
      </c>
      <c r="J29" s="1">
        <f t="shared" si="3"/>
        <v>203019.91251093615</v>
      </c>
      <c r="K29" s="1">
        <f t="shared" si="3"/>
        <v>247131.33858267718</v>
      </c>
      <c r="L29" s="1">
        <f t="shared" si="3"/>
        <v>197417.70778652668</v>
      </c>
      <c r="M29" s="173"/>
      <c r="N29" s="1"/>
    </row>
    <row r="30" spans="1:26">
      <c r="B30" s="34">
        <f>+B40</f>
        <v>26.45</v>
      </c>
      <c r="C30" s="34">
        <f t="shared" ref="C30:L30" si="4">+C40</f>
        <v>26.45</v>
      </c>
      <c r="D30" s="34">
        <f t="shared" si="4"/>
        <v>26.45</v>
      </c>
      <c r="E30" s="34">
        <f t="shared" si="4"/>
        <v>26.45</v>
      </c>
      <c r="F30" s="34">
        <f t="shared" si="4"/>
        <v>28.95</v>
      </c>
      <c r="G30" s="34">
        <f t="shared" si="4"/>
        <v>28.95</v>
      </c>
      <c r="H30" s="34">
        <f t="shared" si="4"/>
        <v>29.25</v>
      </c>
      <c r="I30" s="34">
        <f t="shared" si="4"/>
        <v>29.25</v>
      </c>
      <c r="J30" s="34">
        <f t="shared" si="4"/>
        <v>28.574999999999999</v>
      </c>
      <c r="K30" s="34">
        <f t="shared" si="4"/>
        <v>28.574999999999999</v>
      </c>
      <c r="L30" s="34">
        <f t="shared" si="4"/>
        <v>28.574999999999999</v>
      </c>
      <c r="M30" s="173"/>
      <c r="N30" s="1"/>
    </row>
    <row r="31" spans="1:26">
      <c r="M31" s="173"/>
      <c r="N31" s="1"/>
    </row>
    <row r="32" spans="1:26">
      <c r="A32" s="190"/>
      <c r="B32" s="190"/>
      <c r="C32" s="190"/>
      <c r="D32" s="190"/>
      <c r="E32" s="190"/>
      <c r="F32" s="190"/>
      <c r="G32" s="190"/>
      <c r="H32" s="190"/>
      <c r="I32" s="190"/>
      <c r="J32" s="190"/>
      <c r="K32" s="190"/>
      <c r="L32" s="190"/>
      <c r="M32" s="173"/>
      <c r="N32" s="1"/>
    </row>
    <row r="33" spans="1:14">
      <c r="A33" s="190"/>
      <c r="B33" s="190"/>
      <c r="C33" s="190"/>
      <c r="D33" s="190"/>
      <c r="E33" s="190"/>
      <c r="F33" s="190"/>
      <c r="G33" s="190"/>
      <c r="H33" s="190"/>
      <c r="I33" s="190"/>
      <c r="J33" s="190"/>
      <c r="K33" s="190"/>
      <c r="L33" s="190"/>
      <c r="M33" s="173"/>
      <c r="N33" s="1"/>
    </row>
    <row r="34" spans="1:14">
      <c r="A34" s="366"/>
      <c r="B34" s="373"/>
      <c r="C34" s="373"/>
      <c r="D34" s="373"/>
      <c r="E34" s="373"/>
      <c r="F34" s="373"/>
      <c r="G34" s="373"/>
      <c r="H34" s="373"/>
      <c r="I34" s="373"/>
      <c r="J34" s="373"/>
      <c r="K34" s="373"/>
      <c r="L34" s="373"/>
      <c r="M34" s="173"/>
      <c r="N34" s="1"/>
    </row>
    <row r="35" spans="1:14">
      <c r="A35" s="9" t="s">
        <v>63</v>
      </c>
      <c r="B35" s="1"/>
      <c r="C35" s="1"/>
      <c r="D35" s="1"/>
      <c r="E35" s="1"/>
      <c r="F35" s="1"/>
      <c r="G35" s="1"/>
      <c r="H35" s="1"/>
      <c r="I35" s="1"/>
      <c r="J35" s="1"/>
      <c r="K35" s="1"/>
      <c r="L35" s="1"/>
      <c r="M35" s="173"/>
      <c r="N35" s="1"/>
    </row>
    <row r="36" spans="1:14">
      <c r="A36" s="40" t="s">
        <v>19</v>
      </c>
      <c r="B36" s="15"/>
      <c r="C36" s="15"/>
      <c r="D36" s="15"/>
      <c r="E36" s="15"/>
      <c r="F36" s="15"/>
      <c r="G36" s="15"/>
      <c r="H36" s="15"/>
      <c r="I36" s="15"/>
      <c r="J36" s="15"/>
      <c r="K36" s="15"/>
      <c r="L36" s="15"/>
      <c r="M36" s="173"/>
      <c r="N36" s="1"/>
    </row>
    <row r="37" spans="1:14">
      <c r="A37" s="40" t="s">
        <v>251</v>
      </c>
      <c r="B37" s="22">
        <v>1.2</v>
      </c>
      <c r="C37" s="22">
        <v>1.2</v>
      </c>
      <c r="D37" s="22">
        <v>1.2</v>
      </c>
      <c r="E37" s="22">
        <v>1.2</v>
      </c>
      <c r="F37" s="22">
        <v>2.2000000000000002</v>
      </c>
      <c r="G37" s="22">
        <v>2.2000000000000002</v>
      </c>
      <c r="H37" s="22">
        <v>2</v>
      </c>
      <c r="I37" s="22">
        <v>2</v>
      </c>
      <c r="J37" s="22">
        <v>28.574999999999999</v>
      </c>
      <c r="K37" s="22">
        <v>28.574999999999999</v>
      </c>
      <c r="L37" s="22">
        <v>28.574999999999999</v>
      </c>
      <c r="M37" s="173"/>
      <c r="N37" s="1"/>
    </row>
    <row r="38" spans="1:14">
      <c r="A38" s="40" t="s">
        <v>252</v>
      </c>
      <c r="B38" s="22">
        <v>21.25</v>
      </c>
      <c r="C38" s="22">
        <v>21.25</v>
      </c>
      <c r="D38" s="22">
        <v>21.25</v>
      </c>
      <c r="E38" s="22">
        <v>21.25</v>
      </c>
      <c r="F38" s="22">
        <v>22.75</v>
      </c>
      <c r="G38" s="22">
        <v>22.75</v>
      </c>
      <c r="H38" s="22">
        <v>23.25</v>
      </c>
      <c r="I38" s="22">
        <v>23.25</v>
      </c>
      <c r="J38" s="22">
        <v>0</v>
      </c>
      <c r="K38" s="22">
        <v>0</v>
      </c>
      <c r="L38" s="22">
        <v>0</v>
      </c>
      <c r="M38" s="173"/>
      <c r="N38" s="1"/>
    </row>
    <row r="39" spans="1:14">
      <c r="A39" s="40" t="s">
        <v>79</v>
      </c>
      <c r="B39" s="465">
        <v>4</v>
      </c>
      <c r="C39" s="465">
        <v>4</v>
      </c>
      <c r="D39" s="465">
        <v>4</v>
      </c>
      <c r="E39" s="465">
        <v>4</v>
      </c>
      <c r="F39" s="465">
        <v>4</v>
      </c>
      <c r="G39" s="465">
        <v>4</v>
      </c>
      <c r="H39" s="465">
        <v>4</v>
      </c>
      <c r="I39" s="465">
        <v>4</v>
      </c>
      <c r="J39" s="465">
        <v>0</v>
      </c>
      <c r="K39" s="465">
        <v>0</v>
      </c>
      <c r="L39" s="465">
        <v>0</v>
      </c>
      <c r="M39" s="173"/>
      <c r="N39" s="1"/>
    </row>
    <row r="40" spans="1:14">
      <c r="A40" s="46" t="s">
        <v>64</v>
      </c>
      <c r="B40" s="34">
        <f t="shared" ref="B40:L40" si="5">SUM(B36:B39)</f>
        <v>26.45</v>
      </c>
      <c r="C40" s="34">
        <f t="shared" si="5"/>
        <v>26.45</v>
      </c>
      <c r="D40" s="34">
        <f t="shared" si="5"/>
        <v>26.45</v>
      </c>
      <c r="E40" s="34">
        <f t="shared" si="5"/>
        <v>26.45</v>
      </c>
      <c r="F40" s="34">
        <f t="shared" si="5"/>
        <v>28.95</v>
      </c>
      <c r="G40" s="34">
        <f t="shared" si="5"/>
        <v>28.95</v>
      </c>
      <c r="H40" s="34">
        <f t="shared" si="5"/>
        <v>29.25</v>
      </c>
      <c r="I40" s="34">
        <f t="shared" si="5"/>
        <v>29.25</v>
      </c>
      <c r="J40" s="34">
        <f t="shared" si="5"/>
        <v>28.574999999999999</v>
      </c>
      <c r="K40" s="34">
        <f t="shared" si="5"/>
        <v>28.574999999999999</v>
      </c>
      <c r="L40" s="34">
        <f t="shared" si="5"/>
        <v>28.574999999999999</v>
      </c>
      <c r="M40" s="173"/>
      <c r="N40" s="1"/>
    </row>
    <row r="41" spans="1:14">
      <c r="A41" s="359"/>
      <c r="B41" s="117"/>
      <c r="C41" s="117"/>
      <c r="D41" s="117"/>
      <c r="E41" s="117"/>
      <c r="F41" s="117"/>
      <c r="G41" s="117"/>
      <c r="H41" s="117"/>
      <c r="I41" s="117"/>
      <c r="J41" s="117"/>
      <c r="K41" s="117"/>
      <c r="L41" s="117"/>
      <c r="M41" s="173"/>
      <c r="N41" s="1"/>
    </row>
    <row r="42" spans="1:14">
      <c r="A42" s="163"/>
      <c r="B42" s="117"/>
      <c r="C42" s="117"/>
      <c r="D42" s="117"/>
      <c r="E42" s="117"/>
      <c r="F42" s="117"/>
      <c r="G42" s="117"/>
      <c r="H42" s="117"/>
      <c r="I42" s="117"/>
      <c r="J42" s="117"/>
      <c r="K42" s="117"/>
      <c r="L42" s="117"/>
      <c r="M42" s="173"/>
      <c r="N42" s="1"/>
    </row>
    <row r="43" spans="1:14">
      <c r="A43" s="361"/>
      <c r="B43" s="117"/>
      <c r="C43" s="117"/>
      <c r="D43" s="117"/>
      <c r="E43" s="117"/>
      <c r="F43" s="117"/>
      <c r="G43" s="117"/>
      <c r="H43" s="117"/>
      <c r="I43" s="117"/>
      <c r="J43" s="117"/>
      <c r="K43" s="117"/>
      <c r="L43" s="117"/>
      <c r="M43" s="173"/>
      <c r="N43" s="1"/>
    </row>
    <row r="44" spans="1:14">
      <c r="A44" s="363"/>
      <c r="B44" s="117"/>
      <c r="C44" s="339"/>
      <c r="D44" s="339"/>
      <c r="E44" s="339"/>
      <c r="F44" s="339"/>
      <c r="G44" s="339"/>
      <c r="H44" s="339"/>
      <c r="I44" s="339"/>
      <c r="J44" s="339"/>
      <c r="K44" s="339"/>
      <c r="L44" s="339"/>
    </row>
    <row r="45" spans="1:14">
      <c r="A45" s="368"/>
      <c r="B45" s="117"/>
      <c r="C45" s="117"/>
      <c r="D45" s="117"/>
      <c r="E45" s="117"/>
      <c r="F45" s="117"/>
      <c r="G45" s="117"/>
      <c r="H45" s="117"/>
      <c r="I45" s="117"/>
      <c r="J45" s="117"/>
      <c r="K45" s="117"/>
      <c r="L45" s="339"/>
    </row>
    <row r="46" spans="1:14">
      <c r="A46" s="163"/>
      <c r="B46" s="117"/>
      <c r="C46" s="117"/>
      <c r="D46" s="117"/>
      <c r="E46" s="117"/>
      <c r="F46" s="117"/>
      <c r="G46" s="117"/>
      <c r="H46" s="117"/>
      <c r="I46" s="117"/>
      <c r="J46" s="117"/>
      <c r="K46" s="117"/>
      <c r="L46" s="117"/>
    </row>
    <row r="47" spans="1:14">
      <c r="A47" s="163"/>
      <c r="B47" s="163"/>
      <c r="C47" s="163"/>
      <c r="D47" s="163"/>
      <c r="E47" s="163"/>
      <c r="F47" s="163"/>
      <c r="G47" s="163"/>
      <c r="H47" s="163"/>
      <c r="I47" s="163"/>
      <c r="J47" s="163"/>
      <c r="K47" s="163"/>
      <c r="L47" s="163"/>
    </row>
    <row r="48" spans="1:14">
      <c r="A48" s="399"/>
      <c r="B48" s="117"/>
      <c r="C48" s="117"/>
      <c r="D48" s="117"/>
      <c r="E48" s="117"/>
      <c r="F48" s="117"/>
      <c r="G48" s="117"/>
      <c r="H48" s="117"/>
      <c r="I48" s="117"/>
      <c r="J48" s="117"/>
      <c r="K48" s="117"/>
      <c r="L48" s="117"/>
    </row>
    <row r="49" spans="1:14">
      <c r="A49" s="399"/>
      <c r="B49" s="117"/>
      <c r="C49" s="117"/>
      <c r="D49" s="117"/>
      <c r="E49" s="117"/>
      <c r="F49" s="117"/>
      <c r="G49" s="117"/>
      <c r="H49" s="117"/>
      <c r="I49" s="117"/>
      <c r="J49" s="117"/>
      <c r="K49" s="117"/>
      <c r="L49" s="117"/>
      <c r="M49" s="173"/>
      <c r="N49" s="1"/>
    </row>
    <row r="50" spans="1:14">
      <c r="A50" s="399"/>
      <c r="B50" s="117"/>
      <c r="C50" s="117"/>
      <c r="D50" s="117"/>
      <c r="E50" s="117"/>
      <c r="F50" s="117"/>
      <c r="G50" s="117"/>
      <c r="H50" s="117"/>
      <c r="I50" s="117"/>
      <c r="J50" s="117"/>
      <c r="K50" s="117"/>
      <c r="L50" s="117"/>
    </row>
    <row r="51" spans="1:14">
      <c r="A51" s="367"/>
      <c r="B51" s="117"/>
      <c r="C51" s="117"/>
      <c r="D51" s="117"/>
      <c r="E51" s="117"/>
      <c r="F51" s="117"/>
      <c r="G51" s="117"/>
      <c r="H51" s="117"/>
      <c r="I51" s="117"/>
      <c r="J51" s="117"/>
      <c r="K51" s="117"/>
      <c r="L51" s="117"/>
    </row>
    <row r="52" spans="1:14">
      <c r="A52" s="363"/>
      <c r="B52" s="117"/>
      <c r="C52" s="117"/>
      <c r="D52" s="117"/>
      <c r="E52" s="117"/>
      <c r="F52" s="117"/>
      <c r="G52" s="117"/>
      <c r="H52" s="117"/>
      <c r="I52" s="117"/>
      <c r="J52" s="117"/>
      <c r="K52" s="117"/>
      <c r="L52" s="117"/>
      <c r="M52" s="173"/>
      <c r="N52" s="1"/>
    </row>
    <row r="53" spans="1:14">
      <c r="A53" s="163"/>
      <c r="B53" s="163"/>
      <c r="C53" s="237"/>
      <c r="D53" s="237"/>
      <c r="E53" s="237"/>
      <c r="F53" s="237"/>
      <c r="G53" s="237"/>
      <c r="H53" s="237"/>
      <c r="I53" s="237"/>
      <c r="J53" s="237"/>
      <c r="K53" s="237"/>
      <c r="L53" s="237"/>
      <c r="M53" s="173"/>
      <c r="N53" s="1"/>
    </row>
    <row r="54" spans="1:14">
      <c r="A54" s="163"/>
      <c r="B54" s="163"/>
      <c r="C54" s="163"/>
      <c r="D54" s="163"/>
      <c r="E54" s="163"/>
      <c r="F54" s="163"/>
      <c r="G54" s="163"/>
      <c r="H54" s="163"/>
      <c r="I54" s="163"/>
      <c r="J54" s="163"/>
      <c r="K54" s="163"/>
      <c r="L54" s="163"/>
      <c r="M54" s="173"/>
      <c r="N54" s="1"/>
    </row>
    <row r="55" spans="1:14">
      <c r="A55" s="400"/>
      <c r="B55" s="117"/>
      <c r="C55" s="117"/>
      <c r="D55" s="117"/>
      <c r="E55" s="117"/>
      <c r="F55" s="117"/>
      <c r="G55" s="117"/>
      <c r="H55" s="117"/>
      <c r="I55" s="117"/>
      <c r="J55" s="117"/>
      <c r="K55" s="117"/>
      <c r="L55" s="117"/>
      <c r="M55" s="173"/>
      <c r="N55" s="1"/>
    </row>
    <row r="56" spans="1:14">
      <c r="A56" s="359"/>
      <c r="B56" s="117"/>
      <c r="C56" s="117"/>
      <c r="D56" s="117"/>
      <c r="E56" s="117"/>
      <c r="F56" s="117"/>
      <c r="G56" s="117"/>
      <c r="H56" s="117"/>
      <c r="I56" s="117"/>
      <c r="J56" s="117"/>
      <c r="K56" s="117"/>
      <c r="L56" s="117"/>
      <c r="M56" s="173"/>
      <c r="N56" s="1"/>
    </row>
    <row r="57" spans="1:14">
      <c r="A57" s="359"/>
      <c r="B57" s="117"/>
      <c r="C57" s="117"/>
      <c r="D57" s="117"/>
      <c r="E57" s="117"/>
      <c r="F57" s="117"/>
      <c r="G57" s="117"/>
      <c r="H57" s="117"/>
      <c r="I57" s="117"/>
      <c r="J57" s="117"/>
      <c r="K57" s="117"/>
      <c r="L57" s="117"/>
      <c r="M57" s="173"/>
      <c r="N57" s="1"/>
    </row>
    <row r="58" spans="1:14">
      <c r="A58" s="375"/>
      <c r="B58" s="117"/>
      <c r="C58" s="117"/>
      <c r="D58" s="117"/>
      <c r="E58" s="117"/>
      <c r="F58" s="117"/>
      <c r="G58" s="117"/>
      <c r="H58" s="117"/>
      <c r="I58" s="117"/>
      <c r="J58" s="117"/>
      <c r="K58" s="117"/>
      <c r="L58" s="117"/>
      <c r="M58" s="173"/>
      <c r="N58" s="1"/>
    </row>
    <row r="59" spans="1:14">
      <c r="A59" s="163"/>
      <c r="B59" s="117"/>
      <c r="C59" s="117"/>
      <c r="D59" s="117"/>
      <c r="E59" s="117"/>
      <c r="F59" s="117"/>
      <c r="G59" s="117"/>
      <c r="H59" s="117"/>
      <c r="I59" s="117"/>
      <c r="J59" s="117"/>
      <c r="K59" s="117"/>
      <c r="L59" s="117"/>
      <c r="M59" s="173"/>
      <c r="N59" s="1"/>
    </row>
    <row r="60" spans="1:14">
      <c r="A60" s="401"/>
      <c r="B60" s="117"/>
      <c r="C60" s="117"/>
      <c r="D60" s="117"/>
      <c r="E60" s="117"/>
      <c r="F60" s="117"/>
      <c r="G60" s="117"/>
      <c r="H60" s="117"/>
      <c r="I60" s="117"/>
      <c r="J60" s="117"/>
      <c r="K60" s="117"/>
      <c r="L60" s="117"/>
      <c r="M60" s="173"/>
      <c r="N60" s="1"/>
    </row>
    <row r="61" spans="1:14">
      <c r="A61" s="359"/>
      <c r="B61" s="117"/>
      <c r="C61" s="117"/>
      <c r="D61" s="117"/>
      <c r="E61" s="117"/>
      <c r="F61" s="117"/>
      <c r="G61" s="117"/>
      <c r="H61" s="117"/>
      <c r="I61" s="117"/>
      <c r="J61" s="117"/>
      <c r="K61" s="117"/>
      <c r="L61" s="117"/>
      <c r="M61" s="173"/>
      <c r="N61" s="1"/>
    </row>
    <row r="62" spans="1:14">
      <c r="A62" s="359"/>
      <c r="B62" s="117"/>
      <c r="C62" s="117"/>
      <c r="D62" s="117"/>
      <c r="E62" s="117"/>
      <c r="F62" s="117"/>
      <c r="G62" s="117"/>
      <c r="H62" s="117"/>
      <c r="I62" s="117"/>
      <c r="J62" s="117"/>
      <c r="K62" s="117"/>
      <c r="L62" s="117"/>
      <c r="M62" s="173"/>
      <c r="N62" s="1"/>
    </row>
    <row r="63" spans="1:14">
      <c r="A63" s="375"/>
      <c r="B63" s="117"/>
      <c r="C63" s="117"/>
      <c r="D63" s="117"/>
      <c r="E63" s="117"/>
      <c r="F63" s="117"/>
      <c r="G63" s="117"/>
      <c r="H63" s="117"/>
      <c r="I63" s="117"/>
      <c r="J63" s="117"/>
      <c r="K63" s="117"/>
      <c r="L63" s="117"/>
      <c r="M63" s="173"/>
      <c r="N63" s="1"/>
    </row>
    <row r="64" spans="1:14" s="9" customFormat="1">
      <c r="A64" s="163"/>
      <c r="B64" s="117"/>
      <c r="C64" s="117"/>
      <c r="D64" s="117"/>
      <c r="E64" s="117"/>
      <c r="F64" s="117"/>
      <c r="G64" s="117"/>
      <c r="H64" s="117"/>
      <c r="I64" s="117"/>
      <c r="J64" s="117"/>
      <c r="K64" s="117"/>
      <c r="L64" s="117"/>
      <c r="M64" s="200"/>
      <c r="N64" s="53"/>
    </row>
    <row r="65" spans="1:15">
      <c r="A65" s="369"/>
      <c r="B65" s="117"/>
      <c r="C65" s="117"/>
      <c r="D65" s="117"/>
      <c r="E65" s="117"/>
      <c r="F65" s="117"/>
      <c r="G65" s="117"/>
      <c r="H65" s="117"/>
      <c r="I65" s="117"/>
      <c r="J65" s="117"/>
      <c r="K65" s="117"/>
      <c r="L65" s="117"/>
      <c r="M65" s="173"/>
      <c r="N65" s="1"/>
      <c r="O65">
        <v>13872298</v>
      </c>
    </row>
    <row r="66" spans="1:15" s="40" customFormat="1">
      <c r="A66" s="359"/>
      <c r="B66" s="117"/>
      <c r="C66" s="117"/>
      <c r="D66" s="117"/>
      <c r="E66" s="117"/>
      <c r="F66" s="117"/>
      <c r="G66" s="117"/>
      <c r="H66" s="117"/>
      <c r="I66" s="117"/>
      <c r="J66" s="117"/>
      <c r="K66" s="117"/>
      <c r="L66" s="117"/>
      <c r="M66" s="177"/>
      <c r="N66" s="111"/>
    </row>
    <row r="67" spans="1:15" s="40" customFormat="1">
      <c r="A67" s="400"/>
      <c r="B67" s="402"/>
      <c r="C67" s="346"/>
      <c r="D67" s="346"/>
      <c r="E67" s="346"/>
      <c r="F67" s="346"/>
      <c r="G67" s="346"/>
      <c r="H67" s="346"/>
      <c r="I67" s="346"/>
      <c r="J67" s="346"/>
      <c r="K67" s="346"/>
      <c r="L67" s="346"/>
      <c r="M67" s="177"/>
      <c r="N67" s="111"/>
    </row>
    <row r="68" spans="1:15" s="40" customFormat="1">
      <c r="A68" s="403"/>
      <c r="B68" s="117"/>
      <c r="C68" s="117"/>
      <c r="D68" s="117"/>
      <c r="E68" s="117"/>
      <c r="F68" s="117"/>
      <c r="G68" s="117"/>
      <c r="H68" s="117"/>
      <c r="I68" s="117"/>
      <c r="J68" s="117"/>
      <c r="K68" s="117"/>
      <c r="L68" s="117"/>
      <c r="M68" s="177"/>
      <c r="N68" s="111"/>
      <c r="O68" s="178"/>
    </row>
    <row r="69" spans="1:15" s="40" customFormat="1">
      <c r="A69" s="404"/>
      <c r="B69" s="398"/>
      <c r="C69" s="398"/>
      <c r="D69" s="398"/>
      <c r="E69" s="398"/>
      <c r="F69" s="398"/>
      <c r="G69" s="398"/>
      <c r="H69" s="398"/>
      <c r="I69" s="398"/>
      <c r="J69" s="398"/>
      <c r="K69" s="398"/>
      <c r="L69" s="398"/>
      <c r="M69" s="177"/>
      <c r="N69" s="111"/>
    </row>
    <row r="70" spans="1:15" s="40" customFormat="1">
      <c r="A70" s="404"/>
      <c r="B70" s="398"/>
      <c r="C70" s="398"/>
      <c r="D70" s="398"/>
      <c r="E70" s="398"/>
      <c r="F70" s="398"/>
      <c r="G70" s="398"/>
      <c r="H70" s="398"/>
      <c r="I70" s="398"/>
      <c r="J70" s="398"/>
      <c r="K70" s="398"/>
      <c r="L70" s="398"/>
      <c r="M70" s="177"/>
      <c r="N70" s="111"/>
    </row>
    <row r="71" spans="1:15" s="40" customFormat="1">
      <c r="A71" s="404"/>
      <c r="B71" s="398"/>
      <c r="C71" s="398"/>
      <c r="D71" s="398"/>
      <c r="E71" s="398"/>
      <c r="F71" s="398"/>
      <c r="G71" s="398"/>
      <c r="H71" s="398"/>
      <c r="I71" s="398"/>
      <c r="J71" s="398"/>
      <c r="K71" s="398"/>
      <c r="L71" s="398"/>
      <c r="M71" s="177"/>
      <c r="N71" s="111"/>
    </row>
    <row r="72" spans="1:15" s="40" customFormat="1">
      <c r="A72" s="404"/>
      <c r="B72" s="398"/>
      <c r="C72" s="398"/>
      <c r="D72" s="398"/>
      <c r="E72" s="398"/>
      <c r="F72" s="398"/>
      <c r="G72" s="398"/>
      <c r="H72" s="398"/>
      <c r="I72" s="398"/>
      <c r="J72" s="398"/>
      <c r="K72" s="398"/>
      <c r="L72" s="398"/>
      <c r="M72" s="177"/>
      <c r="N72" s="111"/>
    </row>
    <row r="73" spans="1:15">
      <c r="A73" s="404"/>
      <c r="B73" s="398"/>
      <c r="C73" s="398"/>
      <c r="D73" s="398"/>
      <c r="E73" s="398"/>
      <c r="F73" s="398"/>
      <c r="G73" s="398"/>
      <c r="H73" s="398"/>
      <c r="I73" s="398"/>
      <c r="J73" s="398"/>
      <c r="K73" s="398"/>
      <c r="L73" s="398"/>
      <c r="M73" s="173"/>
      <c r="N73" s="1"/>
    </row>
    <row r="74" spans="1:15">
      <c r="A74" s="404"/>
      <c r="B74" s="398"/>
      <c r="C74" s="398"/>
      <c r="D74" s="398"/>
      <c r="E74" s="398"/>
      <c r="F74" s="398"/>
      <c r="G74" s="398"/>
      <c r="H74" s="398"/>
      <c r="I74" s="398"/>
      <c r="J74" s="398"/>
      <c r="K74" s="398"/>
      <c r="L74" s="398"/>
      <c r="M74" s="173"/>
      <c r="N74" s="1"/>
    </row>
    <row r="75" spans="1:15">
      <c r="A75" s="404"/>
      <c r="B75" s="398"/>
      <c r="C75" s="398"/>
      <c r="D75" s="398"/>
      <c r="E75" s="398"/>
      <c r="F75" s="398"/>
      <c r="G75" s="398"/>
      <c r="H75" s="398"/>
      <c r="I75" s="398"/>
      <c r="J75" s="398"/>
      <c r="K75" s="398"/>
      <c r="L75" s="398"/>
      <c r="M75" s="173"/>
      <c r="N75" s="1"/>
    </row>
    <row r="76" spans="1:15">
      <c r="A76" s="403"/>
      <c r="B76" s="117"/>
      <c r="C76" s="117"/>
      <c r="D76" s="117"/>
      <c r="E76" s="117"/>
      <c r="F76" s="117"/>
      <c r="G76" s="117"/>
      <c r="H76" s="117"/>
      <c r="I76" s="117"/>
      <c r="J76" s="117"/>
      <c r="K76" s="398"/>
      <c r="L76" s="398"/>
      <c r="M76" s="173"/>
      <c r="N76" s="1"/>
    </row>
    <row r="77" spans="1:15">
      <c r="A77" s="403"/>
      <c r="B77" s="117"/>
      <c r="C77" s="117"/>
      <c r="D77" s="117"/>
      <c r="E77" s="117"/>
      <c r="F77" s="117"/>
      <c r="G77" s="117"/>
      <c r="H77" s="117"/>
      <c r="I77" s="117"/>
      <c r="J77" s="117"/>
      <c r="K77" s="398"/>
      <c r="L77" s="398"/>
      <c r="M77" s="173"/>
      <c r="N77" s="1"/>
    </row>
    <row r="78" spans="1:15">
      <c r="A78" s="405"/>
      <c r="B78" s="117"/>
      <c r="C78" s="117"/>
      <c r="D78" s="117"/>
      <c r="E78" s="117"/>
      <c r="F78" s="117"/>
      <c r="G78" s="117"/>
      <c r="H78" s="117"/>
      <c r="I78" s="117"/>
      <c r="J78" s="117"/>
      <c r="K78" s="117"/>
      <c r="L78" s="117"/>
      <c r="M78" s="173"/>
      <c r="N78" s="1"/>
    </row>
    <row r="79" spans="1:15">
      <c r="A79" s="163"/>
      <c r="B79" s="117"/>
      <c r="C79" s="117"/>
      <c r="D79" s="117"/>
      <c r="E79" s="117"/>
      <c r="F79" s="117"/>
      <c r="G79" s="117"/>
      <c r="H79" s="117"/>
      <c r="I79" s="117"/>
      <c r="J79" s="117"/>
      <c r="K79" s="117"/>
      <c r="L79" s="117"/>
      <c r="M79" s="173"/>
      <c r="N79" s="1"/>
    </row>
    <row r="80" spans="1:15">
      <c r="A80" s="163"/>
      <c r="B80" s="163"/>
      <c r="C80" s="163"/>
      <c r="D80" s="163"/>
      <c r="E80" s="163"/>
      <c r="F80" s="163"/>
      <c r="G80" s="163"/>
      <c r="H80" s="163"/>
      <c r="I80" s="163"/>
      <c r="J80" s="163"/>
      <c r="K80" s="163"/>
      <c r="L80" s="163"/>
      <c r="M80" s="173"/>
      <c r="N80" s="1"/>
    </row>
    <row r="81" spans="1:14">
      <c r="A81" s="356"/>
      <c r="B81" s="145"/>
      <c r="C81" s="145"/>
      <c r="D81" s="145"/>
      <c r="E81" s="145"/>
      <c r="F81" s="145"/>
      <c r="G81" s="145"/>
      <c r="H81" s="145"/>
      <c r="I81" s="145"/>
      <c r="J81" s="145"/>
      <c r="K81" s="145"/>
      <c r="L81" s="145"/>
      <c r="M81" s="173"/>
      <c r="N81" s="1"/>
    </row>
    <row r="82" spans="1:14">
      <c r="A82" s="356"/>
      <c r="B82" s="117"/>
      <c r="C82" s="117"/>
      <c r="D82" s="117"/>
      <c r="E82" s="117"/>
      <c r="F82" s="117"/>
      <c r="G82" s="117"/>
      <c r="H82" s="117"/>
      <c r="I82" s="117"/>
      <c r="J82" s="117"/>
      <c r="K82" s="117"/>
      <c r="L82" s="117"/>
      <c r="M82" s="173"/>
      <c r="N82" s="1"/>
    </row>
    <row r="83" spans="1:14">
      <c r="A83" s="371"/>
      <c r="B83" s="406"/>
      <c r="C83" s="406"/>
      <c r="D83" s="406"/>
      <c r="E83" s="406"/>
      <c r="F83" s="406"/>
      <c r="G83" s="406"/>
      <c r="H83" s="406"/>
      <c r="I83" s="406"/>
      <c r="J83" s="406"/>
      <c r="K83" s="406"/>
      <c r="L83" s="406"/>
      <c r="M83" s="173"/>
      <c r="N83" s="1"/>
    </row>
    <row r="84" spans="1:14">
      <c r="A84" s="371"/>
      <c r="B84" s="406"/>
      <c r="C84" s="406"/>
      <c r="D84" s="406"/>
      <c r="E84" s="406"/>
      <c r="F84" s="406"/>
      <c r="G84" s="406"/>
      <c r="H84" s="406"/>
      <c r="I84" s="406"/>
      <c r="J84" s="406"/>
      <c r="K84" s="406"/>
      <c r="L84" s="406"/>
      <c r="M84" s="173"/>
      <c r="N84" s="1"/>
    </row>
    <row r="85" spans="1:14">
      <c r="A85" s="371"/>
      <c r="B85" s="373"/>
      <c r="C85" s="373"/>
      <c r="D85" s="373"/>
      <c r="E85" s="373"/>
      <c r="F85" s="373"/>
      <c r="G85" s="373"/>
      <c r="H85" s="373"/>
      <c r="I85" s="373"/>
      <c r="J85" s="373"/>
      <c r="K85" s="373"/>
      <c r="L85" s="373"/>
      <c r="M85" s="173"/>
      <c r="N85" s="1"/>
    </row>
    <row r="86" spans="1:14">
      <c r="A86" s="356"/>
      <c r="B86" s="117"/>
      <c r="C86" s="117"/>
      <c r="D86" s="117"/>
      <c r="E86" s="117"/>
      <c r="F86" s="117"/>
      <c r="G86" s="117"/>
      <c r="H86" s="117"/>
      <c r="I86" s="117"/>
      <c r="J86" s="117"/>
      <c r="K86" s="117"/>
      <c r="L86" s="117"/>
      <c r="M86" s="173"/>
      <c r="N86" s="1"/>
    </row>
    <row r="87" spans="1:14">
      <c r="A87" s="356"/>
      <c r="B87" s="117"/>
      <c r="C87" s="117"/>
      <c r="D87" s="117"/>
      <c r="E87" s="117"/>
      <c r="F87" s="117"/>
      <c r="G87" s="117"/>
      <c r="H87" s="117"/>
      <c r="I87" s="117"/>
      <c r="J87" s="117"/>
      <c r="K87" s="117"/>
      <c r="L87" s="117"/>
      <c r="M87" s="173"/>
      <c r="N87" s="1"/>
    </row>
    <row r="88" spans="1:14">
      <c r="A88" s="163"/>
      <c r="B88" s="163"/>
      <c r="C88" s="163"/>
      <c r="D88" s="163"/>
      <c r="E88" s="163"/>
      <c r="F88" s="163"/>
      <c r="G88" s="163"/>
      <c r="H88" s="163"/>
      <c r="I88" s="163"/>
      <c r="J88" s="163"/>
      <c r="K88" s="163"/>
      <c r="L88" s="163"/>
      <c r="M88" s="173"/>
      <c r="N88" s="1"/>
    </row>
    <row r="89" spans="1:14">
      <c r="A89" s="371"/>
      <c r="B89" s="117"/>
      <c r="C89" s="117"/>
      <c r="D89" s="117"/>
      <c r="E89" s="117"/>
      <c r="F89" s="117"/>
      <c r="G89" s="117"/>
      <c r="H89" s="117"/>
      <c r="I89" s="117"/>
      <c r="J89" s="117"/>
      <c r="K89" s="117"/>
      <c r="L89" s="117"/>
      <c r="M89" s="19"/>
    </row>
    <row r="90" spans="1:14">
      <c r="A90" s="357"/>
      <c r="B90" s="117"/>
      <c r="C90" s="117"/>
      <c r="D90" s="117"/>
      <c r="E90" s="117"/>
      <c r="F90" s="117"/>
      <c r="G90" s="117"/>
      <c r="H90" s="117"/>
      <c r="I90" s="117"/>
      <c r="J90" s="117"/>
      <c r="K90" s="117"/>
      <c r="L90" s="117"/>
      <c r="M90" s="27"/>
      <c r="N90" s="1"/>
    </row>
    <row r="91" spans="1:14">
      <c r="A91" s="357"/>
      <c r="B91" s="163"/>
      <c r="C91" s="163"/>
      <c r="D91" s="163"/>
      <c r="E91" s="163"/>
      <c r="F91" s="163"/>
      <c r="G91" s="163"/>
      <c r="H91" s="163"/>
      <c r="I91" s="163"/>
      <c r="J91" s="163"/>
      <c r="K91" s="163"/>
      <c r="L91" s="163"/>
      <c r="M91" s="27"/>
      <c r="N91" s="1"/>
    </row>
    <row r="92" spans="1:14">
      <c r="A92" s="357"/>
      <c r="B92" s="163"/>
      <c r="C92" s="163"/>
      <c r="D92" s="163"/>
      <c r="E92" s="163"/>
      <c r="F92" s="163"/>
      <c r="G92" s="163"/>
      <c r="H92" s="163"/>
      <c r="I92" s="163"/>
      <c r="J92" s="163"/>
      <c r="K92" s="163"/>
      <c r="L92" s="163"/>
      <c r="M92" s="27"/>
      <c r="N92" s="1"/>
    </row>
    <row r="93" spans="1:14">
      <c r="A93" s="357"/>
      <c r="B93" s="117"/>
      <c r="C93" s="117"/>
      <c r="D93" s="117"/>
      <c r="E93" s="117"/>
      <c r="F93" s="117"/>
      <c r="G93" s="117"/>
      <c r="H93" s="117"/>
      <c r="I93" s="117"/>
      <c r="J93" s="117"/>
      <c r="K93" s="117"/>
      <c r="L93" s="117"/>
      <c r="M93" s="27"/>
      <c r="N93" s="1"/>
    </row>
    <row r="94" spans="1:14">
      <c r="A94" s="359"/>
      <c r="B94" s="358"/>
      <c r="C94" s="358"/>
      <c r="D94" s="358"/>
      <c r="E94" s="358"/>
      <c r="F94" s="358"/>
      <c r="G94" s="358"/>
      <c r="H94" s="358"/>
      <c r="I94" s="358"/>
      <c r="J94" s="358"/>
      <c r="K94" s="358"/>
      <c r="L94" s="358"/>
      <c r="M94" s="27"/>
      <c r="N94" s="1"/>
    </row>
    <row r="95" spans="1:14">
      <c r="A95" s="359"/>
      <c r="B95" s="360"/>
      <c r="C95" s="360"/>
      <c r="D95" s="360"/>
      <c r="E95" s="360"/>
      <c r="F95" s="360"/>
      <c r="G95" s="360"/>
      <c r="H95" s="360"/>
      <c r="I95" s="360"/>
      <c r="J95" s="360"/>
      <c r="K95" s="360"/>
      <c r="L95" s="360"/>
      <c r="M95" s="27"/>
      <c r="N95" s="1"/>
    </row>
    <row r="96" spans="1:14" s="17" customFormat="1">
      <c r="A96" s="359"/>
      <c r="B96" s="360"/>
      <c r="C96" s="360"/>
      <c r="D96" s="360"/>
      <c r="E96" s="360"/>
      <c r="F96" s="360"/>
      <c r="G96" s="360"/>
      <c r="H96" s="360"/>
      <c r="I96" s="360"/>
      <c r="J96" s="360"/>
      <c r="K96" s="360"/>
      <c r="L96" s="360"/>
      <c r="M96" s="79"/>
      <c r="N96" s="33"/>
    </row>
    <row r="97" spans="1:14">
      <c r="A97" s="359"/>
      <c r="B97" s="360"/>
      <c r="C97" s="360"/>
      <c r="D97" s="360"/>
      <c r="E97" s="360"/>
      <c r="F97" s="360"/>
      <c r="G97" s="360"/>
      <c r="H97" s="360"/>
      <c r="I97" s="360"/>
      <c r="J97" s="360"/>
      <c r="K97" s="360"/>
      <c r="L97" s="360"/>
      <c r="M97" s="27"/>
      <c r="N97" s="1"/>
    </row>
    <row r="98" spans="1:14">
      <c r="A98" s="361"/>
      <c r="B98" s="360"/>
      <c r="C98" s="360"/>
      <c r="D98" s="360"/>
      <c r="E98" s="360"/>
      <c r="F98" s="360"/>
      <c r="G98" s="360"/>
      <c r="H98" s="360"/>
      <c r="I98" s="360"/>
      <c r="J98" s="360"/>
      <c r="K98" s="360"/>
      <c r="L98" s="360"/>
      <c r="M98" s="27"/>
      <c r="N98" s="1"/>
    </row>
    <row r="99" spans="1:14">
      <c r="A99" s="363"/>
      <c r="B99" s="163"/>
      <c r="C99" s="163"/>
      <c r="D99" s="163"/>
      <c r="E99" s="163"/>
      <c r="F99" s="163"/>
      <c r="G99" s="163"/>
      <c r="H99" s="163"/>
      <c r="I99" s="163"/>
      <c r="J99" s="163"/>
      <c r="K99" s="163"/>
      <c r="L99" s="163"/>
      <c r="M99" s="27"/>
      <c r="N99" s="1"/>
    </row>
    <row r="100" spans="1:14">
      <c r="A100" s="242"/>
      <c r="B100" s="358"/>
      <c r="C100" s="237"/>
      <c r="D100" s="237"/>
      <c r="E100" s="237"/>
      <c r="F100" s="237"/>
      <c r="G100" s="237"/>
      <c r="H100" s="237"/>
      <c r="I100" s="237"/>
      <c r="J100" s="237"/>
      <c r="K100" s="237"/>
      <c r="L100" s="237"/>
      <c r="M100" s="27"/>
      <c r="N100" s="1"/>
    </row>
    <row r="101" spans="1:14">
      <c r="A101" s="163"/>
      <c r="B101" s="358"/>
      <c r="C101" s="237"/>
      <c r="D101" s="237"/>
      <c r="E101" s="237"/>
      <c r="F101" s="237"/>
      <c r="G101" s="237"/>
      <c r="H101" s="237"/>
      <c r="I101" s="237"/>
      <c r="J101" s="237"/>
      <c r="K101" s="237"/>
      <c r="L101" s="237"/>
      <c r="M101" s="27"/>
      <c r="N101" s="1"/>
    </row>
    <row r="102" spans="1:14">
      <c r="A102" s="357"/>
      <c r="B102" s="117"/>
      <c r="C102" s="117"/>
      <c r="D102" s="117"/>
      <c r="E102" s="117"/>
      <c r="F102" s="117"/>
      <c r="G102" s="117"/>
      <c r="H102" s="117"/>
      <c r="I102" s="117"/>
      <c r="J102" s="117"/>
      <c r="K102" s="117"/>
      <c r="L102" s="117"/>
      <c r="M102" s="27"/>
      <c r="N102" s="1"/>
    </row>
    <row r="103" spans="1:14">
      <c r="A103" s="359"/>
      <c r="B103" s="360"/>
      <c r="C103" s="360"/>
      <c r="D103" s="360"/>
      <c r="E103" s="360"/>
      <c r="F103" s="360"/>
      <c r="G103" s="360"/>
      <c r="H103" s="360"/>
      <c r="I103" s="360"/>
      <c r="J103" s="360"/>
      <c r="K103" s="360"/>
      <c r="L103" s="360"/>
      <c r="M103" s="19"/>
    </row>
    <row r="104" spans="1:14">
      <c r="A104" s="359"/>
      <c r="B104" s="360"/>
      <c r="C104" s="360"/>
      <c r="D104" s="360"/>
      <c r="E104" s="360"/>
      <c r="F104" s="360"/>
      <c r="G104" s="360"/>
      <c r="H104" s="360"/>
      <c r="I104" s="360"/>
      <c r="J104" s="360"/>
      <c r="K104" s="360"/>
      <c r="L104" s="360"/>
      <c r="M104" s="27"/>
      <c r="N104" s="1"/>
    </row>
    <row r="105" spans="1:14">
      <c r="A105" s="375"/>
      <c r="B105" s="407"/>
      <c r="C105" s="407"/>
      <c r="D105" s="407"/>
      <c r="E105" s="407"/>
      <c r="F105" s="407"/>
      <c r="G105" s="407"/>
      <c r="H105" s="407"/>
      <c r="I105" s="407"/>
      <c r="J105" s="407"/>
      <c r="K105" s="407"/>
      <c r="L105" s="407"/>
      <c r="M105" s="27"/>
      <c r="N105" s="1"/>
    </row>
    <row r="106" spans="1:14">
      <c r="A106" s="163"/>
      <c r="B106" s="163"/>
      <c r="C106" s="163"/>
      <c r="D106" s="163"/>
      <c r="E106" s="163"/>
      <c r="F106" s="163"/>
      <c r="G106" s="163"/>
      <c r="H106" s="163"/>
      <c r="I106" s="163"/>
      <c r="J106" s="163"/>
      <c r="K106" s="163"/>
      <c r="L106" s="163"/>
      <c r="M106" s="27"/>
      <c r="N106" s="1"/>
    </row>
    <row r="107" spans="1:14">
      <c r="A107" s="357"/>
      <c r="B107" s="117"/>
      <c r="C107" s="117"/>
      <c r="D107" s="117"/>
      <c r="E107" s="117"/>
      <c r="F107" s="117"/>
      <c r="G107" s="117"/>
      <c r="H107" s="117"/>
      <c r="I107" s="117"/>
      <c r="J107" s="117"/>
      <c r="K107" s="117"/>
      <c r="L107" s="117"/>
      <c r="M107" s="27"/>
      <c r="N107" s="1"/>
    </row>
    <row r="108" spans="1:14">
      <c r="A108" s="359"/>
      <c r="B108" s="117"/>
      <c r="C108" s="117"/>
      <c r="D108" s="117"/>
      <c r="E108" s="117"/>
      <c r="F108" s="117"/>
      <c r="G108" s="117"/>
      <c r="H108" s="117"/>
      <c r="I108" s="117"/>
      <c r="J108" s="117"/>
      <c r="K108" s="117"/>
      <c r="L108" s="117"/>
      <c r="M108" s="27"/>
      <c r="N108" s="1"/>
    </row>
    <row r="109" spans="1:14">
      <c r="A109" s="359"/>
      <c r="B109" s="360"/>
      <c r="C109" s="360"/>
      <c r="D109" s="360"/>
      <c r="E109" s="360"/>
      <c r="F109" s="360"/>
      <c r="G109" s="360"/>
      <c r="H109" s="360"/>
      <c r="I109" s="360"/>
      <c r="J109" s="360"/>
      <c r="K109" s="360"/>
      <c r="L109" s="360"/>
      <c r="M109" s="27"/>
      <c r="N109" s="1"/>
    </row>
    <row r="110" spans="1:14">
      <c r="A110" s="375"/>
      <c r="B110" s="360"/>
      <c r="C110" s="360"/>
      <c r="D110" s="360"/>
      <c r="E110" s="360"/>
      <c r="F110" s="360"/>
      <c r="G110" s="360"/>
      <c r="H110" s="360"/>
      <c r="I110" s="360"/>
      <c r="J110" s="360"/>
      <c r="K110" s="360"/>
      <c r="L110" s="360"/>
      <c r="M110" s="27"/>
      <c r="N110" s="1"/>
    </row>
    <row r="111" spans="1:14">
      <c r="A111" s="163"/>
      <c r="B111" s="117"/>
      <c r="C111" s="117"/>
      <c r="D111" s="117"/>
      <c r="E111" s="117"/>
      <c r="F111" s="117"/>
      <c r="G111" s="117"/>
      <c r="H111" s="117"/>
      <c r="I111" s="117"/>
      <c r="J111" s="117"/>
      <c r="K111" s="117"/>
      <c r="L111" s="117"/>
      <c r="M111" s="27"/>
      <c r="N111" s="1"/>
    </row>
    <row r="112" spans="1:14">
      <c r="A112" s="357"/>
      <c r="B112" s="117"/>
      <c r="C112" s="117"/>
      <c r="D112" s="117"/>
      <c r="E112" s="117"/>
      <c r="F112" s="117"/>
      <c r="G112" s="117"/>
      <c r="H112" s="117"/>
      <c r="I112" s="117"/>
      <c r="J112" s="117"/>
      <c r="K112" s="117"/>
      <c r="L112" s="117"/>
      <c r="M112" s="27"/>
      <c r="N112" s="1"/>
    </row>
    <row r="113" spans="1:14">
      <c r="A113" s="359"/>
      <c r="B113" s="117"/>
      <c r="C113" s="117"/>
      <c r="D113" s="117"/>
      <c r="E113" s="117"/>
      <c r="F113" s="117"/>
      <c r="G113" s="117"/>
      <c r="H113" s="117"/>
      <c r="I113" s="117"/>
      <c r="J113" s="117"/>
      <c r="K113" s="117"/>
      <c r="L113" s="117"/>
      <c r="M113" s="27"/>
      <c r="N113" s="1"/>
    </row>
    <row r="114" spans="1:14">
      <c r="A114" s="359"/>
      <c r="B114" s="360"/>
      <c r="C114" s="360"/>
      <c r="D114" s="360"/>
      <c r="E114" s="360"/>
      <c r="F114" s="360"/>
      <c r="G114" s="360"/>
      <c r="H114" s="360"/>
      <c r="I114" s="360"/>
      <c r="J114" s="360"/>
      <c r="K114" s="360"/>
      <c r="L114" s="360"/>
      <c r="M114" s="27"/>
      <c r="N114" s="1"/>
    </row>
    <row r="115" spans="1:14">
      <c r="A115" s="375"/>
      <c r="B115" s="360"/>
      <c r="C115" s="360"/>
      <c r="D115" s="360"/>
      <c r="E115" s="360"/>
      <c r="F115" s="360"/>
      <c r="G115" s="360"/>
      <c r="H115" s="360"/>
      <c r="I115" s="360"/>
      <c r="J115" s="360"/>
      <c r="K115" s="360"/>
      <c r="L115" s="360"/>
      <c r="M115" s="27"/>
      <c r="N115" s="1"/>
    </row>
    <row r="116" spans="1:14">
      <c r="A116" s="163"/>
      <c r="B116" s="117"/>
      <c r="C116" s="117"/>
      <c r="D116" s="117"/>
      <c r="E116" s="117"/>
      <c r="F116" s="117"/>
      <c r="G116" s="117"/>
      <c r="H116" s="117"/>
      <c r="I116" s="117"/>
      <c r="J116" s="117"/>
      <c r="K116" s="117"/>
      <c r="L116" s="117"/>
      <c r="M116" s="27"/>
      <c r="N116" s="1"/>
    </row>
    <row r="117" spans="1:14">
      <c r="A117" s="163"/>
      <c r="B117" s="117"/>
      <c r="C117" s="117"/>
      <c r="D117" s="117"/>
      <c r="E117" s="117"/>
      <c r="F117" s="117"/>
      <c r="G117" s="117"/>
      <c r="H117" s="117"/>
      <c r="I117" s="117"/>
      <c r="J117" s="117"/>
      <c r="K117" s="117"/>
      <c r="L117" s="117"/>
      <c r="M117" s="27"/>
      <c r="N117" s="1"/>
    </row>
    <row r="118" spans="1:14">
      <c r="A118" s="357"/>
      <c r="B118" s="117"/>
      <c r="C118" s="117"/>
      <c r="D118" s="117"/>
      <c r="E118" s="117"/>
      <c r="F118" s="117"/>
      <c r="G118" s="117"/>
      <c r="H118" s="117"/>
      <c r="I118" s="117"/>
      <c r="J118" s="117"/>
      <c r="K118" s="117"/>
      <c r="L118" s="117"/>
      <c r="M118" s="27"/>
      <c r="N118" s="1"/>
    </row>
    <row r="119" spans="1:14">
      <c r="A119" s="359"/>
      <c r="B119" s="117"/>
      <c r="C119" s="117"/>
      <c r="D119" s="117"/>
      <c r="E119" s="117"/>
      <c r="F119" s="117"/>
      <c r="G119" s="117"/>
      <c r="H119" s="117"/>
      <c r="I119" s="117"/>
      <c r="J119" s="117"/>
      <c r="K119" s="117"/>
      <c r="L119" s="117"/>
      <c r="M119" s="27"/>
      <c r="N119" s="1"/>
    </row>
    <row r="120" spans="1:14">
      <c r="A120" s="359"/>
      <c r="B120" s="360"/>
      <c r="C120" s="360"/>
      <c r="D120" s="360"/>
      <c r="E120" s="360"/>
      <c r="F120" s="360"/>
      <c r="G120" s="360"/>
      <c r="H120" s="360"/>
      <c r="I120" s="360"/>
      <c r="J120" s="360"/>
      <c r="K120" s="360"/>
      <c r="L120" s="360"/>
      <c r="M120" s="27"/>
      <c r="N120" s="1"/>
    </row>
    <row r="121" spans="1:14">
      <c r="A121" s="359"/>
      <c r="B121" s="360"/>
      <c r="C121" s="360"/>
      <c r="D121" s="360"/>
      <c r="E121" s="360"/>
      <c r="F121" s="360"/>
      <c r="G121" s="360"/>
      <c r="H121" s="360"/>
      <c r="I121" s="360"/>
      <c r="J121" s="360"/>
      <c r="K121" s="360"/>
      <c r="L121" s="360"/>
      <c r="M121" s="27"/>
      <c r="N121" s="1"/>
    </row>
    <row r="122" spans="1:14">
      <c r="A122" s="359"/>
      <c r="B122" s="360"/>
      <c r="C122" s="360"/>
      <c r="D122" s="360"/>
      <c r="E122" s="360"/>
      <c r="F122" s="360"/>
      <c r="G122" s="360"/>
      <c r="H122" s="360"/>
      <c r="I122" s="360"/>
      <c r="J122" s="360"/>
      <c r="K122" s="360"/>
      <c r="L122" s="360"/>
      <c r="M122" s="27"/>
      <c r="N122" s="1"/>
    </row>
    <row r="123" spans="1:14">
      <c r="A123" s="359"/>
      <c r="B123" s="360"/>
      <c r="C123" s="360"/>
      <c r="D123" s="360"/>
      <c r="E123" s="360"/>
      <c r="F123" s="360"/>
      <c r="G123" s="360"/>
      <c r="H123" s="360"/>
      <c r="I123" s="360"/>
      <c r="J123" s="360"/>
      <c r="K123" s="360"/>
      <c r="L123" s="360"/>
      <c r="M123" s="27"/>
      <c r="N123" s="1"/>
    </row>
    <row r="124" spans="1:14">
      <c r="A124" s="359"/>
      <c r="B124" s="360"/>
      <c r="C124" s="360"/>
      <c r="D124" s="360"/>
      <c r="E124" s="360"/>
      <c r="F124" s="360"/>
      <c r="G124" s="360"/>
      <c r="H124" s="360"/>
      <c r="I124" s="360"/>
      <c r="J124" s="360"/>
      <c r="K124" s="360"/>
      <c r="L124" s="360"/>
      <c r="M124" s="27"/>
      <c r="N124" s="1"/>
    </row>
    <row r="125" spans="1:14">
      <c r="A125" s="359"/>
      <c r="B125" s="360"/>
      <c r="C125" s="360"/>
      <c r="D125" s="360"/>
      <c r="E125" s="360"/>
      <c r="F125" s="360"/>
      <c r="G125" s="360"/>
      <c r="H125" s="360"/>
      <c r="I125" s="360"/>
      <c r="J125" s="360"/>
      <c r="K125" s="360"/>
      <c r="L125" s="360"/>
      <c r="M125" s="27"/>
      <c r="N125" s="1"/>
    </row>
    <row r="126" spans="1:14">
      <c r="A126" s="408"/>
      <c r="B126" s="360"/>
      <c r="C126" s="360"/>
      <c r="D126" s="360"/>
      <c r="E126" s="360"/>
      <c r="F126" s="360"/>
      <c r="G126" s="360"/>
      <c r="H126" s="360"/>
      <c r="I126" s="360"/>
      <c r="J126" s="360"/>
      <c r="K126" s="360"/>
      <c r="L126" s="360"/>
      <c r="M126" s="27"/>
      <c r="N126" s="1"/>
    </row>
    <row r="127" spans="1:14">
      <c r="A127" s="163"/>
      <c r="B127" s="360"/>
      <c r="C127" s="360"/>
      <c r="D127" s="360"/>
      <c r="E127" s="360"/>
      <c r="F127" s="360"/>
      <c r="G127" s="360"/>
      <c r="H127" s="360"/>
      <c r="I127" s="360"/>
      <c r="J127" s="360"/>
      <c r="K127" s="360"/>
      <c r="L127" s="360"/>
      <c r="M127" s="27"/>
      <c r="N127" s="1"/>
    </row>
    <row r="128" spans="1:14">
      <c r="A128" s="163"/>
      <c r="B128" s="117"/>
      <c r="C128" s="117"/>
      <c r="D128" s="117"/>
      <c r="E128" s="117"/>
      <c r="F128" s="117"/>
      <c r="G128" s="117"/>
      <c r="H128" s="117"/>
      <c r="I128" s="117"/>
      <c r="J128" s="117"/>
      <c r="K128" s="117"/>
      <c r="L128" s="117"/>
      <c r="M128" s="27"/>
      <c r="N128" s="1"/>
    </row>
    <row r="129" spans="1:14">
      <c r="A129" s="163"/>
      <c r="B129" s="117"/>
      <c r="C129" s="117"/>
      <c r="D129" s="117"/>
      <c r="E129" s="117"/>
      <c r="F129" s="117"/>
      <c r="G129" s="117"/>
      <c r="H129" s="117"/>
      <c r="I129" s="117"/>
      <c r="J129" s="117"/>
      <c r="K129" s="117"/>
      <c r="L129" s="117"/>
      <c r="M129" s="27"/>
      <c r="N129" s="1"/>
    </row>
    <row r="130" spans="1:14">
      <c r="A130" s="163"/>
      <c r="B130" s="117"/>
      <c r="C130" s="117"/>
      <c r="D130" s="117"/>
      <c r="E130" s="117"/>
      <c r="F130" s="117"/>
      <c r="G130" s="117"/>
      <c r="H130" s="117"/>
      <c r="I130" s="117"/>
      <c r="J130" s="117"/>
      <c r="K130" s="117"/>
      <c r="L130" s="117"/>
      <c r="M130" s="27"/>
      <c r="N130" s="1"/>
    </row>
    <row r="131" spans="1:14">
      <c r="A131" s="163"/>
      <c r="B131" s="117"/>
      <c r="C131" s="117"/>
      <c r="D131" s="117"/>
      <c r="E131" s="117"/>
      <c r="F131" s="117"/>
      <c r="G131" s="117"/>
      <c r="H131" s="117"/>
      <c r="I131" s="117"/>
      <c r="J131" s="117"/>
      <c r="K131" s="117"/>
      <c r="L131" s="117"/>
      <c r="M131" s="27"/>
      <c r="N131" s="1"/>
    </row>
    <row r="132" spans="1:14">
      <c r="A132" s="163"/>
      <c r="B132" s="117"/>
      <c r="C132" s="117"/>
      <c r="D132" s="117"/>
      <c r="E132" s="117"/>
      <c r="F132" s="117"/>
      <c r="G132" s="117"/>
      <c r="H132" s="117"/>
      <c r="I132" s="117"/>
      <c r="J132" s="117"/>
      <c r="K132" s="117"/>
      <c r="L132" s="117"/>
      <c r="M132" s="27"/>
      <c r="N132" s="1"/>
    </row>
    <row r="133" spans="1:14" ht="18.75">
      <c r="A133" s="364"/>
      <c r="B133" s="373"/>
      <c r="C133" s="373"/>
      <c r="D133" s="373"/>
      <c r="E133" s="373"/>
      <c r="F133" s="373"/>
      <c r="G133" s="373"/>
      <c r="H133" s="373"/>
      <c r="I133" s="373"/>
      <c r="J133" s="373"/>
      <c r="K133" s="373"/>
      <c r="L133" s="373"/>
      <c r="M133" s="27"/>
      <c r="N133" s="1"/>
    </row>
    <row r="134" spans="1:14">
      <c r="A134" s="165"/>
      <c r="B134" s="365"/>
      <c r="C134" s="365"/>
      <c r="D134" s="365"/>
      <c r="E134" s="365"/>
      <c r="F134" s="365"/>
      <c r="G134" s="365"/>
      <c r="H134" s="365"/>
      <c r="I134" s="365"/>
      <c r="J134" s="365"/>
      <c r="K134" s="365"/>
      <c r="L134" s="365"/>
      <c r="M134" s="27"/>
      <c r="N134" s="1"/>
    </row>
    <row r="135" spans="1:14">
      <c r="A135" s="163"/>
      <c r="B135" s="117"/>
      <c r="C135" s="117"/>
      <c r="D135" s="117"/>
      <c r="E135" s="117"/>
      <c r="F135" s="117"/>
      <c r="G135" s="117"/>
      <c r="H135" s="117"/>
      <c r="I135" s="117"/>
      <c r="J135" s="117"/>
      <c r="K135" s="117"/>
      <c r="L135" s="117"/>
      <c r="M135" s="27"/>
      <c r="N135" s="1"/>
    </row>
    <row r="136" spans="1:14">
      <c r="A136" s="163"/>
      <c r="B136" s="117"/>
      <c r="C136" s="117"/>
      <c r="D136" s="117"/>
      <c r="E136" s="117"/>
      <c r="F136" s="117"/>
      <c r="G136" s="117"/>
      <c r="H136" s="117"/>
      <c r="I136" s="117"/>
      <c r="J136" s="117"/>
      <c r="K136" s="117"/>
      <c r="L136" s="117"/>
      <c r="M136" s="27"/>
      <c r="N136" s="1"/>
    </row>
    <row r="137" spans="1:14">
      <c r="A137" s="359"/>
      <c r="B137" s="117"/>
      <c r="C137" s="117"/>
      <c r="D137" s="117"/>
      <c r="E137" s="117"/>
      <c r="F137" s="117"/>
      <c r="G137" s="117"/>
      <c r="H137" s="117"/>
      <c r="I137" s="117"/>
      <c r="J137" s="117"/>
      <c r="K137" s="117"/>
      <c r="L137" s="117"/>
      <c r="M137" s="27"/>
      <c r="N137" s="1"/>
    </row>
    <row r="138" spans="1:14">
      <c r="A138" s="359"/>
      <c r="B138" s="117"/>
      <c r="C138" s="117"/>
      <c r="D138" s="117"/>
      <c r="E138" s="117"/>
      <c r="F138" s="117"/>
      <c r="G138" s="117"/>
      <c r="H138" s="117"/>
      <c r="I138" s="117"/>
      <c r="J138" s="117"/>
      <c r="K138" s="117"/>
      <c r="L138" s="117"/>
      <c r="M138" s="27"/>
      <c r="N138" s="1"/>
    </row>
    <row r="139" spans="1:14">
      <c r="A139" s="359"/>
      <c r="B139" s="117"/>
      <c r="C139" s="117"/>
      <c r="D139" s="117"/>
      <c r="E139" s="117"/>
      <c r="F139" s="117"/>
      <c r="G139" s="117"/>
      <c r="H139" s="117"/>
      <c r="I139" s="117"/>
      <c r="J139" s="117"/>
      <c r="K139" s="117"/>
      <c r="L139" s="117"/>
      <c r="M139" s="27"/>
      <c r="N139" s="1"/>
    </row>
    <row r="140" spans="1:14">
      <c r="A140" s="359"/>
      <c r="B140" s="117"/>
      <c r="C140" s="117"/>
      <c r="D140" s="117"/>
      <c r="E140" s="117"/>
      <c r="F140" s="117"/>
      <c r="G140" s="117"/>
      <c r="H140" s="117"/>
      <c r="I140" s="117"/>
      <c r="J140" s="117"/>
      <c r="K140" s="117"/>
      <c r="L140" s="117"/>
      <c r="M140" s="27"/>
      <c r="N140" s="1"/>
    </row>
    <row r="141" spans="1:14">
      <c r="A141" s="357"/>
      <c r="B141" s="117"/>
      <c r="C141" s="117"/>
      <c r="D141" s="117"/>
      <c r="E141" s="117"/>
      <c r="F141" s="117"/>
      <c r="G141" s="117"/>
      <c r="H141" s="117"/>
      <c r="I141" s="117"/>
      <c r="J141" s="117"/>
      <c r="K141" s="117"/>
      <c r="L141" s="117"/>
      <c r="M141" s="27"/>
      <c r="N141" s="1"/>
    </row>
    <row r="142" spans="1:14">
      <c r="A142" s="163"/>
      <c r="B142" s="117"/>
      <c r="C142" s="117"/>
      <c r="D142" s="117"/>
      <c r="E142" s="117"/>
      <c r="F142" s="117"/>
      <c r="G142" s="117"/>
      <c r="H142" s="117"/>
      <c r="I142" s="117"/>
      <c r="J142" s="117"/>
      <c r="K142" s="117"/>
      <c r="L142" s="117"/>
      <c r="M142" s="27"/>
      <c r="N142" s="1"/>
    </row>
    <row r="143" spans="1:14">
      <c r="A143" s="163"/>
      <c r="B143" s="373"/>
      <c r="C143" s="373"/>
      <c r="D143" s="373"/>
      <c r="E143" s="373"/>
      <c r="F143" s="373"/>
      <c r="G143" s="373"/>
      <c r="H143" s="373"/>
      <c r="I143" s="373"/>
      <c r="J143" s="373"/>
      <c r="K143" s="373"/>
      <c r="L143" s="373"/>
      <c r="M143" s="27"/>
      <c r="N143" s="1"/>
    </row>
    <row r="144" spans="1:14">
      <c r="A144" s="163"/>
      <c r="B144" s="159"/>
      <c r="C144" s="159"/>
      <c r="D144" s="159"/>
      <c r="E144" s="159"/>
      <c r="F144" s="159"/>
      <c r="G144" s="159"/>
      <c r="H144" s="159"/>
      <c r="I144" s="159"/>
      <c r="J144" s="159"/>
      <c r="K144" s="159"/>
      <c r="L144" s="159"/>
      <c r="M144" s="27"/>
      <c r="N144" s="1"/>
    </row>
    <row r="145" spans="1:14">
      <c r="A145" s="163"/>
      <c r="B145" s="159"/>
      <c r="C145" s="159"/>
      <c r="D145" s="159"/>
      <c r="E145" s="159"/>
      <c r="F145" s="159"/>
      <c r="G145" s="159"/>
      <c r="H145" s="159"/>
      <c r="I145" s="159"/>
      <c r="J145" s="159"/>
      <c r="K145" s="159"/>
      <c r="L145" s="159"/>
      <c r="M145" s="27"/>
      <c r="N145" s="1"/>
    </row>
    <row r="146" spans="1:14">
      <c r="A146" s="163"/>
      <c r="B146" s="117"/>
      <c r="C146" s="117"/>
      <c r="D146" s="117"/>
      <c r="E146" s="117"/>
      <c r="F146" s="117"/>
      <c r="G146" s="117"/>
      <c r="H146" s="117"/>
      <c r="I146" s="117"/>
      <c r="J146" s="117"/>
      <c r="K146" s="117"/>
      <c r="L146" s="117"/>
      <c r="M146" s="27"/>
      <c r="N146" s="1"/>
    </row>
    <row r="147" spans="1:14">
      <c r="A147" s="163"/>
      <c r="B147" s="117"/>
      <c r="C147" s="117"/>
      <c r="D147" s="117"/>
      <c r="E147" s="117"/>
      <c r="F147" s="117"/>
      <c r="G147" s="117"/>
      <c r="H147" s="117"/>
      <c r="I147" s="117"/>
      <c r="J147" s="117"/>
      <c r="K147" s="117"/>
      <c r="L147" s="117"/>
      <c r="M147" s="27"/>
      <c r="N147" s="1"/>
    </row>
    <row r="148" spans="1:14">
      <c r="A148" s="163"/>
      <c r="B148" s="117"/>
      <c r="C148" s="117"/>
      <c r="D148" s="117"/>
      <c r="E148" s="117"/>
      <c r="F148" s="117"/>
      <c r="G148" s="117"/>
      <c r="H148" s="117"/>
      <c r="I148" s="117"/>
      <c r="J148" s="117"/>
      <c r="K148" s="117"/>
      <c r="L148" s="117"/>
      <c r="M148" s="27"/>
      <c r="N148" s="1"/>
    </row>
    <row r="149" spans="1:14">
      <c r="A149" s="163"/>
      <c r="B149" s="117"/>
      <c r="C149" s="117"/>
      <c r="D149" s="117"/>
      <c r="E149" s="117"/>
      <c r="F149" s="117"/>
      <c r="G149" s="117"/>
      <c r="H149" s="117"/>
      <c r="I149" s="117"/>
      <c r="J149" s="117"/>
      <c r="K149" s="117"/>
      <c r="L149" s="117"/>
      <c r="M149" s="27"/>
      <c r="N149" s="1"/>
    </row>
    <row r="150" spans="1:14">
      <c r="A150" s="163"/>
      <c r="B150" s="117"/>
      <c r="C150" s="117"/>
      <c r="D150" s="117"/>
      <c r="E150" s="117"/>
      <c r="F150" s="117"/>
      <c r="G150" s="117"/>
      <c r="H150" s="117"/>
      <c r="I150" s="117"/>
      <c r="J150" s="117"/>
      <c r="K150" s="117"/>
      <c r="L150" s="117"/>
      <c r="M150" s="27"/>
      <c r="N150" s="1"/>
    </row>
    <row r="151" spans="1:14">
      <c r="A151" s="163"/>
      <c r="B151" s="117"/>
      <c r="C151" s="117"/>
      <c r="D151" s="117"/>
      <c r="E151" s="117"/>
      <c r="F151" s="117"/>
      <c r="G151" s="117"/>
      <c r="H151" s="117"/>
      <c r="I151" s="117"/>
      <c r="J151" s="117"/>
      <c r="K151" s="117"/>
      <c r="L151" s="117"/>
      <c r="M151" s="27"/>
      <c r="N151" s="1"/>
    </row>
    <row r="152" spans="1:14">
      <c r="A152" s="163"/>
      <c r="B152" s="117"/>
      <c r="C152" s="117"/>
      <c r="D152" s="117"/>
      <c r="E152" s="117"/>
      <c r="F152" s="117"/>
      <c r="G152" s="117"/>
      <c r="H152" s="117"/>
      <c r="I152" s="117"/>
      <c r="J152" s="117"/>
      <c r="K152" s="117"/>
      <c r="L152" s="117"/>
      <c r="M152" s="27"/>
      <c r="N152" s="1"/>
    </row>
    <row r="153" spans="1:14">
      <c r="A153" s="163"/>
      <c r="B153" s="117"/>
      <c r="C153" s="117"/>
      <c r="D153" s="117"/>
      <c r="E153" s="117"/>
      <c r="F153" s="117"/>
      <c r="G153" s="117"/>
      <c r="H153" s="117"/>
      <c r="I153" s="117"/>
      <c r="J153" s="117"/>
      <c r="K153" s="117"/>
      <c r="L153" s="117"/>
      <c r="M153" s="27"/>
      <c r="N153" s="1"/>
    </row>
    <row r="154" spans="1:14">
      <c r="A154" s="163"/>
      <c r="B154" s="117"/>
      <c r="C154" s="117"/>
      <c r="D154" s="117"/>
      <c r="E154" s="117"/>
      <c r="F154" s="117"/>
      <c r="G154" s="117"/>
      <c r="H154" s="117"/>
      <c r="I154" s="117"/>
      <c r="J154" s="117"/>
      <c r="K154" s="117"/>
      <c r="L154" s="117"/>
      <c r="M154" s="27"/>
      <c r="N154" s="1"/>
    </row>
    <row r="155" spans="1:14">
      <c r="A155" s="163"/>
      <c r="B155" s="117"/>
      <c r="C155" s="117"/>
      <c r="D155" s="117"/>
      <c r="E155" s="117"/>
      <c r="F155" s="117"/>
      <c r="G155" s="117"/>
      <c r="H155" s="117"/>
      <c r="I155" s="117"/>
      <c r="J155" s="117"/>
      <c r="K155" s="117"/>
      <c r="L155" s="117"/>
      <c r="M155" s="27"/>
      <c r="N155" s="1"/>
    </row>
    <row r="156" spans="1:14">
      <c r="A156" s="163"/>
      <c r="B156" s="117"/>
      <c r="C156" s="117"/>
      <c r="D156" s="117"/>
      <c r="E156" s="117"/>
      <c r="F156" s="117"/>
      <c r="G156" s="117"/>
      <c r="H156" s="117"/>
      <c r="I156" s="117"/>
      <c r="J156" s="117"/>
      <c r="K156" s="117"/>
      <c r="L156" s="117"/>
      <c r="M156" s="27"/>
      <c r="N156" s="1"/>
    </row>
    <row r="157" spans="1:14">
      <c r="A157" s="163"/>
      <c r="B157" s="163"/>
      <c r="C157" s="163"/>
      <c r="D157" s="163"/>
      <c r="E157" s="163"/>
      <c r="F157" s="163"/>
      <c r="G157" s="163"/>
      <c r="H157" s="163"/>
      <c r="I157" s="163"/>
      <c r="J157" s="163"/>
      <c r="K157" s="163"/>
      <c r="L157" s="163"/>
      <c r="M157" s="27"/>
      <c r="N157" s="1"/>
    </row>
    <row r="158" spans="1:14">
      <c r="A158" s="163"/>
      <c r="B158" s="163"/>
      <c r="C158" s="163"/>
      <c r="D158" s="163"/>
      <c r="E158" s="163"/>
      <c r="F158" s="163"/>
      <c r="G158" s="163"/>
      <c r="H158" s="163"/>
      <c r="I158" s="163"/>
      <c r="J158" s="163"/>
      <c r="K158" s="163"/>
      <c r="L158" s="163"/>
      <c r="M158" s="27"/>
      <c r="N158" s="1"/>
    </row>
    <row r="159" spans="1:14">
      <c r="A159" s="163"/>
      <c r="B159" s="163"/>
      <c r="C159" s="163"/>
      <c r="D159" s="163"/>
      <c r="E159" s="163"/>
      <c r="F159" s="163"/>
      <c r="G159" s="163"/>
      <c r="H159" s="163"/>
      <c r="I159" s="163"/>
      <c r="J159" s="163"/>
      <c r="K159" s="163"/>
      <c r="L159" s="163"/>
      <c r="M159" s="27"/>
      <c r="N159" s="1"/>
    </row>
    <row r="160" spans="1:14">
      <c r="A160" s="163"/>
      <c r="B160" s="163"/>
      <c r="C160" s="163"/>
      <c r="D160" s="163"/>
      <c r="E160" s="163"/>
      <c r="F160" s="163"/>
      <c r="G160" s="163"/>
      <c r="H160" s="163"/>
      <c r="I160" s="163"/>
      <c r="J160" s="163"/>
      <c r="K160" s="163"/>
      <c r="L160" s="163"/>
      <c r="M160" s="27"/>
      <c r="N160" s="1"/>
    </row>
    <row r="161" spans="1:14">
      <c r="A161" s="163"/>
      <c r="B161" s="163"/>
      <c r="C161" s="163"/>
      <c r="D161" s="163"/>
      <c r="E161" s="163"/>
      <c r="F161" s="163"/>
      <c r="G161" s="163"/>
      <c r="H161" s="163"/>
      <c r="I161" s="163"/>
      <c r="J161" s="163"/>
      <c r="K161" s="163"/>
      <c r="L161" s="163"/>
      <c r="M161" s="27"/>
      <c r="N161" s="1"/>
    </row>
    <row r="162" spans="1:14">
      <c r="A162" s="163"/>
      <c r="B162" s="163"/>
      <c r="C162" s="163"/>
      <c r="D162" s="163"/>
      <c r="E162" s="163"/>
      <c r="F162" s="163"/>
      <c r="G162" s="163"/>
      <c r="H162" s="163"/>
      <c r="I162" s="163"/>
      <c r="J162" s="163"/>
      <c r="K162" s="163"/>
      <c r="L162" s="163"/>
      <c r="M162" s="27"/>
      <c r="N162" s="1"/>
    </row>
    <row r="163" spans="1:14">
      <c r="A163" s="163"/>
      <c r="B163" s="163"/>
      <c r="C163" s="163"/>
      <c r="D163" s="163"/>
      <c r="E163" s="163"/>
      <c r="F163" s="163"/>
      <c r="G163" s="163"/>
      <c r="H163" s="163"/>
      <c r="I163" s="163"/>
      <c r="J163" s="163"/>
      <c r="K163" s="163"/>
      <c r="L163" s="163"/>
      <c r="M163" s="27"/>
      <c r="N163" s="1"/>
    </row>
    <row r="164" spans="1:14">
      <c r="A164" s="163"/>
      <c r="B164" s="163"/>
      <c r="C164" s="163"/>
      <c r="D164" s="163"/>
      <c r="E164" s="163"/>
      <c r="F164" s="163"/>
      <c r="G164" s="163"/>
      <c r="H164" s="163"/>
      <c r="I164" s="163"/>
      <c r="J164" s="163"/>
      <c r="K164" s="163"/>
      <c r="L164" s="163"/>
      <c r="M164" s="27"/>
      <c r="N164" s="1"/>
    </row>
    <row r="165" spans="1:14">
      <c r="A165" s="163"/>
      <c r="B165" s="163"/>
      <c r="C165" s="163"/>
      <c r="D165" s="163"/>
      <c r="E165" s="163"/>
      <c r="F165" s="163"/>
      <c r="G165" s="163"/>
      <c r="H165" s="163"/>
      <c r="I165" s="163"/>
      <c r="J165" s="163"/>
      <c r="K165" s="163"/>
      <c r="L165" s="163"/>
      <c r="M165" s="27"/>
      <c r="N165" s="1"/>
    </row>
    <row r="166" spans="1:14">
      <c r="A166" s="163"/>
      <c r="B166" s="163"/>
      <c r="C166" s="163"/>
      <c r="D166" s="163"/>
      <c r="E166" s="163"/>
      <c r="F166" s="163"/>
      <c r="G166" s="163"/>
      <c r="H166" s="163"/>
      <c r="I166" s="163"/>
      <c r="J166" s="163"/>
      <c r="K166" s="163"/>
      <c r="L166" s="163"/>
      <c r="M166" s="27"/>
      <c r="N166" s="1"/>
    </row>
    <row r="167" spans="1:14">
      <c r="A167" s="163"/>
      <c r="B167" s="163"/>
      <c r="C167" s="163"/>
      <c r="D167" s="163"/>
      <c r="E167" s="163"/>
      <c r="F167" s="163"/>
      <c r="G167" s="163"/>
      <c r="H167" s="163"/>
      <c r="I167" s="163"/>
      <c r="J167" s="163"/>
      <c r="K167" s="163"/>
      <c r="L167" s="163"/>
      <c r="M167" s="27"/>
      <c r="N167" s="1"/>
    </row>
    <row r="168" spans="1:14">
      <c r="A168" s="163"/>
      <c r="B168" s="163"/>
      <c r="C168" s="163"/>
      <c r="D168" s="163"/>
      <c r="E168" s="163"/>
      <c r="F168" s="163"/>
      <c r="G168" s="163"/>
      <c r="H168" s="163"/>
      <c r="I168" s="163"/>
      <c r="J168" s="163"/>
      <c r="K168" s="163"/>
      <c r="L168" s="163"/>
      <c r="M168" s="27"/>
      <c r="N168" s="1"/>
    </row>
    <row r="169" spans="1:14">
      <c r="A169" s="163"/>
      <c r="B169" s="163"/>
      <c r="C169" s="163"/>
      <c r="D169" s="163"/>
      <c r="E169" s="163"/>
      <c r="F169" s="163"/>
      <c r="G169" s="163"/>
      <c r="H169" s="163"/>
      <c r="I169" s="163"/>
      <c r="J169" s="163"/>
      <c r="K169" s="163"/>
      <c r="L169" s="163"/>
      <c r="M169" s="27"/>
      <c r="N169" s="1"/>
    </row>
    <row r="170" spans="1:14">
      <c r="A170" s="163"/>
      <c r="B170" s="163"/>
      <c r="C170" s="163"/>
      <c r="D170" s="163"/>
      <c r="E170" s="163"/>
      <c r="F170" s="163"/>
      <c r="G170" s="163"/>
      <c r="H170" s="163"/>
      <c r="I170" s="163"/>
      <c r="J170" s="163"/>
      <c r="K170" s="163"/>
      <c r="L170" s="163"/>
      <c r="M170" s="27"/>
      <c r="N170" s="1"/>
    </row>
    <row r="171" spans="1:14">
      <c r="A171" s="163"/>
      <c r="B171" s="163"/>
      <c r="C171" s="163"/>
      <c r="D171" s="163"/>
      <c r="E171" s="163"/>
      <c r="F171" s="163"/>
      <c r="G171" s="163"/>
      <c r="H171" s="163"/>
      <c r="I171" s="163"/>
      <c r="J171" s="163"/>
      <c r="K171" s="163"/>
      <c r="L171" s="163"/>
      <c r="M171" s="27"/>
      <c r="N171" s="1"/>
    </row>
    <row r="172" spans="1:14">
      <c r="A172" s="163"/>
      <c r="B172" s="163"/>
      <c r="C172" s="163"/>
      <c r="D172" s="163"/>
      <c r="E172" s="163"/>
      <c r="F172" s="163"/>
      <c r="G172" s="163"/>
      <c r="H172" s="163"/>
      <c r="I172" s="163"/>
      <c r="J172" s="163"/>
      <c r="K172" s="163"/>
      <c r="L172" s="163"/>
      <c r="M172" s="27"/>
      <c r="N172" s="1"/>
    </row>
    <row r="173" spans="1:14">
      <c r="A173" s="163"/>
      <c r="B173" s="163"/>
      <c r="C173" s="163"/>
      <c r="D173" s="163"/>
      <c r="E173" s="163"/>
      <c r="F173" s="163"/>
      <c r="G173" s="163"/>
      <c r="H173" s="163"/>
      <c r="I173" s="163"/>
      <c r="J173" s="163"/>
      <c r="K173" s="163"/>
      <c r="L173" s="163"/>
      <c r="M173" s="27"/>
      <c r="N173" s="1"/>
    </row>
    <row r="174" spans="1:14">
      <c r="A174" s="163"/>
      <c r="B174" s="163"/>
      <c r="C174" s="163"/>
      <c r="D174" s="163"/>
      <c r="E174" s="163"/>
      <c r="F174" s="163"/>
      <c r="G174" s="163"/>
      <c r="H174" s="163"/>
      <c r="I174" s="163"/>
      <c r="J174" s="163"/>
      <c r="K174" s="163"/>
      <c r="L174" s="163"/>
      <c r="M174" s="27"/>
      <c r="N174" s="1"/>
    </row>
    <row r="175" spans="1:14">
      <c r="A175" s="163"/>
      <c r="B175" s="163"/>
      <c r="C175" s="163"/>
      <c r="D175" s="163"/>
      <c r="E175" s="163"/>
      <c r="F175" s="163"/>
      <c r="G175" s="163"/>
      <c r="H175" s="163"/>
      <c r="I175" s="163"/>
      <c r="J175" s="163"/>
      <c r="K175" s="163"/>
      <c r="L175" s="163"/>
      <c r="M175" s="27"/>
      <c r="N175" s="1"/>
    </row>
    <row r="176" spans="1:14">
      <c r="A176" s="163"/>
      <c r="B176" s="163"/>
      <c r="C176" s="163"/>
      <c r="D176" s="163"/>
      <c r="E176" s="163"/>
      <c r="F176" s="163"/>
      <c r="G176" s="163"/>
      <c r="H176" s="163"/>
      <c r="I176" s="163"/>
      <c r="J176" s="163"/>
      <c r="K176" s="163"/>
      <c r="L176" s="163"/>
      <c r="M176" s="27"/>
      <c r="N176" s="1"/>
    </row>
    <row r="177" spans="1:14">
      <c r="A177" s="163"/>
      <c r="B177" s="163"/>
      <c r="C177" s="163"/>
      <c r="D177" s="163"/>
      <c r="E177" s="163"/>
      <c r="F177" s="163"/>
      <c r="G177" s="163"/>
      <c r="H177" s="163"/>
      <c r="I177" s="163"/>
      <c r="J177" s="163"/>
      <c r="K177" s="163"/>
      <c r="L177" s="163"/>
      <c r="M177" s="27"/>
      <c r="N177" s="1"/>
    </row>
    <row r="178" spans="1:14">
      <c r="A178" s="163"/>
      <c r="B178" s="163"/>
      <c r="C178" s="163"/>
      <c r="D178" s="163"/>
      <c r="E178" s="163"/>
      <c r="F178" s="163"/>
      <c r="G178" s="163"/>
      <c r="H178" s="163"/>
      <c r="I178" s="163"/>
      <c r="J178" s="163"/>
      <c r="K178" s="163"/>
      <c r="L178" s="163"/>
      <c r="M178" s="27"/>
      <c r="N178" s="1"/>
    </row>
    <row r="179" spans="1:14">
      <c r="A179" s="163"/>
      <c r="B179" s="163"/>
      <c r="C179" s="163"/>
      <c r="D179" s="163"/>
      <c r="E179" s="163"/>
      <c r="F179" s="163"/>
      <c r="G179" s="163"/>
      <c r="H179" s="163"/>
      <c r="I179" s="163"/>
      <c r="J179" s="163"/>
      <c r="K179" s="163"/>
      <c r="L179" s="163"/>
      <c r="M179" s="27"/>
      <c r="N179" s="1"/>
    </row>
    <row r="180" spans="1:14">
      <c r="A180" s="163"/>
      <c r="B180" s="163"/>
      <c r="C180" s="163"/>
      <c r="D180" s="163"/>
      <c r="E180" s="163"/>
      <c r="F180" s="163"/>
      <c r="G180" s="163"/>
      <c r="H180" s="163"/>
      <c r="I180" s="163"/>
      <c r="J180" s="163"/>
      <c r="K180" s="163"/>
      <c r="L180" s="163"/>
      <c r="M180" s="27"/>
      <c r="N180" s="1"/>
    </row>
    <row r="181" spans="1:14">
      <c r="A181" s="163"/>
      <c r="B181" s="163"/>
      <c r="C181" s="163"/>
      <c r="D181" s="163"/>
      <c r="E181" s="163"/>
      <c r="F181" s="163"/>
      <c r="G181" s="163"/>
      <c r="H181" s="163"/>
      <c r="I181" s="163"/>
      <c r="J181" s="163"/>
      <c r="K181" s="163"/>
      <c r="L181" s="163"/>
      <c r="M181" s="27"/>
      <c r="N181" s="1"/>
    </row>
    <row r="182" spans="1:14">
      <c r="A182" s="163"/>
      <c r="B182" s="163"/>
      <c r="C182" s="163"/>
      <c r="D182" s="163"/>
      <c r="E182" s="163"/>
      <c r="F182" s="163"/>
      <c r="G182" s="163"/>
      <c r="H182" s="163"/>
      <c r="I182" s="163"/>
      <c r="J182" s="163"/>
      <c r="K182" s="163"/>
      <c r="L182" s="163"/>
      <c r="M182" s="27"/>
      <c r="N182" s="1"/>
    </row>
    <row r="183" spans="1:14">
      <c r="A183" s="163"/>
      <c r="B183" s="163"/>
      <c r="C183" s="163"/>
      <c r="D183" s="163"/>
      <c r="E183" s="163"/>
      <c r="F183" s="163"/>
      <c r="G183" s="163"/>
      <c r="H183" s="163"/>
      <c r="I183" s="163"/>
      <c r="J183" s="163"/>
      <c r="K183" s="163"/>
      <c r="L183" s="163"/>
      <c r="M183" s="27"/>
      <c r="N183" s="1"/>
    </row>
    <row r="184" spans="1:14">
      <c r="A184" s="163"/>
      <c r="B184" s="163"/>
      <c r="C184" s="163"/>
      <c r="D184" s="163"/>
      <c r="E184" s="163"/>
      <c r="F184" s="163"/>
      <c r="G184" s="163"/>
      <c r="H184" s="163"/>
      <c r="I184" s="163"/>
      <c r="J184" s="163"/>
      <c r="K184" s="163"/>
      <c r="L184" s="163"/>
      <c r="M184" s="27"/>
      <c r="N184" s="1"/>
    </row>
    <row r="185" spans="1:14">
      <c r="A185" s="163"/>
      <c r="B185" s="163"/>
      <c r="C185" s="163"/>
      <c r="D185" s="163"/>
      <c r="E185" s="163"/>
      <c r="F185" s="163"/>
      <c r="G185" s="163"/>
      <c r="H185" s="163"/>
      <c r="I185" s="163"/>
      <c r="J185" s="163"/>
      <c r="K185" s="163"/>
      <c r="L185" s="163"/>
      <c r="M185" s="27"/>
      <c r="N185" s="1"/>
    </row>
    <row r="186" spans="1:14">
      <c r="A186" s="163"/>
      <c r="B186" s="163"/>
      <c r="C186" s="163"/>
      <c r="D186" s="163"/>
      <c r="E186" s="163"/>
      <c r="F186" s="163"/>
      <c r="G186" s="163"/>
      <c r="H186" s="163"/>
      <c r="I186" s="163"/>
      <c r="J186" s="163"/>
      <c r="K186" s="163"/>
      <c r="L186" s="163"/>
      <c r="M186" s="27"/>
      <c r="N186" s="1"/>
    </row>
    <row r="187" spans="1:14">
      <c r="A187" s="163"/>
      <c r="B187" s="163"/>
      <c r="C187" s="163"/>
      <c r="D187" s="163"/>
      <c r="E187" s="163"/>
      <c r="F187" s="163"/>
      <c r="G187" s="163"/>
      <c r="H187" s="163"/>
      <c r="I187" s="163"/>
      <c r="J187" s="163"/>
      <c r="K187" s="163"/>
      <c r="L187" s="163"/>
      <c r="M187" s="27"/>
      <c r="N187" s="1"/>
    </row>
    <row r="188" spans="1:14">
      <c r="A188" s="163"/>
      <c r="B188" s="163"/>
      <c r="C188" s="163"/>
      <c r="D188" s="163"/>
      <c r="E188" s="163"/>
      <c r="F188" s="163"/>
      <c r="G188" s="163"/>
      <c r="H188" s="163"/>
      <c r="I188" s="163"/>
      <c r="J188" s="163"/>
      <c r="K188" s="163"/>
      <c r="L188" s="163"/>
      <c r="M188" s="27"/>
      <c r="N188" s="1"/>
    </row>
    <row r="189" spans="1:14">
      <c r="A189" s="163"/>
      <c r="B189" s="163"/>
      <c r="C189" s="163"/>
      <c r="D189" s="163"/>
      <c r="E189" s="163"/>
      <c r="F189" s="163"/>
      <c r="G189" s="163"/>
      <c r="H189" s="163"/>
      <c r="I189" s="163"/>
      <c r="J189" s="163"/>
      <c r="K189" s="163"/>
      <c r="L189" s="163"/>
      <c r="M189" s="27"/>
      <c r="N189" s="1"/>
    </row>
    <row r="190" spans="1:14">
      <c r="A190" s="163"/>
      <c r="B190" s="163"/>
      <c r="C190" s="163"/>
      <c r="D190" s="163"/>
      <c r="E190" s="163"/>
      <c r="F190" s="163"/>
      <c r="G190" s="163"/>
      <c r="H190" s="163"/>
      <c r="I190" s="163"/>
      <c r="J190" s="163"/>
      <c r="K190" s="163"/>
      <c r="L190" s="163"/>
      <c r="M190" s="27"/>
      <c r="N190" s="1"/>
    </row>
    <row r="191" spans="1:14">
      <c r="A191" s="163"/>
      <c r="B191" s="163"/>
      <c r="C191" s="163"/>
      <c r="D191" s="163"/>
      <c r="E191" s="163"/>
      <c r="F191" s="163"/>
      <c r="G191" s="163"/>
      <c r="H191" s="163"/>
      <c r="I191" s="163"/>
      <c r="J191" s="163"/>
      <c r="K191" s="163"/>
      <c r="L191" s="163"/>
      <c r="M191" s="27"/>
      <c r="N191" s="1"/>
    </row>
    <row r="192" spans="1:14">
      <c r="B192" s="1"/>
      <c r="C192" s="1"/>
      <c r="D192" s="1"/>
      <c r="E192" s="1"/>
      <c r="F192" s="1"/>
      <c r="G192" s="1"/>
      <c r="H192" s="1"/>
      <c r="I192" s="1"/>
      <c r="J192" s="1"/>
      <c r="K192" s="1"/>
      <c r="L192" s="1"/>
      <c r="M192" s="27"/>
      <c r="N192" s="1"/>
    </row>
    <row r="193" spans="2:14">
      <c r="B193" s="1"/>
      <c r="C193" s="1"/>
      <c r="D193" s="1"/>
      <c r="E193" s="1"/>
      <c r="F193" s="1"/>
      <c r="G193" s="1"/>
      <c r="H193" s="1"/>
      <c r="I193" s="1"/>
      <c r="J193" s="1"/>
      <c r="K193" s="1"/>
      <c r="L193" s="1"/>
      <c r="M193" s="27"/>
      <c r="N193" s="1"/>
    </row>
    <row r="194" spans="2:14">
      <c r="B194" s="1"/>
      <c r="C194" s="1"/>
      <c r="D194" s="1"/>
      <c r="E194" s="1"/>
      <c r="F194" s="1"/>
      <c r="G194" s="1"/>
      <c r="H194" s="1"/>
      <c r="I194" s="1"/>
      <c r="J194" s="1"/>
      <c r="K194" s="1"/>
      <c r="L194" s="1"/>
      <c r="M194" s="27"/>
      <c r="N194" s="1"/>
    </row>
    <row r="195" spans="2:14">
      <c r="B195" s="1"/>
      <c r="C195" s="1"/>
      <c r="D195" s="1"/>
      <c r="E195" s="1"/>
      <c r="F195" s="1"/>
      <c r="G195" s="1"/>
      <c r="H195" s="1"/>
      <c r="I195" s="1"/>
      <c r="J195" s="1"/>
      <c r="K195" s="1"/>
      <c r="L195" s="1"/>
      <c r="M195" s="27"/>
      <c r="N195" s="1"/>
    </row>
    <row r="196" spans="2:14">
      <c r="B196" s="1"/>
      <c r="C196" s="1"/>
      <c r="D196" s="1"/>
      <c r="E196" s="1"/>
      <c r="F196" s="1"/>
      <c r="G196" s="1"/>
      <c r="H196" s="1"/>
      <c r="I196" s="1"/>
      <c r="J196" s="1"/>
      <c r="K196" s="1"/>
      <c r="L196" s="1"/>
      <c r="M196" s="27"/>
      <c r="N196" s="1"/>
    </row>
    <row r="197" spans="2:14">
      <c r="B197" s="1"/>
      <c r="C197" s="1"/>
      <c r="D197" s="1"/>
      <c r="E197" s="1"/>
      <c r="F197" s="1"/>
      <c r="G197" s="1"/>
      <c r="H197" s="1"/>
      <c r="I197" s="1"/>
      <c r="J197" s="1"/>
      <c r="K197" s="1"/>
      <c r="L197" s="1"/>
      <c r="M197" s="27"/>
      <c r="N197" s="1"/>
    </row>
    <row r="198" spans="2:14">
      <c r="B198" s="1"/>
      <c r="C198" s="1"/>
      <c r="D198" s="1"/>
      <c r="E198" s="1"/>
      <c r="F198" s="1"/>
      <c r="G198" s="1"/>
      <c r="H198" s="1"/>
      <c r="I198" s="1"/>
      <c r="J198" s="1"/>
      <c r="K198" s="1"/>
      <c r="L198" s="1"/>
      <c r="M198" s="27"/>
      <c r="N198" s="1"/>
    </row>
    <row r="199" spans="2:14">
      <c r="B199" s="1"/>
      <c r="C199" s="1"/>
      <c r="D199" s="1"/>
      <c r="E199" s="1"/>
      <c r="F199" s="1"/>
      <c r="G199" s="1"/>
      <c r="H199" s="1"/>
      <c r="I199" s="1"/>
      <c r="J199" s="1"/>
      <c r="K199" s="1"/>
      <c r="L199" s="1"/>
      <c r="M199" s="27"/>
      <c r="N199" s="1"/>
    </row>
    <row r="200" spans="2:14">
      <c r="B200" s="1"/>
      <c r="C200" s="1"/>
      <c r="D200" s="1"/>
      <c r="E200" s="1"/>
      <c r="F200" s="1"/>
      <c r="G200" s="1"/>
      <c r="H200" s="1"/>
      <c r="I200" s="1"/>
      <c r="J200" s="1"/>
      <c r="K200" s="1"/>
      <c r="L200" s="1"/>
      <c r="M200" s="27"/>
      <c r="N200" s="1"/>
    </row>
    <row r="201" spans="2:14">
      <c r="B201" s="1"/>
      <c r="C201" s="1"/>
      <c r="D201" s="1"/>
      <c r="E201" s="1"/>
      <c r="F201" s="1"/>
      <c r="G201" s="1"/>
      <c r="H201" s="1"/>
      <c r="I201" s="1"/>
      <c r="J201" s="1"/>
      <c r="K201" s="1"/>
      <c r="L201" s="1"/>
      <c r="M201" s="27"/>
      <c r="N201" s="1"/>
    </row>
    <row r="202" spans="2:14">
      <c r="B202" s="1"/>
      <c r="C202" s="1"/>
      <c r="D202" s="1"/>
      <c r="E202" s="1"/>
      <c r="F202" s="1"/>
      <c r="G202" s="1"/>
      <c r="H202" s="1"/>
      <c r="I202" s="1"/>
      <c r="J202" s="1"/>
      <c r="K202" s="1"/>
      <c r="L202" s="1"/>
      <c r="M202" s="27"/>
      <c r="N202" s="1"/>
    </row>
    <row r="203" spans="2:14">
      <c r="B203" s="1"/>
      <c r="C203" s="1"/>
      <c r="D203" s="1"/>
      <c r="E203" s="1"/>
      <c r="F203" s="1"/>
      <c r="G203" s="1"/>
      <c r="H203" s="1"/>
      <c r="I203" s="1"/>
      <c r="J203" s="1"/>
      <c r="K203" s="1"/>
      <c r="L203" s="1"/>
      <c r="M203" s="27"/>
      <c r="N203" s="1"/>
    </row>
    <row r="204" spans="2:14">
      <c r="B204" s="1"/>
      <c r="C204" s="1"/>
      <c r="D204" s="1"/>
      <c r="E204" s="1"/>
      <c r="F204" s="1"/>
      <c r="G204" s="1"/>
      <c r="H204" s="1"/>
      <c r="I204" s="1"/>
      <c r="J204" s="1"/>
      <c r="K204" s="1"/>
      <c r="L204" s="1"/>
      <c r="M204" s="27"/>
      <c r="N204" s="1"/>
    </row>
    <row r="205" spans="2:14">
      <c r="B205" s="1"/>
      <c r="C205" s="1"/>
      <c r="D205" s="1"/>
      <c r="E205" s="1"/>
      <c r="F205" s="1"/>
      <c r="G205" s="1"/>
      <c r="H205" s="1"/>
      <c r="I205" s="1"/>
      <c r="J205" s="1"/>
      <c r="K205" s="1"/>
      <c r="L205" s="1"/>
      <c r="M205" s="27"/>
      <c r="N205" s="1"/>
    </row>
    <row r="206" spans="2:14">
      <c r="B206" s="1"/>
      <c r="C206" s="1"/>
      <c r="D206" s="1"/>
      <c r="E206" s="1"/>
      <c r="F206" s="1"/>
      <c r="G206" s="1"/>
      <c r="H206" s="1"/>
      <c r="I206" s="1"/>
      <c r="J206" s="1"/>
      <c r="K206" s="1"/>
      <c r="L206" s="1"/>
      <c r="M206" s="27"/>
      <c r="N206" s="1"/>
    </row>
    <row r="207" spans="2:14">
      <c r="B207" s="1"/>
      <c r="C207" s="1"/>
      <c r="D207" s="1"/>
      <c r="E207" s="1"/>
      <c r="F207" s="1"/>
      <c r="G207" s="1"/>
      <c r="H207" s="1"/>
      <c r="I207" s="1"/>
      <c r="J207" s="1"/>
      <c r="K207" s="1"/>
      <c r="L207" s="1"/>
      <c r="M207" s="27"/>
      <c r="N207" s="1"/>
    </row>
    <row r="208" spans="2:14">
      <c r="B208" s="1"/>
      <c r="C208" s="1"/>
      <c r="D208" s="1"/>
      <c r="E208" s="1"/>
      <c r="F208" s="1"/>
      <c r="G208" s="1"/>
      <c r="H208" s="1"/>
      <c r="I208" s="1"/>
      <c r="J208" s="1"/>
      <c r="K208" s="1"/>
      <c r="L208" s="1"/>
      <c r="M208" s="27"/>
      <c r="N208" s="1"/>
    </row>
    <row r="209" spans="2:14">
      <c r="B209" s="1"/>
      <c r="C209" s="1"/>
      <c r="D209" s="1"/>
      <c r="E209" s="1"/>
      <c r="F209" s="1"/>
      <c r="G209" s="1"/>
      <c r="H209" s="1"/>
      <c r="I209" s="1"/>
      <c r="J209" s="1"/>
      <c r="K209" s="1"/>
      <c r="L209" s="1"/>
      <c r="M209" s="27"/>
      <c r="N209" s="1"/>
    </row>
    <row r="210" spans="2:14">
      <c r="B210" s="1"/>
      <c r="C210" s="1"/>
      <c r="D210" s="1"/>
      <c r="E210" s="1"/>
      <c r="F210" s="1"/>
      <c r="G210" s="1"/>
      <c r="H210" s="1"/>
      <c r="I210" s="1"/>
      <c r="J210" s="1"/>
      <c r="K210" s="1"/>
      <c r="L210" s="1"/>
      <c r="M210" s="27"/>
      <c r="N210" s="1"/>
    </row>
    <row r="211" spans="2:14">
      <c r="B211" s="1"/>
      <c r="C211" s="1"/>
      <c r="D211" s="1"/>
      <c r="E211" s="1"/>
      <c r="F211" s="1"/>
      <c r="G211" s="1"/>
      <c r="H211" s="1"/>
      <c r="I211" s="1"/>
      <c r="J211" s="1"/>
      <c r="K211" s="1"/>
      <c r="L211" s="1"/>
      <c r="M211" s="27"/>
      <c r="N211" s="1"/>
    </row>
    <row r="212" spans="2:14">
      <c r="B212" s="1"/>
      <c r="C212" s="1"/>
      <c r="D212" s="1"/>
      <c r="E212" s="1"/>
      <c r="F212" s="1"/>
      <c r="G212" s="1"/>
      <c r="H212" s="1"/>
      <c r="I212" s="1"/>
      <c r="J212" s="1"/>
      <c r="K212" s="1"/>
      <c r="L212" s="1"/>
      <c r="M212" s="27"/>
      <c r="N212" s="1"/>
    </row>
    <row r="213" spans="2:14">
      <c r="B213" s="1"/>
      <c r="C213" s="1"/>
      <c r="D213" s="1"/>
      <c r="E213" s="1"/>
      <c r="F213" s="1"/>
      <c r="G213" s="1"/>
      <c r="H213" s="1"/>
      <c r="I213" s="1"/>
      <c r="J213" s="1"/>
      <c r="K213" s="1"/>
      <c r="L213" s="1"/>
      <c r="M213" s="27"/>
      <c r="N213" s="1"/>
    </row>
    <row r="214" spans="2:14">
      <c r="B214" s="1"/>
      <c r="C214" s="1"/>
      <c r="D214" s="1"/>
      <c r="E214" s="1"/>
      <c r="F214" s="1"/>
      <c r="G214" s="1"/>
      <c r="H214" s="1"/>
      <c r="I214" s="1"/>
      <c r="J214" s="1"/>
      <c r="K214" s="1"/>
      <c r="L214" s="1"/>
      <c r="M214" s="27"/>
      <c r="N214" s="1"/>
    </row>
    <row r="215" spans="2:14">
      <c r="B215" s="1"/>
      <c r="C215" s="1"/>
      <c r="D215" s="1"/>
      <c r="E215" s="1"/>
      <c r="F215" s="1"/>
      <c r="G215" s="1"/>
      <c r="H215" s="1"/>
      <c r="I215" s="1"/>
      <c r="J215" s="1"/>
      <c r="K215" s="1"/>
      <c r="L215" s="1"/>
      <c r="M215" s="27"/>
      <c r="N215" s="1"/>
    </row>
    <row r="216" spans="2:14">
      <c r="B216" s="1"/>
      <c r="C216" s="1"/>
      <c r="D216" s="1"/>
      <c r="E216" s="1"/>
      <c r="F216" s="1"/>
      <c r="G216" s="1"/>
      <c r="H216" s="1"/>
      <c r="I216" s="1"/>
      <c r="J216" s="1"/>
      <c r="K216" s="1"/>
      <c r="L216" s="1"/>
      <c r="M216" s="27"/>
      <c r="N216" s="1"/>
    </row>
    <row r="217" spans="2:14">
      <c r="B217" s="1"/>
      <c r="C217" s="1"/>
      <c r="D217" s="1"/>
      <c r="E217" s="1"/>
      <c r="F217" s="1"/>
      <c r="G217" s="1"/>
      <c r="H217" s="1"/>
      <c r="I217" s="1"/>
      <c r="J217" s="1"/>
      <c r="K217" s="1"/>
      <c r="L217" s="1"/>
      <c r="M217" s="27"/>
      <c r="N217" s="1"/>
    </row>
    <row r="218" spans="2:14">
      <c r="B218" s="1"/>
      <c r="C218" s="1"/>
      <c r="D218" s="1"/>
      <c r="E218" s="1"/>
      <c r="F218" s="1"/>
      <c r="G218" s="1"/>
      <c r="H218" s="1"/>
      <c r="I218" s="1"/>
      <c r="J218" s="1"/>
      <c r="K218" s="1"/>
      <c r="L218" s="1"/>
      <c r="M218" s="27"/>
      <c r="N218" s="1"/>
    </row>
    <row r="219" spans="2:14">
      <c r="B219" s="1"/>
      <c r="C219" s="1"/>
      <c r="D219" s="1"/>
      <c r="E219" s="1"/>
      <c r="F219" s="1"/>
      <c r="G219" s="1"/>
      <c r="H219" s="1"/>
      <c r="I219" s="1"/>
      <c r="J219" s="1"/>
      <c r="K219" s="1"/>
      <c r="L219" s="1"/>
      <c r="M219" s="27"/>
      <c r="N219" s="1"/>
    </row>
    <row r="220" spans="2:14">
      <c r="B220" s="1"/>
      <c r="C220" s="1"/>
      <c r="D220" s="1"/>
      <c r="E220" s="1"/>
      <c r="F220" s="1"/>
      <c r="G220" s="1"/>
      <c r="H220" s="1"/>
      <c r="I220" s="1"/>
      <c r="J220" s="1"/>
      <c r="K220" s="1"/>
      <c r="L220" s="1"/>
      <c r="M220" s="27"/>
      <c r="N220" s="1"/>
    </row>
    <row r="221" spans="2:14">
      <c r="B221" s="1"/>
      <c r="C221" s="1"/>
      <c r="D221" s="1"/>
      <c r="E221" s="1"/>
      <c r="F221" s="1"/>
      <c r="G221" s="1"/>
      <c r="H221" s="1"/>
      <c r="I221" s="1"/>
      <c r="J221" s="1"/>
      <c r="K221" s="1"/>
      <c r="L221" s="1"/>
      <c r="M221" s="27"/>
      <c r="N221" s="1"/>
    </row>
    <row r="222" spans="2:14">
      <c r="B222" s="1"/>
      <c r="C222" s="1"/>
      <c r="D222" s="1"/>
      <c r="E222" s="1"/>
      <c r="F222" s="1"/>
      <c r="G222" s="1"/>
      <c r="H222" s="1"/>
      <c r="I222" s="1"/>
      <c r="J222" s="1"/>
      <c r="K222" s="1"/>
      <c r="L222" s="1"/>
      <c r="M222" s="27"/>
      <c r="N222" s="1"/>
    </row>
    <row r="223" spans="2:14">
      <c r="B223" s="1"/>
      <c r="C223" s="1"/>
      <c r="D223" s="1"/>
      <c r="E223" s="1"/>
      <c r="F223" s="1"/>
      <c r="G223" s="1"/>
      <c r="H223" s="1"/>
      <c r="I223" s="1"/>
      <c r="J223" s="1"/>
      <c r="K223" s="1"/>
      <c r="L223" s="1"/>
      <c r="M223" s="27"/>
      <c r="N223" s="1"/>
    </row>
    <row r="224" spans="2:14">
      <c r="B224" s="1"/>
      <c r="C224" s="1"/>
      <c r="D224" s="1"/>
      <c r="E224" s="1"/>
      <c r="F224" s="1"/>
      <c r="G224" s="1"/>
      <c r="H224" s="1"/>
      <c r="I224" s="1"/>
      <c r="J224" s="1"/>
      <c r="K224" s="1"/>
      <c r="L224" s="1"/>
      <c r="M224" s="27"/>
      <c r="N224" s="1"/>
    </row>
    <row r="225" spans="1:14">
      <c r="B225" s="1"/>
      <c r="C225" s="1"/>
      <c r="D225" s="1"/>
      <c r="E225" s="1"/>
      <c r="F225" s="1"/>
      <c r="G225" s="1"/>
      <c r="H225" s="1"/>
      <c r="I225" s="1"/>
      <c r="J225" s="1"/>
      <c r="K225" s="1"/>
      <c r="L225" s="1"/>
      <c r="M225" s="27"/>
      <c r="N225" s="1"/>
    </row>
    <row r="226" spans="1:14">
      <c r="B226" s="1"/>
      <c r="C226" s="1"/>
      <c r="D226" s="1"/>
      <c r="E226" s="1"/>
      <c r="F226" s="1"/>
      <c r="G226" s="1"/>
      <c r="H226" s="1"/>
      <c r="I226" s="1"/>
      <c r="J226" s="1"/>
      <c r="K226" s="1"/>
      <c r="L226" s="1"/>
      <c r="M226" s="27"/>
      <c r="N226" s="1"/>
    </row>
    <row r="227" spans="1:14">
      <c r="B227" s="1"/>
      <c r="C227" s="1"/>
      <c r="D227" s="1"/>
      <c r="E227" s="1"/>
      <c r="F227" s="1"/>
      <c r="G227" s="1"/>
      <c r="H227" s="1"/>
      <c r="I227" s="1"/>
      <c r="J227" s="1"/>
      <c r="K227" s="1"/>
      <c r="L227" s="1"/>
      <c r="M227" s="27"/>
      <c r="N227" s="1"/>
    </row>
    <row r="228" spans="1:14">
      <c r="B228" s="1"/>
      <c r="C228" s="1"/>
      <c r="D228" s="1"/>
      <c r="E228" s="1"/>
      <c r="F228" s="1"/>
      <c r="G228" s="1"/>
      <c r="H228" s="1"/>
      <c r="I228" s="1"/>
      <c r="J228" s="1"/>
      <c r="K228" s="1"/>
      <c r="L228" s="1"/>
      <c r="M228" s="27"/>
      <c r="N228" s="1"/>
    </row>
    <row r="229" spans="1:14">
      <c r="B229" s="1"/>
      <c r="C229" s="1"/>
      <c r="D229" s="1"/>
      <c r="E229" s="1"/>
      <c r="F229" s="1"/>
      <c r="G229" s="1"/>
      <c r="H229" s="1"/>
      <c r="I229" s="1"/>
      <c r="J229" s="1"/>
      <c r="K229" s="1"/>
      <c r="L229" s="1"/>
      <c r="M229" s="27"/>
      <c r="N229" s="1"/>
    </row>
    <row r="230" spans="1:14">
      <c r="B230" s="1"/>
      <c r="C230" s="1"/>
      <c r="D230" s="1"/>
      <c r="E230" s="1"/>
      <c r="F230" s="1"/>
      <c r="G230" s="1"/>
      <c r="H230" s="1"/>
      <c r="I230" s="1"/>
      <c r="J230" s="1"/>
      <c r="K230" s="1"/>
      <c r="L230" s="1"/>
      <c r="M230" s="27"/>
      <c r="N230" s="1"/>
    </row>
    <row r="231" spans="1:14">
      <c r="B231" s="1"/>
      <c r="C231" s="1"/>
      <c r="D231" s="1"/>
      <c r="E231" s="1"/>
      <c r="F231" s="1"/>
      <c r="G231" s="1"/>
      <c r="H231" s="1"/>
      <c r="I231" s="1"/>
      <c r="J231" s="1"/>
      <c r="K231" s="1"/>
      <c r="L231" s="1"/>
      <c r="M231" s="27"/>
      <c r="N231" s="1"/>
    </row>
    <row r="232" spans="1:14">
      <c r="B232" s="1"/>
      <c r="C232" s="1"/>
      <c r="D232" s="1"/>
      <c r="E232" s="1"/>
      <c r="F232" s="1"/>
      <c r="G232" s="1"/>
      <c r="H232" s="1"/>
      <c r="I232" s="1"/>
      <c r="J232" s="1"/>
      <c r="K232" s="1"/>
      <c r="L232" s="1"/>
      <c r="M232" s="27"/>
      <c r="N232" s="1"/>
    </row>
    <row r="233" spans="1:14">
      <c r="B233" s="1"/>
      <c r="C233" s="1"/>
      <c r="D233" s="1"/>
      <c r="E233" s="1"/>
      <c r="F233" s="1"/>
      <c r="G233" s="1"/>
      <c r="H233" s="1"/>
      <c r="I233" s="1"/>
      <c r="J233" s="1"/>
      <c r="K233" s="1"/>
      <c r="L233" s="1"/>
      <c r="M233" s="27"/>
      <c r="N233" s="1"/>
    </row>
    <row r="234" spans="1:14">
      <c r="M234" s="19"/>
    </row>
    <row r="235" spans="1:14">
      <c r="M235" s="19"/>
    </row>
    <row r="236" spans="1:14">
      <c r="M236" s="19"/>
    </row>
    <row r="237" spans="1:14" ht="18.75">
      <c r="A237" s="93"/>
      <c r="B237" s="1"/>
      <c r="C237" s="1"/>
      <c r="D237" s="1"/>
      <c r="E237" s="1"/>
      <c r="F237" s="1"/>
      <c r="G237" s="1"/>
      <c r="H237" s="1"/>
      <c r="I237" s="1"/>
      <c r="J237" s="1"/>
      <c r="K237" s="1"/>
      <c r="L237" s="1"/>
      <c r="M237" s="19"/>
    </row>
    <row r="238" spans="1:14">
      <c r="M238" s="19"/>
    </row>
    <row r="239" spans="1:14">
      <c r="M239" s="19"/>
    </row>
    <row r="240" spans="1:14">
      <c r="M240" s="19"/>
    </row>
    <row r="241" spans="13:13">
      <c r="M241" s="19"/>
    </row>
    <row r="242" spans="13:13">
      <c r="M242" s="19"/>
    </row>
    <row r="243" spans="13:13">
      <c r="M243" s="19"/>
    </row>
    <row r="244" spans="13:13">
      <c r="M244" s="19"/>
    </row>
    <row r="245" spans="13:13">
      <c r="M245" s="19"/>
    </row>
    <row r="246" spans="13:13">
      <c r="M246" s="19"/>
    </row>
    <row r="247" spans="13:13">
      <c r="M247" s="19"/>
    </row>
    <row r="248" spans="13:13">
      <c r="M248" s="19"/>
    </row>
    <row r="249" spans="13:13">
      <c r="M249" s="19"/>
    </row>
    <row r="250" spans="13:13">
      <c r="M250" s="19"/>
    </row>
    <row r="251" spans="13:13">
      <c r="M251" s="19"/>
    </row>
    <row r="252" spans="13:13">
      <c r="M252" s="19"/>
    </row>
    <row r="253" spans="13:13">
      <c r="M253" s="19"/>
    </row>
    <row r="254" spans="13:13">
      <c r="M254" s="19"/>
    </row>
    <row r="255" spans="13:13">
      <c r="M255" s="19"/>
    </row>
    <row r="256" spans="13:13">
      <c r="M256" s="19"/>
    </row>
    <row r="257" spans="13:13">
      <c r="M257" s="19"/>
    </row>
    <row r="258" spans="13:13">
      <c r="M258" s="19"/>
    </row>
    <row r="259" spans="13:13">
      <c r="M259" s="19"/>
    </row>
    <row r="260" spans="13:13">
      <c r="M260" s="19"/>
    </row>
    <row r="261" spans="13:13">
      <c r="M261" s="19"/>
    </row>
    <row r="262" spans="13:13">
      <c r="M262" s="19"/>
    </row>
    <row r="263" spans="13:13">
      <c r="M263" s="19"/>
    </row>
    <row r="264" spans="13:13">
      <c r="M264" s="19"/>
    </row>
    <row r="265" spans="13:13">
      <c r="M265" s="19"/>
    </row>
    <row r="266" spans="13:13">
      <c r="M266" s="19"/>
    </row>
    <row r="267" spans="13:13">
      <c r="M267" s="19"/>
    </row>
    <row r="268" spans="13:13">
      <c r="M268" s="19"/>
    </row>
    <row r="269" spans="13:13">
      <c r="M269" s="19"/>
    </row>
    <row r="270" spans="13:13">
      <c r="M270" s="19"/>
    </row>
    <row r="271" spans="13:13">
      <c r="M271" s="19"/>
    </row>
    <row r="272" spans="13:13">
      <c r="M272" s="19"/>
    </row>
    <row r="273" spans="13:13">
      <c r="M273" s="19"/>
    </row>
    <row r="274" spans="13:13">
      <c r="M274" s="19"/>
    </row>
    <row r="275" spans="13:13">
      <c r="M275" s="19"/>
    </row>
    <row r="276" spans="13:13">
      <c r="M276" s="19"/>
    </row>
    <row r="277" spans="13:13">
      <c r="M277" s="19"/>
    </row>
    <row r="278" spans="13:13">
      <c r="M278" s="19"/>
    </row>
    <row r="279" spans="13:13">
      <c r="M279" s="19"/>
    </row>
    <row r="280" spans="13:13">
      <c r="M280" s="19"/>
    </row>
    <row r="281" spans="13:13">
      <c r="M281" s="19"/>
    </row>
    <row r="282" spans="13:13">
      <c r="M282" s="19"/>
    </row>
    <row r="283" spans="13:13">
      <c r="M283" s="19"/>
    </row>
    <row r="284" spans="13:13">
      <c r="M284" s="19"/>
    </row>
    <row r="285" spans="13:13">
      <c r="M285" s="19"/>
    </row>
    <row r="286" spans="13:13">
      <c r="M286" s="19"/>
    </row>
    <row r="287" spans="13:13">
      <c r="M287" s="19"/>
    </row>
    <row r="288" spans="13:13">
      <c r="M288" s="19"/>
    </row>
    <row r="289" spans="13:13">
      <c r="M289" s="19"/>
    </row>
    <row r="290" spans="13:13">
      <c r="M290" s="19"/>
    </row>
    <row r="291" spans="13:13">
      <c r="M291" s="19"/>
    </row>
    <row r="292" spans="13:13">
      <c r="M292" s="19"/>
    </row>
    <row r="293" spans="13:13">
      <c r="M293" s="19"/>
    </row>
    <row r="294" spans="13:13">
      <c r="M294" s="19"/>
    </row>
    <row r="295" spans="13:13">
      <c r="M295" s="19"/>
    </row>
    <row r="296" spans="13:13">
      <c r="M296" s="19"/>
    </row>
    <row r="297" spans="13:13">
      <c r="M297" s="19"/>
    </row>
    <row r="298" spans="13:13">
      <c r="M298" s="19"/>
    </row>
    <row r="299" spans="13:13">
      <c r="M299" s="19"/>
    </row>
    <row r="300" spans="13:13">
      <c r="M300" s="19"/>
    </row>
    <row r="301" spans="13:13">
      <c r="M301" s="19"/>
    </row>
    <row r="302" spans="13:13">
      <c r="M302" s="19"/>
    </row>
    <row r="303" spans="13:13">
      <c r="M303" s="19"/>
    </row>
    <row r="304" spans="13:13">
      <c r="M304" s="19"/>
    </row>
    <row r="305" spans="13:13">
      <c r="M305" s="19"/>
    </row>
    <row r="306" spans="13:13">
      <c r="M306" s="19"/>
    </row>
    <row r="307" spans="13:13">
      <c r="M307" s="19"/>
    </row>
    <row r="308" spans="13:13">
      <c r="M308" s="19"/>
    </row>
    <row r="309" spans="13:13">
      <c r="M309" s="19"/>
    </row>
    <row r="310" spans="13:13">
      <c r="M310" s="19"/>
    </row>
    <row r="311" spans="13:13">
      <c r="M311" s="19"/>
    </row>
    <row r="312" spans="13:13">
      <c r="M312" s="19"/>
    </row>
    <row r="313" spans="13:13">
      <c r="M313" s="19"/>
    </row>
    <row r="314" spans="13:13">
      <c r="M314" s="19"/>
    </row>
    <row r="315" spans="13:13">
      <c r="M315" s="19"/>
    </row>
    <row r="316" spans="13:13">
      <c r="M316" s="19"/>
    </row>
    <row r="317" spans="13:13">
      <c r="M317" s="19"/>
    </row>
    <row r="318" spans="13:13">
      <c r="M318" s="19"/>
    </row>
    <row r="319" spans="13:13">
      <c r="M319" s="19"/>
    </row>
    <row r="320" spans="13:13">
      <c r="M320" s="19"/>
    </row>
    <row r="321" spans="13:13">
      <c r="M321" s="19"/>
    </row>
    <row r="322" spans="13:13">
      <c r="M322" s="19"/>
    </row>
    <row r="323" spans="13:13">
      <c r="M323" s="19"/>
    </row>
    <row r="324" spans="13:13">
      <c r="M324" s="19"/>
    </row>
    <row r="325" spans="13:13">
      <c r="M325" s="19"/>
    </row>
    <row r="326" spans="13:13">
      <c r="M326" s="19"/>
    </row>
    <row r="327" spans="13:13">
      <c r="M327" s="19"/>
    </row>
    <row r="328" spans="13:13">
      <c r="M328" s="19"/>
    </row>
    <row r="329" spans="13:13">
      <c r="M329" s="19"/>
    </row>
    <row r="330" spans="13:13">
      <c r="M330" s="19"/>
    </row>
    <row r="331" spans="13:13">
      <c r="M331" s="19"/>
    </row>
    <row r="332" spans="13:13">
      <c r="M332" s="19"/>
    </row>
    <row r="333" spans="13:13">
      <c r="M333" s="19"/>
    </row>
    <row r="334" spans="13:13">
      <c r="M334" s="19"/>
    </row>
    <row r="335" spans="13:13">
      <c r="M335" s="19"/>
    </row>
    <row r="336" spans="13:13">
      <c r="M336" s="19"/>
    </row>
    <row r="337" spans="13:13">
      <c r="M337" s="19"/>
    </row>
    <row r="338" spans="13:13">
      <c r="M338" s="19"/>
    </row>
    <row r="339" spans="13:13">
      <c r="M339" s="19"/>
    </row>
    <row r="340" spans="13:13">
      <c r="M340" s="19"/>
    </row>
    <row r="341" spans="13:13">
      <c r="M341" s="19"/>
    </row>
    <row r="342" spans="13:13">
      <c r="M342" s="19"/>
    </row>
    <row r="343" spans="13:13">
      <c r="M343" s="19"/>
    </row>
    <row r="344" spans="13:13">
      <c r="M344" s="19"/>
    </row>
    <row r="345" spans="13:13">
      <c r="M345" s="19"/>
    </row>
    <row r="346" spans="13:13">
      <c r="M346" s="19"/>
    </row>
    <row r="347" spans="13:13">
      <c r="M347" s="19"/>
    </row>
    <row r="348" spans="13:13">
      <c r="M348" s="19"/>
    </row>
    <row r="349" spans="13:13">
      <c r="M349" s="19"/>
    </row>
    <row r="350" spans="13:13">
      <c r="M350" s="19"/>
    </row>
    <row r="351" spans="13:13">
      <c r="M351" s="19"/>
    </row>
    <row r="352" spans="13:13">
      <c r="M352" s="19"/>
    </row>
    <row r="353" spans="13:13">
      <c r="M353" s="19"/>
    </row>
    <row r="354" spans="13:13">
      <c r="M354" s="19"/>
    </row>
    <row r="355" spans="13:13">
      <c r="M355" s="19"/>
    </row>
    <row r="356" spans="13:13">
      <c r="M356" s="19"/>
    </row>
    <row r="357" spans="13:13">
      <c r="M357" s="19"/>
    </row>
    <row r="358" spans="13:13">
      <c r="M358" s="19"/>
    </row>
    <row r="359" spans="13:13">
      <c r="M359" s="19"/>
    </row>
    <row r="360" spans="13:13">
      <c r="M360" s="19"/>
    </row>
    <row r="361" spans="13:13">
      <c r="M361" s="19"/>
    </row>
    <row r="362" spans="13:13">
      <c r="M362" s="19"/>
    </row>
    <row r="363" spans="13:13">
      <c r="M363" s="19"/>
    </row>
    <row r="364" spans="13:13">
      <c r="M364" s="19"/>
    </row>
    <row r="365" spans="13:13">
      <c r="M365" s="19"/>
    </row>
    <row r="366" spans="13:13">
      <c r="M366" s="19"/>
    </row>
    <row r="367" spans="13:13">
      <c r="M367" s="19"/>
    </row>
    <row r="368" spans="13:13">
      <c r="M368" s="19"/>
    </row>
    <row r="369" spans="2:13">
      <c r="M369" s="19"/>
    </row>
    <row r="370" spans="2:13">
      <c r="M370" s="19"/>
    </row>
    <row r="371" spans="2:13">
      <c r="M371" s="19"/>
    </row>
    <row r="372" spans="2:13">
      <c r="M372" s="19"/>
    </row>
    <row r="373" spans="2:13">
      <c r="M373" s="19"/>
    </row>
    <row r="374" spans="2:13">
      <c r="B374" s="1"/>
      <c r="C374" s="1"/>
      <c r="D374" s="1"/>
      <c r="E374" s="1"/>
      <c r="F374" s="1"/>
      <c r="G374" s="1"/>
      <c r="H374" s="1"/>
      <c r="I374" s="1"/>
      <c r="J374" s="1"/>
      <c r="K374" s="1"/>
      <c r="L374" s="1"/>
      <c r="M374" s="19"/>
    </row>
    <row r="375" spans="2:13">
      <c r="B375" s="1"/>
      <c r="C375" s="1"/>
      <c r="D375" s="1"/>
      <c r="E375" s="1"/>
      <c r="F375" s="1"/>
      <c r="G375" s="1"/>
      <c r="H375" s="1"/>
      <c r="I375" s="1"/>
      <c r="J375" s="1"/>
      <c r="K375" s="1"/>
      <c r="L375" s="1"/>
      <c r="M375" s="19"/>
    </row>
    <row r="376" spans="2:13">
      <c r="B376" s="1"/>
      <c r="C376" s="1"/>
      <c r="D376" s="1"/>
      <c r="E376" s="1"/>
      <c r="F376" s="1"/>
      <c r="G376" s="1"/>
      <c r="H376" s="1"/>
      <c r="I376" s="1"/>
      <c r="J376" s="1"/>
      <c r="K376" s="1"/>
      <c r="L376" s="1"/>
      <c r="M376" s="19"/>
    </row>
    <row r="377" spans="2:13">
      <c r="B377" s="1"/>
      <c r="C377" s="1"/>
      <c r="D377" s="1"/>
      <c r="E377" s="1"/>
      <c r="F377" s="1"/>
      <c r="G377" s="1"/>
      <c r="H377" s="1"/>
      <c r="I377" s="1"/>
      <c r="J377" s="1"/>
      <c r="K377" s="1"/>
      <c r="L377" s="1"/>
      <c r="M377" s="19"/>
    </row>
    <row r="378" spans="2:13">
      <c r="B378" s="1"/>
      <c r="C378" s="1"/>
      <c r="D378" s="1"/>
      <c r="E378" s="1"/>
      <c r="F378" s="1"/>
      <c r="G378" s="1"/>
      <c r="H378" s="1"/>
      <c r="I378" s="1"/>
      <c r="J378" s="1"/>
      <c r="K378" s="1"/>
      <c r="L378" s="1"/>
      <c r="M378" s="19"/>
    </row>
    <row r="379" spans="2:13">
      <c r="B379" s="1"/>
      <c r="C379" s="1"/>
      <c r="D379" s="1"/>
      <c r="E379" s="1"/>
      <c r="F379" s="1"/>
      <c r="G379" s="1"/>
      <c r="H379" s="1"/>
      <c r="I379" s="1"/>
      <c r="J379" s="1"/>
      <c r="K379" s="1"/>
      <c r="L379" s="1"/>
      <c r="M379" s="19"/>
    </row>
    <row r="380" spans="2:13">
      <c r="B380" s="1"/>
      <c r="C380" s="1"/>
      <c r="D380" s="1"/>
      <c r="E380" s="1"/>
      <c r="F380" s="1"/>
      <c r="G380" s="1"/>
      <c r="H380" s="1"/>
      <c r="I380" s="1"/>
      <c r="J380" s="1"/>
      <c r="K380" s="1"/>
      <c r="L380" s="1"/>
      <c r="M380" s="19"/>
    </row>
    <row r="381" spans="2:13">
      <c r="B381" s="1"/>
      <c r="C381" s="1"/>
      <c r="D381" s="1"/>
      <c r="E381" s="1"/>
      <c r="F381" s="1"/>
      <c r="G381" s="1"/>
      <c r="H381" s="1"/>
      <c r="I381" s="1"/>
      <c r="J381" s="1"/>
      <c r="K381" s="1"/>
      <c r="L381" s="1"/>
      <c r="M381" s="19"/>
    </row>
    <row r="382" spans="2:13">
      <c r="B382" s="1"/>
      <c r="C382" s="1"/>
      <c r="D382" s="1"/>
      <c r="E382" s="1"/>
      <c r="F382" s="1"/>
      <c r="G382" s="1"/>
      <c r="H382" s="1"/>
      <c r="I382" s="1"/>
      <c r="J382" s="1"/>
      <c r="K382" s="1"/>
      <c r="L382" s="1"/>
      <c r="M382" s="19"/>
    </row>
    <row r="383" spans="2:13">
      <c r="B383" s="1"/>
      <c r="C383" s="1"/>
      <c r="D383" s="1"/>
      <c r="E383" s="1"/>
      <c r="F383" s="1"/>
      <c r="G383" s="1"/>
      <c r="H383" s="1"/>
      <c r="I383" s="1"/>
      <c r="J383" s="1"/>
      <c r="K383" s="1"/>
      <c r="L383" s="1"/>
      <c r="M383" s="19"/>
    </row>
    <row r="384" spans="2:13">
      <c r="B384" s="1"/>
      <c r="C384" s="1"/>
      <c r="D384" s="1"/>
      <c r="E384" s="1"/>
      <c r="F384" s="1"/>
      <c r="G384" s="1"/>
      <c r="H384" s="1"/>
      <c r="I384" s="1"/>
      <c r="J384" s="1"/>
      <c r="K384" s="1"/>
      <c r="L384" s="1"/>
      <c r="M384" s="19"/>
    </row>
    <row r="385" spans="2:13">
      <c r="B385" s="1"/>
      <c r="C385" s="1"/>
      <c r="D385" s="1"/>
      <c r="E385" s="1"/>
      <c r="F385" s="1"/>
      <c r="G385" s="1"/>
      <c r="H385" s="1"/>
      <c r="I385" s="1"/>
      <c r="J385" s="1"/>
      <c r="K385" s="1"/>
      <c r="L385" s="1"/>
      <c r="M385" s="19"/>
    </row>
    <row r="386" spans="2:13">
      <c r="B386" s="1"/>
      <c r="C386" s="1"/>
      <c r="D386" s="1"/>
      <c r="E386" s="1"/>
      <c r="F386" s="1"/>
      <c r="G386" s="1"/>
      <c r="H386" s="1"/>
      <c r="I386" s="1"/>
      <c r="J386" s="1"/>
      <c r="K386" s="1"/>
      <c r="L386" s="1"/>
      <c r="M386" s="19"/>
    </row>
    <row r="387" spans="2:13">
      <c r="B387" s="1"/>
      <c r="C387" s="1"/>
      <c r="D387" s="1"/>
      <c r="E387" s="1"/>
      <c r="F387" s="1"/>
      <c r="G387" s="1"/>
      <c r="H387" s="1"/>
      <c r="I387" s="1"/>
      <c r="J387" s="1"/>
      <c r="K387" s="1"/>
      <c r="L387" s="1"/>
      <c r="M387" s="19"/>
    </row>
    <row r="388" spans="2:13">
      <c r="B388" s="1"/>
      <c r="C388" s="1"/>
      <c r="D388" s="1"/>
      <c r="E388" s="1"/>
      <c r="F388" s="1"/>
      <c r="G388" s="1"/>
      <c r="H388" s="1"/>
      <c r="I388" s="1"/>
      <c r="J388" s="1"/>
      <c r="K388" s="1"/>
      <c r="L388" s="1"/>
      <c r="M388" s="19"/>
    </row>
    <row r="389" spans="2:13">
      <c r="B389" s="1"/>
      <c r="C389" s="1"/>
      <c r="D389" s="1"/>
      <c r="E389" s="1"/>
      <c r="F389" s="1"/>
      <c r="G389" s="1"/>
      <c r="H389" s="1"/>
      <c r="I389" s="1"/>
      <c r="J389" s="1"/>
      <c r="K389" s="1"/>
      <c r="L389" s="1"/>
      <c r="M389" s="19"/>
    </row>
    <row r="390" spans="2:13">
      <c r="B390" s="1"/>
      <c r="C390" s="1"/>
      <c r="D390" s="1"/>
      <c r="E390" s="1"/>
      <c r="F390" s="1"/>
      <c r="G390" s="1"/>
      <c r="H390" s="1"/>
      <c r="I390" s="1"/>
      <c r="J390" s="1"/>
      <c r="K390" s="1"/>
      <c r="L390" s="1"/>
      <c r="M390" s="19"/>
    </row>
    <row r="391" spans="2:13">
      <c r="B391" s="1"/>
      <c r="C391" s="1"/>
      <c r="D391" s="1"/>
      <c r="E391" s="1"/>
      <c r="F391" s="1"/>
      <c r="G391" s="1"/>
      <c r="H391" s="1"/>
      <c r="I391" s="1"/>
      <c r="J391" s="1"/>
      <c r="K391" s="1"/>
      <c r="L391" s="1"/>
      <c r="M391" s="19"/>
    </row>
    <row r="392" spans="2:13">
      <c r="B392" s="1"/>
      <c r="C392" s="1"/>
      <c r="D392" s="1"/>
      <c r="E392" s="1"/>
      <c r="F392" s="1"/>
      <c r="G392" s="1"/>
      <c r="H392" s="1"/>
      <c r="I392" s="1"/>
      <c r="J392" s="1"/>
      <c r="K392" s="1"/>
      <c r="L392" s="1"/>
      <c r="M392" s="19"/>
    </row>
    <row r="393" spans="2:13">
      <c r="B393" s="1"/>
      <c r="C393" s="1"/>
      <c r="D393" s="1"/>
      <c r="E393" s="1"/>
      <c r="F393" s="1"/>
      <c r="G393" s="1"/>
      <c r="H393" s="1"/>
      <c r="I393" s="1"/>
      <c r="J393" s="1"/>
      <c r="K393" s="1"/>
      <c r="L393" s="1"/>
      <c r="M393" s="19"/>
    </row>
    <row r="394" spans="2:13">
      <c r="B394" s="1"/>
      <c r="C394" s="1"/>
      <c r="D394" s="1"/>
      <c r="E394" s="1"/>
      <c r="F394" s="1"/>
      <c r="G394" s="1"/>
      <c r="H394" s="1"/>
      <c r="I394" s="1"/>
      <c r="J394" s="1"/>
      <c r="K394" s="1"/>
      <c r="L394" s="1"/>
      <c r="M394" s="19"/>
    </row>
    <row r="395" spans="2:13">
      <c r="B395" s="1"/>
      <c r="C395" s="1"/>
      <c r="D395" s="1"/>
      <c r="E395" s="1"/>
      <c r="F395" s="1"/>
      <c r="G395" s="1"/>
      <c r="H395" s="1"/>
      <c r="I395" s="1"/>
      <c r="J395" s="1"/>
      <c r="K395" s="1"/>
      <c r="L395" s="1"/>
      <c r="M395" s="19"/>
    </row>
    <row r="396" spans="2:13">
      <c r="B396" s="1"/>
      <c r="C396" s="1"/>
      <c r="D396" s="1"/>
      <c r="E396" s="1"/>
      <c r="F396" s="1"/>
      <c r="G396" s="1"/>
      <c r="H396" s="1"/>
      <c r="I396" s="1"/>
      <c r="J396" s="1"/>
      <c r="K396" s="1"/>
      <c r="L396" s="1"/>
      <c r="M396" s="19"/>
    </row>
    <row r="397" spans="2:13">
      <c r="B397" s="1"/>
      <c r="C397" s="1"/>
      <c r="D397" s="1"/>
      <c r="E397" s="1"/>
      <c r="F397" s="1"/>
      <c r="G397" s="1"/>
      <c r="H397" s="1"/>
      <c r="I397" s="1"/>
      <c r="J397" s="1"/>
      <c r="K397" s="1"/>
      <c r="L397" s="1"/>
      <c r="M397" s="19"/>
    </row>
    <row r="398" spans="2:13">
      <c r="B398" s="1"/>
      <c r="C398" s="1"/>
      <c r="D398" s="1"/>
      <c r="E398" s="1"/>
      <c r="F398" s="1"/>
      <c r="G398" s="1"/>
      <c r="H398" s="1"/>
      <c r="I398" s="1"/>
      <c r="J398" s="1"/>
      <c r="K398" s="1"/>
      <c r="L398" s="1"/>
      <c r="M398" s="19"/>
    </row>
    <row r="399" spans="2:13">
      <c r="B399" s="1"/>
      <c r="C399" s="1"/>
      <c r="D399" s="1"/>
      <c r="E399" s="1"/>
      <c r="F399" s="1"/>
      <c r="G399" s="1"/>
      <c r="H399" s="1"/>
      <c r="I399" s="1"/>
      <c r="J399" s="1"/>
      <c r="K399" s="1"/>
      <c r="L399" s="1"/>
      <c r="M399" s="19"/>
    </row>
    <row r="400" spans="2:13">
      <c r="B400" s="1"/>
      <c r="C400" s="1"/>
      <c r="D400" s="1"/>
      <c r="E400" s="1"/>
      <c r="F400" s="1"/>
      <c r="G400" s="1"/>
      <c r="H400" s="1"/>
      <c r="I400" s="1"/>
      <c r="J400" s="1"/>
      <c r="K400" s="1"/>
      <c r="L400" s="1"/>
      <c r="M400" s="19"/>
    </row>
    <row r="401" spans="2:13">
      <c r="B401" s="1"/>
      <c r="C401" s="1"/>
      <c r="D401" s="1"/>
      <c r="E401" s="1"/>
      <c r="F401" s="1"/>
      <c r="G401" s="1"/>
      <c r="H401" s="1"/>
      <c r="I401" s="1"/>
      <c r="J401" s="1"/>
      <c r="K401" s="1"/>
      <c r="L401" s="1"/>
      <c r="M401" s="19"/>
    </row>
    <row r="402" spans="2:13">
      <c r="B402" s="1"/>
      <c r="C402" s="1"/>
      <c r="D402" s="1"/>
      <c r="E402" s="1"/>
      <c r="F402" s="1"/>
      <c r="G402" s="1"/>
      <c r="H402" s="1"/>
      <c r="I402" s="1"/>
      <c r="J402" s="1"/>
      <c r="K402" s="1"/>
      <c r="L402" s="1"/>
      <c r="M402" s="19"/>
    </row>
    <row r="403" spans="2:13">
      <c r="B403" s="1"/>
      <c r="C403" s="1"/>
      <c r="D403" s="1"/>
      <c r="E403" s="1"/>
      <c r="F403" s="1"/>
      <c r="G403" s="1"/>
      <c r="H403" s="1"/>
      <c r="I403" s="1"/>
      <c r="J403" s="1"/>
      <c r="K403" s="1"/>
      <c r="L403" s="1"/>
      <c r="M403" s="19"/>
    </row>
    <row r="404" spans="2:13">
      <c r="B404" s="1"/>
      <c r="C404" s="1"/>
      <c r="D404" s="1"/>
      <c r="E404" s="1"/>
      <c r="F404" s="1"/>
      <c r="G404" s="1"/>
      <c r="H404" s="1"/>
      <c r="I404" s="1"/>
      <c r="J404" s="1"/>
      <c r="K404" s="1"/>
      <c r="L404" s="1"/>
      <c r="M404" s="19"/>
    </row>
    <row r="405" spans="2:13">
      <c r="B405" s="1"/>
      <c r="C405" s="1"/>
      <c r="D405" s="1"/>
      <c r="E405" s="1"/>
      <c r="F405" s="1"/>
      <c r="G405" s="1"/>
      <c r="H405" s="1"/>
      <c r="I405" s="1"/>
      <c r="J405" s="1"/>
      <c r="K405" s="1"/>
      <c r="L405" s="1"/>
      <c r="M405" s="19"/>
    </row>
    <row r="406" spans="2:13">
      <c r="B406" s="1"/>
      <c r="C406" s="1"/>
      <c r="D406" s="1"/>
      <c r="E406" s="1"/>
      <c r="F406" s="1"/>
      <c r="G406" s="1"/>
      <c r="H406" s="1"/>
      <c r="I406" s="1"/>
      <c r="J406" s="1"/>
      <c r="K406" s="1"/>
      <c r="L406" s="1"/>
      <c r="M406" s="19"/>
    </row>
    <row r="407" spans="2:13">
      <c r="B407" s="1"/>
      <c r="C407" s="1"/>
      <c r="D407" s="1"/>
      <c r="E407" s="1"/>
      <c r="F407" s="1"/>
      <c r="G407" s="1"/>
      <c r="H407" s="1"/>
      <c r="I407" s="1"/>
      <c r="J407" s="1"/>
      <c r="K407" s="1"/>
      <c r="L407" s="1"/>
      <c r="M407" s="19"/>
    </row>
    <row r="408" spans="2:13">
      <c r="B408" s="1"/>
      <c r="C408" s="1"/>
      <c r="D408" s="1"/>
      <c r="E408" s="1"/>
      <c r="F408" s="1"/>
      <c r="G408" s="1"/>
      <c r="H408" s="1"/>
      <c r="I408" s="1"/>
      <c r="J408" s="1"/>
      <c r="K408" s="1"/>
      <c r="L408" s="1"/>
      <c r="M408" s="19"/>
    </row>
    <row r="409" spans="2:13">
      <c r="B409" s="1"/>
      <c r="C409" s="1"/>
      <c r="D409" s="1"/>
      <c r="E409" s="1"/>
      <c r="F409" s="1"/>
      <c r="G409" s="1"/>
      <c r="H409" s="1"/>
      <c r="I409" s="1"/>
      <c r="J409" s="1"/>
      <c r="K409" s="1"/>
      <c r="L409" s="1"/>
      <c r="M409" s="19"/>
    </row>
    <row r="410" spans="2:13">
      <c r="B410" s="1"/>
      <c r="C410" s="1"/>
      <c r="D410" s="1"/>
      <c r="E410" s="1"/>
      <c r="F410" s="1"/>
      <c r="G410" s="1"/>
      <c r="H410" s="1"/>
      <c r="I410" s="1"/>
      <c r="J410" s="1"/>
      <c r="K410" s="1"/>
      <c r="L410" s="1"/>
      <c r="M410" s="19"/>
    </row>
    <row r="411" spans="2:13">
      <c r="B411" s="1"/>
      <c r="C411" s="1"/>
      <c r="D411" s="1"/>
      <c r="E411" s="1"/>
      <c r="F411" s="1"/>
      <c r="G411" s="1"/>
      <c r="H411" s="1"/>
      <c r="I411" s="1"/>
      <c r="J411" s="1"/>
      <c r="K411" s="1"/>
      <c r="L411" s="1"/>
      <c r="M411" s="19"/>
    </row>
    <row r="412" spans="2:13">
      <c r="M412" s="19"/>
    </row>
    <row r="413" spans="2:13">
      <c r="M413" s="19"/>
    </row>
    <row r="414" spans="2:13">
      <c r="M414" s="19"/>
    </row>
    <row r="415" spans="2:13">
      <c r="M415" s="19"/>
    </row>
    <row r="416" spans="2:13">
      <c r="M416" s="19"/>
    </row>
    <row r="417" spans="13:13">
      <c r="M417" s="19"/>
    </row>
    <row r="418" spans="13:13">
      <c r="M418" s="19"/>
    </row>
    <row r="419" spans="13:13">
      <c r="M419" s="19"/>
    </row>
    <row r="420" spans="13:13">
      <c r="M420" s="19"/>
    </row>
    <row r="421" spans="13:13">
      <c r="M421" s="19"/>
    </row>
    <row r="422" spans="13:13">
      <c r="M422" s="19"/>
    </row>
    <row r="423" spans="13:13">
      <c r="M423" s="19"/>
    </row>
    <row r="424" spans="13:13">
      <c r="M424" s="19"/>
    </row>
    <row r="425" spans="13:13">
      <c r="M425" s="19"/>
    </row>
    <row r="426" spans="13:13">
      <c r="M426" s="19"/>
    </row>
    <row r="427" spans="13:13">
      <c r="M427" s="19"/>
    </row>
    <row r="428" spans="13:13">
      <c r="M428" s="19"/>
    </row>
    <row r="429" spans="13:13">
      <c r="M429" s="19"/>
    </row>
    <row r="430" spans="13:13">
      <c r="M430" s="19"/>
    </row>
    <row r="431" spans="13:13">
      <c r="M431" s="19"/>
    </row>
    <row r="432" spans="13:13">
      <c r="M432" s="19"/>
    </row>
    <row r="433" spans="13:13">
      <c r="M433" s="19"/>
    </row>
    <row r="434" spans="13:13">
      <c r="M434" s="19"/>
    </row>
    <row r="435" spans="13:13">
      <c r="M435" s="19"/>
    </row>
    <row r="436" spans="13:13">
      <c r="M436" s="19"/>
    </row>
    <row r="437" spans="13:13">
      <c r="M437" s="19"/>
    </row>
    <row r="438" spans="13:13">
      <c r="M438" s="19"/>
    </row>
    <row r="439" spans="13:13">
      <c r="M439" s="19"/>
    </row>
    <row r="440" spans="13:13">
      <c r="M440" s="19"/>
    </row>
    <row r="441" spans="13:13">
      <c r="M441" s="19"/>
    </row>
    <row r="442" spans="13:13">
      <c r="M442" s="19"/>
    </row>
    <row r="443" spans="13:13">
      <c r="M443" s="19"/>
    </row>
    <row r="444" spans="13:13">
      <c r="M444" s="19"/>
    </row>
    <row r="445" spans="13:13">
      <c r="M445" s="19"/>
    </row>
    <row r="446" spans="13:13">
      <c r="M446" s="19"/>
    </row>
    <row r="447" spans="13:13">
      <c r="M447" s="19"/>
    </row>
    <row r="448" spans="13:13">
      <c r="M448" s="19"/>
    </row>
    <row r="449" spans="13:13">
      <c r="M449" s="19"/>
    </row>
    <row r="450" spans="13:13">
      <c r="M450" s="19"/>
    </row>
    <row r="451" spans="13:13">
      <c r="M451" s="19"/>
    </row>
    <row r="452" spans="13:13">
      <c r="M452" s="19"/>
    </row>
    <row r="453" spans="13:13">
      <c r="M453" s="19"/>
    </row>
    <row r="454" spans="13:13">
      <c r="M454" s="19"/>
    </row>
    <row r="455" spans="13:13">
      <c r="M455" s="19"/>
    </row>
    <row r="456" spans="13:13">
      <c r="M456" s="19"/>
    </row>
    <row r="457" spans="13:13">
      <c r="M457" s="19"/>
    </row>
  </sheetData>
  <mergeCells count="1">
    <mergeCell ref="J1:L1"/>
  </mergeCells>
  <phoneticPr fontId="12" type="noConversion"/>
  <pageMargins left="0.75" right="0.75" top="1" bottom="1" header="0.5" footer="0.5"/>
  <pageSetup orientation="landscape" horizontalDpi="4294967292" verticalDpi="4294967292"/>
  <headerFooter>
    <oddHeader>&amp;C&amp;"Calibri,Regular"&amp;14&amp;K000000Public Works</oddHead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366FF"/>
  </sheetPr>
  <dimension ref="A1:U35"/>
  <sheetViews>
    <sheetView topLeftCell="H1" workbookViewId="0">
      <selection activeCell="N4" sqref="N4"/>
    </sheetView>
  </sheetViews>
  <sheetFormatPr defaultColWidth="11" defaultRowHeight="15.75"/>
  <cols>
    <col min="1" max="1" width="23" customWidth="1"/>
  </cols>
  <sheetData>
    <row r="1" spans="1:21">
      <c r="B1" s="2">
        <v>2007</v>
      </c>
      <c r="C1" s="2">
        <v>2008</v>
      </c>
      <c r="D1" s="2">
        <v>2009</v>
      </c>
      <c r="E1" s="2">
        <v>2010</v>
      </c>
      <c r="F1" s="2">
        <v>2011</v>
      </c>
      <c r="G1" s="2">
        <v>2012</v>
      </c>
      <c r="H1" s="2">
        <v>2013</v>
      </c>
      <c r="I1" s="2">
        <v>2014</v>
      </c>
      <c r="J1" s="2">
        <v>2015</v>
      </c>
      <c r="K1" s="21">
        <v>2016</v>
      </c>
      <c r="L1" s="21">
        <v>2017</v>
      </c>
      <c r="M1" s="21">
        <v>2018</v>
      </c>
      <c r="N1" s="123">
        <v>2019</v>
      </c>
      <c r="O1" s="123">
        <v>2020</v>
      </c>
      <c r="P1" s="123">
        <v>2021</v>
      </c>
      <c r="Q1" s="123">
        <v>2022</v>
      </c>
      <c r="R1" s="123">
        <v>2023</v>
      </c>
      <c r="S1" s="123">
        <v>2024</v>
      </c>
      <c r="T1" s="123">
        <v>2025</v>
      </c>
      <c r="U1" s="123">
        <v>2026</v>
      </c>
    </row>
    <row r="4" spans="1:21">
      <c r="A4" t="s">
        <v>21</v>
      </c>
      <c r="B4" s="12">
        <v>63025</v>
      </c>
      <c r="C4" s="12">
        <v>64690</v>
      </c>
      <c r="D4" s="12">
        <v>63162</v>
      </c>
      <c r="E4" s="56">
        <v>67742</v>
      </c>
      <c r="F4" s="48">
        <v>68761</v>
      </c>
      <c r="G4" s="12">
        <v>69341</v>
      </c>
      <c r="H4" s="12">
        <v>70370</v>
      </c>
      <c r="I4" s="12">
        <v>71027</v>
      </c>
      <c r="J4" s="12">
        <v>73420</v>
      </c>
      <c r="K4" s="25">
        <v>74385</v>
      </c>
      <c r="L4" s="25">
        <v>75840</v>
      </c>
      <c r="M4" s="25">
        <v>77262</v>
      </c>
      <c r="N4" s="25">
        <v>78980</v>
      </c>
    </row>
    <row r="6" spans="1:21">
      <c r="A6" t="s">
        <v>71</v>
      </c>
      <c r="B6" s="36"/>
      <c r="C6" s="36"/>
      <c r="D6" s="36"/>
      <c r="E6" s="36"/>
      <c r="F6" s="36"/>
      <c r="G6" s="36"/>
      <c r="H6" s="36"/>
      <c r="I6" s="36"/>
      <c r="J6" s="36"/>
      <c r="K6" s="36"/>
      <c r="L6" s="36"/>
      <c r="M6" s="36"/>
    </row>
    <row r="7" spans="1:21">
      <c r="B7" s="36"/>
      <c r="C7" s="36"/>
      <c r="D7" s="36"/>
      <c r="E7" s="36"/>
      <c r="F7" s="36"/>
      <c r="G7" s="36"/>
      <c r="H7" s="36"/>
      <c r="I7" s="36"/>
      <c r="J7" s="36"/>
      <c r="K7" s="36"/>
      <c r="L7" s="36"/>
      <c r="M7" s="36"/>
    </row>
    <row r="8" spans="1:21">
      <c r="A8" t="s">
        <v>90</v>
      </c>
      <c r="F8" s="16">
        <v>3980</v>
      </c>
      <c r="G8" s="16">
        <v>3355</v>
      </c>
      <c r="H8" s="16">
        <v>3782</v>
      </c>
      <c r="I8" s="16">
        <v>4079</v>
      </c>
      <c r="J8" s="16">
        <v>6522</v>
      </c>
      <c r="K8" s="16">
        <v>8015</v>
      </c>
      <c r="L8" s="16">
        <v>9862</v>
      </c>
    </row>
    <row r="9" spans="1:21">
      <c r="F9" s="7">
        <f>F8/F4</f>
        <v>5.7881648027224737E-2</v>
      </c>
      <c r="G9" s="7">
        <f t="shared" ref="G9:L9" si="0">G8/G4</f>
        <v>4.8384072915014203E-2</v>
      </c>
      <c r="H9" s="7">
        <f t="shared" si="0"/>
        <v>5.3744493392070485E-2</v>
      </c>
      <c r="I9" s="7">
        <f t="shared" si="0"/>
        <v>5.7428865079476817E-2</v>
      </c>
      <c r="J9" s="7">
        <f t="shared" si="0"/>
        <v>8.8831381095069467E-2</v>
      </c>
      <c r="K9" s="7">
        <f t="shared" si="0"/>
        <v>0.10775021845802245</v>
      </c>
      <c r="L9" s="7">
        <f t="shared" si="0"/>
        <v>0.13003691983122362</v>
      </c>
    </row>
    <row r="10" spans="1:21">
      <c r="A10" s="59" t="s">
        <v>91</v>
      </c>
      <c r="B10" s="59"/>
      <c r="C10" s="59"/>
      <c r="D10" s="59"/>
      <c r="L10" s="58">
        <v>20884</v>
      </c>
    </row>
    <row r="11" spans="1:21">
      <c r="L11" s="7">
        <f>L10/L4</f>
        <v>0.27536919831223627</v>
      </c>
    </row>
    <row r="12" spans="1:21">
      <c r="A12" s="57" t="s">
        <v>92</v>
      </c>
    </row>
    <row r="14" spans="1:21">
      <c r="A14" t="s">
        <v>139</v>
      </c>
      <c r="B14">
        <v>994</v>
      </c>
      <c r="C14">
        <v>994</v>
      </c>
      <c r="D14">
        <v>984</v>
      </c>
      <c r="E14">
        <v>959</v>
      </c>
      <c r="F14">
        <v>987</v>
      </c>
      <c r="G14">
        <v>1018</v>
      </c>
      <c r="H14">
        <v>1048</v>
      </c>
      <c r="I14">
        <v>1064</v>
      </c>
    </row>
    <row r="17" spans="1:17">
      <c r="A17" t="s">
        <v>140</v>
      </c>
    </row>
    <row r="18" spans="1:17">
      <c r="A18" s="40" t="s">
        <v>100</v>
      </c>
      <c r="B18" s="14"/>
      <c r="C18" s="14"/>
      <c r="D18" s="14">
        <v>487.04</v>
      </c>
      <c r="E18" s="14">
        <v>469.7</v>
      </c>
      <c r="F18" s="14"/>
      <c r="G18" s="14"/>
      <c r="H18" s="14"/>
      <c r="I18" s="14"/>
      <c r="J18" s="14"/>
      <c r="K18" s="14"/>
      <c r="L18" s="14"/>
      <c r="M18" s="14"/>
    </row>
    <row r="19" spans="1:17">
      <c r="A19" s="40" t="s">
        <v>93</v>
      </c>
      <c r="B19" s="14"/>
      <c r="C19" s="14"/>
      <c r="D19" s="14">
        <v>19.649999999999999</v>
      </c>
      <c r="E19" s="14">
        <v>17.649999999999999</v>
      </c>
      <c r="F19" s="14"/>
      <c r="G19" s="14"/>
      <c r="H19" s="14"/>
      <c r="I19" s="14"/>
      <c r="J19" s="14"/>
      <c r="K19" s="14"/>
      <c r="L19" s="14"/>
      <c r="M19" s="14"/>
    </row>
    <row r="20" spans="1:17">
      <c r="A20" s="40" t="s">
        <v>101</v>
      </c>
      <c r="B20" s="14"/>
      <c r="C20" s="14"/>
      <c r="D20" s="14">
        <v>207.1</v>
      </c>
      <c r="E20" s="14">
        <v>197.67</v>
      </c>
      <c r="F20" s="14"/>
      <c r="G20" s="14"/>
      <c r="H20" s="14"/>
      <c r="I20" s="14"/>
      <c r="J20" s="14"/>
      <c r="K20" s="14"/>
      <c r="L20" s="14"/>
      <c r="M20" s="14"/>
    </row>
    <row r="21" spans="1:17">
      <c r="A21" s="40" t="s">
        <v>83</v>
      </c>
      <c r="B21" s="14"/>
      <c r="C21" s="14"/>
      <c r="D21" s="14">
        <v>4.3</v>
      </c>
      <c r="E21" s="14">
        <v>4.4000000000000004</v>
      </c>
      <c r="F21" s="14"/>
      <c r="G21" s="14"/>
      <c r="H21" s="14"/>
      <c r="I21" s="14"/>
      <c r="J21" s="14"/>
      <c r="K21" s="14"/>
      <c r="L21" s="14"/>
      <c r="M21" s="14"/>
    </row>
    <row r="22" spans="1:17">
      <c r="A22" s="40" t="s">
        <v>148</v>
      </c>
      <c r="B22" s="14"/>
      <c r="C22" s="14"/>
      <c r="D22" s="14"/>
      <c r="E22" s="14"/>
      <c r="F22" s="14"/>
      <c r="G22" s="14"/>
      <c r="H22" s="14"/>
      <c r="I22" s="14"/>
      <c r="J22" s="14"/>
      <c r="K22" s="14"/>
      <c r="L22" s="14"/>
      <c r="M22" s="14"/>
    </row>
    <row r="23" spans="1:17">
      <c r="A23" s="40"/>
      <c r="B23" s="14"/>
      <c r="C23" s="14"/>
      <c r="D23" s="14"/>
      <c r="E23" s="14"/>
      <c r="F23" s="14"/>
      <c r="G23" s="14"/>
      <c r="H23" s="14"/>
      <c r="I23" s="14"/>
      <c r="J23" s="14"/>
      <c r="K23" s="14"/>
      <c r="L23" s="14"/>
      <c r="M23" s="14"/>
    </row>
    <row r="24" spans="1:17">
      <c r="A24" s="40"/>
      <c r="B24" s="14"/>
      <c r="C24" s="14"/>
      <c r="D24" s="14"/>
      <c r="E24" s="14"/>
      <c r="F24" s="14"/>
      <c r="G24" s="14"/>
      <c r="H24" s="14"/>
      <c r="I24" s="14"/>
      <c r="J24" s="14"/>
      <c r="K24" s="14"/>
      <c r="L24" s="14"/>
      <c r="M24" s="14"/>
    </row>
    <row r="25" spans="1:17">
      <c r="A25" s="40" t="s">
        <v>141</v>
      </c>
      <c r="B25">
        <f>SUM(B18:B21)</f>
        <v>0</v>
      </c>
      <c r="C25">
        <f>SUM(C18:C21)</f>
        <v>0</v>
      </c>
      <c r="D25">
        <f>SUM(D18:D21)</f>
        <v>718.08999999999992</v>
      </c>
      <c r="E25">
        <f>SUM(E18:E21)</f>
        <v>689.42</v>
      </c>
      <c r="F25">
        <f t="shared" ref="F25:M25" si="1">SUM(F18:F21)</f>
        <v>0</v>
      </c>
      <c r="G25">
        <f t="shared" si="1"/>
        <v>0</v>
      </c>
      <c r="H25">
        <f t="shared" si="1"/>
        <v>0</v>
      </c>
      <c r="I25">
        <f t="shared" si="1"/>
        <v>0</v>
      </c>
      <c r="J25">
        <f t="shared" si="1"/>
        <v>0</v>
      </c>
      <c r="K25">
        <f t="shared" si="1"/>
        <v>0</v>
      </c>
      <c r="L25">
        <f t="shared" si="1"/>
        <v>0</v>
      </c>
      <c r="M25">
        <f t="shared" si="1"/>
        <v>0</v>
      </c>
    </row>
    <row r="28" spans="1:17">
      <c r="A28" s="40" t="s">
        <v>142</v>
      </c>
      <c r="B28" s="36"/>
      <c r="C28" s="36"/>
      <c r="D28" s="36"/>
      <c r="E28" s="36"/>
      <c r="F28" s="36"/>
      <c r="G28" s="36"/>
      <c r="H28" s="36"/>
      <c r="I28" s="36"/>
      <c r="J28" s="36"/>
      <c r="K28" s="36"/>
      <c r="L28" s="36"/>
      <c r="M28" s="36"/>
    </row>
    <row r="29" spans="1:17">
      <c r="A29" s="40" t="s">
        <v>88</v>
      </c>
      <c r="B29" s="36"/>
      <c r="C29" s="36"/>
      <c r="D29" s="36"/>
      <c r="E29" s="36"/>
      <c r="F29" s="36"/>
      <c r="G29" s="36"/>
      <c r="H29" s="36"/>
      <c r="I29" s="36"/>
      <c r="J29" s="36"/>
      <c r="K29" s="36"/>
      <c r="L29" s="36">
        <v>0.09</v>
      </c>
      <c r="M29" s="36">
        <v>0.08</v>
      </c>
      <c r="N29" s="36">
        <v>0.08</v>
      </c>
      <c r="O29" s="36">
        <v>0.08</v>
      </c>
      <c r="P29" s="36">
        <v>0.08</v>
      </c>
      <c r="Q29" s="36">
        <v>0.08</v>
      </c>
    </row>
    <row r="30" spans="1:17">
      <c r="A30" s="40" t="s">
        <v>143</v>
      </c>
      <c r="B30" s="36"/>
      <c r="C30" s="36"/>
      <c r="D30" s="36"/>
      <c r="E30" s="36"/>
      <c r="F30" s="36">
        <v>5.6000000000000001E-2</v>
      </c>
      <c r="G30" s="36">
        <v>5.6000000000000001E-2</v>
      </c>
      <c r="H30" s="36">
        <v>5.6000000000000001E-2</v>
      </c>
      <c r="I30" s="36">
        <v>5.6000000000000001E-2</v>
      </c>
      <c r="J30" s="36">
        <v>5.6000000000000001E-2</v>
      </c>
      <c r="K30" s="36">
        <v>5.6000000000000001E-2</v>
      </c>
      <c r="L30" s="36">
        <v>5.7000000000000002E-2</v>
      </c>
      <c r="M30" s="36"/>
      <c r="N30" s="124"/>
    </row>
    <row r="31" spans="1:17">
      <c r="A31" s="40" t="s">
        <v>89</v>
      </c>
      <c r="B31" s="36"/>
      <c r="C31" s="36"/>
      <c r="D31" s="36"/>
      <c r="E31" s="36"/>
      <c r="F31" s="36"/>
      <c r="G31" s="36"/>
      <c r="H31" s="36"/>
      <c r="I31" s="36"/>
      <c r="J31" s="36"/>
      <c r="K31" s="36"/>
      <c r="L31" s="36">
        <v>0.11</v>
      </c>
      <c r="M31" s="36"/>
      <c r="N31" s="124"/>
    </row>
    <row r="32" spans="1:17">
      <c r="A32" s="40" t="s">
        <v>144</v>
      </c>
      <c r="B32" s="36"/>
      <c r="C32" s="36"/>
      <c r="D32" s="36"/>
      <c r="E32" s="36"/>
      <c r="F32" s="36"/>
      <c r="G32" s="36"/>
      <c r="H32" s="36"/>
      <c r="I32" s="36"/>
      <c r="J32" s="36"/>
      <c r="K32" s="36">
        <v>0.10100000000000001</v>
      </c>
      <c r="L32" s="36"/>
      <c r="M32" s="36"/>
      <c r="N32" s="124"/>
    </row>
    <row r="33" spans="1:14">
      <c r="B33" s="124"/>
      <c r="C33" s="124"/>
      <c r="D33" s="124"/>
      <c r="E33" s="124"/>
      <c r="F33" s="124"/>
      <c r="G33" s="124"/>
      <c r="H33" s="124"/>
      <c r="I33" s="124"/>
      <c r="J33" s="124"/>
      <c r="K33" s="124"/>
      <c r="L33" s="124"/>
      <c r="M33" s="124"/>
      <c r="N33" s="124"/>
    </row>
    <row r="34" spans="1:14">
      <c r="A34" s="40" t="s">
        <v>145</v>
      </c>
    </row>
    <row r="35" spans="1:14">
      <c r="A35" s="40" t="s">
        <v>146</v>
      </c>
    </row>
  </sheetData>
  <pageMargins left="0.75" right="0.75" top="1" bottom="1" header="0.5" footer="0.5"/>
  <pageSetup orientation="portrait" horizontalDpi="4294967292" verticalDpi="4294967292"/>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08040"/>
  </sheetPr>
  <dimension ref="A1:N355"/>
  <sheetViews>
    <sheetView topLeftCell="M1" workbookViewId="0">
      <selection activeCell="AB28" sqref="AB28"/>
    </sheetView>
  </sheetViews>
  <sheetFormatPr defaultColWidth="11" defaultRowHeight="15.75"/>
  <cols>
    <col min="1" max="1" width="25.625" customWidth="1"/>
    <col min="2" max="12" width="14.875" customWidth="1"/>
    <col min="13" max="13" width="11" style="190"/>
    <col min="14" max="14" width="12.125" bestFit="1" customWidth="1"/>
    <col min="15" max="15" width="13.25" customWidth="1"/>
  </cols>
  <sheetData>
    <row r="1" spans="1:14" ht="18.75">
      <c r="A1" s="37" t="s">
        <v>96</v>
      </c>
      <c r="J1" s="494" t="s">
        <v>215</v>
      </c>
      <c r="K1" s="494"/>
      <c r="L1" s="494"/>
    </row>
    <row r="2" spans="1:14">
      <c r="A2" s="2"/>
    </row>
    <row r="3" spans="1:14">
      <c r="A3" s="2"/>
      <c r="B3" s="82" t="s">
        <v>61</v>
      </c>
      <c r="C3" s="82" t="s">
        <v>61</v>
      </c>
      <c r="D3" s="82" t="s">
        <v>61</v>
      </c>
      <c r="E3" s="82" t="s">
        <v>61</v>
      </c>
      <c r="F3" s="82" t="s">
        <v>61</v>
      </c>
      <c r="G3" s="82" t="s">
        <v>61</v>
      </c>
      <c r="H3" s="82" t="s">
        <v>61</v>
      </c>
      <c r="I3" s="82" t="s">
        <v>61</v>
      </c>
      <c r="J3" s="82" t="s">
        <v>61</v>
      </c>
      <c r="K3" s="82" t="s">
        <v>61</v>
      </c>
      <c r="L3" s="82" t="s">
        <v>61</v>
      </c>
    </row>
    <row r="4" spans="1:14">
      <c r="A4" s="2"/>
      <c r="B4" s="30" t="s">
        <v>57</v>
      </c>
      <c r="C4" s="30" t="s">
        <v>57</v>
      </c>
      <c r="D4" s="30" t="s">
        <v>57</v>
      </c>
      <c r="E4" s="30" t="s">
        <v>57</v>
      </c>
      <c r="F4" s="30" t="s">
        <v>57</v>
      </c>
      <c r="G4" s="30" t="s">
        <v>57</v>
      </c>
      <c r="H4" s="30" t="s">
        <v>57</v>
      </c>
      <c r="I4" s="30" t="s">
        <v>57</v>
      </c>
      <c r="J4" s="30" t="s">
        <v>57</v>
      </c>
      <c r="K4" s="30" t="s">
        <v>202</v>
      </c>
      <c r="L4" s="30" t="s">
        <v>58</v>
      </c>
    </row>
    <row r="5" spans="1:14" ht="18.75">
      <c r="A5" s="93" t="s">
        <v>98</v>
      </c>
      <c r="B5" s="254">
        <v>2009</v>
      </c>
      <c r="C5" s="254">
        <v>2010</v>
      </c>
      <c r="D5" s="254">
        <v>2011</v>
      </c>
      <c r="E5" s="254">
        <v>2012</v>
      </c>
      <c r="F5" s="254">
        <v>2013</v>
      </c>
      <c r="G5" s="254">
        <v>2014</v>
      </c>
      <c r="H5" s="254">
        <v>2015</v>
      </c>
      <c r="I5" s="254">
        <v>2016</v>
      </c>
      <c r="J5" s="254">
        <v>2017</v>
      </c>
      <c r="K5" s="254">
        <v>2018</v>
      </c>
      <c r="L5" s="254">
        <v>2019</v>
      </c>
      <c r="M5" s="195"/>
      <c r="N5" s="2"/>
    </row>
    <row r="6" spans="1:14">
      <c r="A6" s="10" t="s">
        <v>100</v>
      </c>
      <c r="B6" s="32">
        <v>0</v>
      </c>
      <c r="C6" s="32">
        <v>0</v>
      </c>
      <c r="D6" s="32">
        <v>0</v>
      </c>
      <c r="E6" s="32">
        <v>0</v>
      </c>
      <c r="F6" s="32">
        <v>0</v>
      </c>
      <c r="G6" s="32">
        <v>0</v>
      </c>
      <c r="H6" s="32">
        <v>0</v>
      </c>
      <c r="I6" s="32">
        <v>0</v>
      </c>
      <c r="J6" s="32">
        <v>0</v>
      </c>
      <c r="K6" s="32">
        <v>0</v>
      </c>
      <c r="L6" s="32">
        <v>0</v>
      </c>
      <c r="M6" s="174"/>
      <c r="N6" s="3"/>
    </row>
    <row r="7" spans="1:14">
      <c r="A7" s="96" t="s">
        <v>93</v>
      </c>
      <c r="B7" s="32">
        <v>0</v>
      </c>
      <c r="C7" s="32">
        <v>0</v>
      </c>
      <c r="D7" s="32">
        <v>0</v>
      </c>
      <c r="E7" s="32">
        <v>0</v>
      </c>
      <c r="F7" s="32">
        <v>0</v>
      </c>
      <c r="G7" s="32">
        <v>0</v>
      </c>
      <c r="H7" s="32">
        <v>0</v>
      </c>
      <c r="I7" s="32">
        <v>0</v>
      </c>
      <c r="J7" s="32">
        <v>0</v>
      </c>
      <c r="K7" s="32">
        <v>0</v>
      </c>
      <c r="L7" s="32">
        <v>0</v>
      </c>
      <c r="M7" s="174"/>
      <c r="N7" s="3"/>
    </row>
    <row r="8" spans="1:14">
      <c r="A8" s="94" t="s">
        <v>101</v>
      </c>
      <c r="B8" s="32">
        <v>81219242</v>
      </c>
      <c r="C8" s="32">
        <v>64257087</v>
      </c>
      <c r="D8" s="32">
        <v>76457322</v>
      </c>
      <c r="E8" s="32">
        <v>75684871</v>
      </c>
      <c r="F8" s="32">
        <v>86938731</v>
      </c>
      <c r="G8" s="32">
        <v>95609532</v>
      </c>
      <c r="H8" s="32">
        <v>113505237</v>
      </c>
      <c r="I8" s="32">
        <v>112522577</v>
      </c>
      <c r="J8" s="32">
        <f>19425374+15790828+14613733+74107764+1096191</f>
        <v>125033890</v>
      </c>
      <c r="K8" s="32">
        <f>24607945+2023971+40691451+73097910</f>
        <v>140421277</v>
      </c>
      <c r="L8" s="32">
        <f>23887971+39374503+17951592+75410722</f>
        <v>156624788</v>
      </c>
      <c r="M8" s="174"/>
      <c r="N8" s="3"/>
    </row>
    <row r="9" spans="1:14">
      <c r="A9" s="73" t="s">
        <v>83</v>
      </c>
      <c r="B9" s="32">
        <v>0</v>
      </c>
      <c r="C9" s="32">
        <v>0</v>
      </c>
      <c r="D9" s="32">
        <v>0</v>
      </c>
      <c r="E9" s="32">
        <v>0</v>
      </c>
      <c r="F9" s="32">
        <v>0</v>
      </c>
      <c r="G9" s="32">
        <v>0</v>
      </c>
      <c r="H9" s="32">
        <v>0</v>
      </c>
      <c r="I9" s="32">
        <v>0</v>
      </c>
      <c r="J9" s="32">
        <v>0</v>
      </c>
      <c r="K9" s="32">
        <v>0</v>
      </c>
      <c r="L9" s="32">
        <v>0</v>
      </c>
      <c r="M9" s="174"/>
      <c r="N9" s="3"/>
    </row>
    <row r="10" spans="1:14" ht="16.5" thickBot="1">
      <c r="A10" s="39"/>
      <c r="B10" s="125">
        <v>0</v>
      </c>
      <c r="C10" s="125">
        <v>0</v>
      </c>
      <c r="D10" s="125">
        <v>0</v>
      </c>
      <c r="E10" s="125">
        <v>0</v>
      </c>
      <c r="F10" s="125">
        <v>0</v>
      </c>
      <c r="G10" s="125">
        <v>0</v>
      </c>
      <c r="H10" s="125">
        <v>0</v>
      </c>
      <c r="I10" s="125">
        <v>0</v>
      </c>
      <c r="J10" s="125">
        <v>0</v>
      </c>
      <c r="K10" s="125">
        <v>0</v>
      </c>
      <c r="L10" s="125">
        <v>0</v>
      </c>
      <c r="M10" s="195"/>
      <c r="N10" s="2"/>
    </row>
    <row r="11" spans="1:14">
      <c r="A11" s="95" t="s">
        <v>108</v>
      </c>
      <c r="B11" s="32">
        <f>SUM(B6:B9)</f>
        <v>81219242</v>
      </c>
      <c r="C11" s="32">
        <f t="shared" ref="C11:K11" si="0">SUM(C6:C9)</f>
        <v>64257087</v>
      </c>
      <c r="D11" s="32">
        <f t="shared" si="0"/>
        <v>76457322</v>
      </c>
      <c r="E11" s="32">
        <f t="shared" si="0"/>
        <v>75684871</v>
      </c>
      <c r="F11" s="32">
        <f t="shared" si="0"/>
        <v>86938731</v>
      </c>
      <c r="G11" s="32">
        <f t="shared" si="0"/>
        <v>95609532</v>
      </c>
      <c r="H11" s="32">
        <f t="shared" si="0"/>
        <v>113505237</v>
      </c>
      <c r="I11" s="32">
        <f t="shared" si="0"/>
        <v>112522577</v>
      </c>
      <c r="J11" s="32">
        <f t="shared" si="0"/>
        <v>125033890</v>
      </c>
      <c r="K11" s="32">
        <f t="shared" si="0"/>
        <v>140421277</v>
      </c>
      <c r="L11" s="32">
        <f>SUM(L6:L9)</f>
        <v>156624788</v>
      </c>
      <c r="M11" s="195"/>
      <c r="N11" s="2"/>
    </row>
    <row r="12" spans="1:14">
      <c r="A12" s="2"/>
      <c r="B12" s="31"/>
      <c r="C12" s="31"/>
      <c r="D12" s="31"/>
      <c r="E12" s="31"/>
      <c r="F12" s="31"/>
      <c r="G12" s="31"/>
      <c r="H12" s="31"/>
      <c r="I12" s="31"/>
      <c r="J12" s="31"/>
      <c r="K12" s="31"/>
      <c r="L12" s="31"/>
      <c r="M12" s="195"/>
      <c r="N12" s="2"/>
    </row>
    <row r="13" spans="1:14">
      <c r="A13" s="88"/>
      <c r="B13" s="32"/>
      <c r="C13" s="32"/>
      <c r="D13" s="32"/>
      <c r="E13" s="32"/>
      <c r="F13" s="32"/>
      <c r="G13" s="32"/>
      <c r="H13" s="32"/>
      <c r="I13" s="32"/>
      <c r="J13" s="32"/>
      <c r="K13" s="32"/>
      <c r="L13" s="32"/>
      <c r="M13" s="195"/>
      <c r="N13" s="2"/>
    </row>
    <row r="14" spans="1:14" ht="18.75">
      <c r="A14" s="93" t="s">
        <v>73</v>
      </c>
      <c r="B14" s="254">
        <v>2009</v>
      </c>
      <c r="C14" s="254">
        <v>2010</v>
      </c>
      <c r="D14" s="254">
        <v>2011</v>
      </c>
      <c r="E14" s="254">
        <v>2012</v>
      </c>
      <c r="F14" s="254">
        <v>2013</v>
      </c>
      <c r="G14" s="254">
        <v>2014</v>
      </c>
      <c r="H14" s="254">
        <v>2015</v>
      </c>
      <c r="I14" s="254">
        <v>2016</v>
      </c>
      <c r="J14" s="254">
        <v>2017</v>
      </c>
      <c r="K14" s="254">
        <v>2018</v>
      </c>
      <c r="L14" s="254">
        <v>2019</v>
      </c>
      <c r="M14" s="195"/>
      <c r="N14" s="2"/>
    </row>
    <row r="15" spans="1:14">
      <c r="A15" s="10" t="s">
        <v>100</v>
      </c>
      <c r="B15" s="3">
        <v>0</v>
      </c>
      <c r="C15" s="3">
        <v>0</v>
      </c>
      <c r="D15" s="3">
        <v>0</v>
      </c>
      <c r="E15" s="3">
        <v>0</v>
      </c>
      <c r="F15" s="3">
        <v>0</v>
      </c>
      <c r="G15" s="3">
        <v>0</v>
      </c>
      <c r="H15" s="3">
        <v>0</v>
      </c>
      <c r="I15" s="3">
        <v>0</v>
      </c>
      <c r="J15" s="3">
        <v>0</v>
      </c>
      <c r="K15" s="3">
        <v>0</v>
      </c>
      <c r="L15" s="3"/>
      <c r="M15" s="196"/>
      <c r="N15" s="10"/>
    </row>
    <row r="16" spans="1:14">
      <c r="A16" s="96" t="s">
        <v>93</v>
      </c>
      <c r="B16" s="3">
        <v>0</v>
      </c>
      <c r="C16" s="3">
        <v>0</v>
      </c>
      <c r="D16" s="3">
        <v>0</v>
      </c>
      <c r="E16" s="3">
        <v>0</v>
      </c>
      <c r="F16" s="3">
        <v>0</v>
      </c>
      <c r="G16" s="3">
        <v>0</v>
      </c>
      <c r="H16" s="3">
        <v>0</v>
      </c>
      <c r="I16" s="3">
        <v>0</v>
      </c>
      <c r="J16" s="3">
        <v>0</v>
      </c>
      <c r="K16" s="3">
        <v>0</v>
      </c>
      <c r="L16" s="3">
        <v>0</v>
      </c>
      <c r="M16" s="195"/>
      <c r="N16" s="2"/>
    </row>
    <row r="17" spans="1:14">
      <c r="A17" s="94" t="s">
        <v>101</v>
      </c>
      <c r="B17" s="3">
        <v>60259947</v>
      </c>
      <c r="C17" s="3">
        <v>63459395</v>
      </c>
      <c r="D17" s="3">
        <v>79506698</v>
      </c>
      <c r="E17" s="3">
        <v>74895896</v>
      </c>
      <c r="F17" s="3">
        <v>88309308</v>
      </c>
      <c r="G17" s="3">
        <v>106301997</v>
      </c>
      <c r="H17" s="3">
        <v>129306407</v>
      </c>
      <c r="I17" s="3">
        <v>120190453</v>
      </c>
      <c r="J17" s="3">
        <v>131086188</v>
      </c>
      <c r="K17" s="3">
        <v>176485074</v>
      </c>
      <c r="L17" s="3">
        <v>176043403</v>
      </c>
    </row>
    <row r="18" spans="1:14">
      <c r="A18" s="73" t="s">
        <v>83</v>
      </c>
      <c r="B18" s="1">
        <v>0</v>
      </c>
      <c r="C18" s="1">
        <v>0</v>
      </c>
      <c r="D18" s="1">
        <v>0</v>
      </c>
      <c r="E18" s="1">
        <v>0</v>
      </c>
      <c r="F18" s="1">
        <v>0</v>
      </c>
      <c r="G18" s="1">
        <v>0</v>
      </c>
      <c r="H18" s="1">
        <v>0</v>
      </c>
      <c r="I18" s="1">
        <v>0</v>
      </c>
      <c r="J18" s="1">
        <v>0</v>
      </c>
      <c r="K18" s="1">
        <v>0</v>
      </c>
      <c r="L18" s="1">
        <v>0</v>
      </c>
      <c r="M18" s="173"/>
      <c r="N18" s="1"/>
    </row>
    <row r="19" spans="1:14" ht="16.5" thickBot="1">
      <c r="A19" s="153" t="s">
        <v>157</v>
      </c>
      <c r="B19" s="69"/>
      <c r="C19" s="69"/>
      <c r="D19" s="69"/>
      <c r="E19" s="69"/>
      <c r="F19" s="69"/>
      <c r="G19" s="69"/>
      <c r="H19" s="69"/>
      <c r="I19" s="69"/>
      <c r="J19" s="69"/>
      <c r="K19" s="69"/>
      <c r="L19" s="69"/>
      <c r="M19" s="173"/>
      <c r="N19" s="1"/>
    </row>
    <row r="20" spans="1:14">
      <c r="A20" s="95" t="s">
        <v>119</v>
      </c>
      <c r="B20" s="1">
        <f t="shared" ref="B20:L20" si="1">SUM(B15:B18)</f>
        <v>60259947</v>
      </c>
      <c r="C20" s="1">
        <f t="shared" si="1"/>
        <v>63459395</v>
      </c>
      <c r="D20" s="1">
        <f t="shared" si="1"/>
        <v>79506698</v>
      </c>
      <c r="E20" s="1">
        <f t="shared" si="1"/>
        <v>74895896</v>
      </c>
      <c r="F20" s="1">
        <f t="shared" si="1"/>
        <v>88309308</v>
      </c>
      <c r="G20" s="1">
        <f t="shared" si="1"/>
        <v>106301997</v>
      </c>
      <c r="H20" s="1">
        <f t="shared" si="1"/>
        <v>129306407</v>
      </c>
      <c r="I20" s="1">
        <f t="shared" si="1"/>
        <v>120190453</v>
      </c>
      <c r="J20" s="1">
        <f t="shared" si="1"/>
        <v>131086188</v>
      </c>
      <c r="K20" s="1">
        <f t="shared" si="1"/>
        <v>176485074</v>
      </c>
      <c r="L20" s="1">
        <f t="shared" si="1"/>
        <v>176043403</v>
      </c>
      <c r="M20" s="173"/>
      <c r="N20" s="1"/>
    </row>
    <row r="21" spans="1:14" ht="18.75">
      <c r="A21" s="223"/>
      <c r="B21" s="173"/>
      <c r="C21" s="173"/>
      <c r="D21" s="173"/>
      <c r="E21" s="173"/>
      <c r="F21" s="173"/>
      <c r="G21" s="173"/>
      <c r="H21" s="173"/>
      <c r="I21" s="173"/>
      <c r="J21" s="173"/>
      <c r="K21" s="173"/>
      <c r="L21" s="173"/>
      <c r="M21" s="173"/>
      <c r="N21" s="1"/>
    </row>
    <row r="22" spans="1:14">
      <c r="M22" s="173"/>
      <c r="N22" s="1"/>
    </row>
    <row r="23" spans="1:14">
      <c r="M23" s="173"/>
      <c r="N23" s="1"/>
    </row>
    <row r="24" spans="1:14">
      <c r="M24" s="173"/>
      <c r="N24" s="1"/>
    </row>
    <row r="25" spans="1:14">
      <c r="B25" s="254">
        <v>2009</v>
      </c>
      <c r="C25" s="254">
        <v>2010</v>
      </c>
      <c r="D25" s="254">
        <v>2011</v>
      </c>
      <c r="E25" s="254">
        <v>2012</v>
      </c>
      <c r="F25" s="254">
        <v>2013</v>
      </c>
      <c r="G25" s="254">
        <v>2014</v>
      </c>
      <c r="H25" s="254">
        <v>2015</v>
      </c>
      <c r="I25" s="254">
        <v>2016</v>
      </c>
      <c r="J25" s="254">
        <v>2017</v>
      </c>
      <c r="K25" s="254">
        <v>2018</v>
      </c>
      <c r="L25" s="254">
        <v>2019</v>
      </c>
      <c r="M25" s="173"/>
      <c r="N25" s="1"/>
    </row>
    <row r="26" spans="1:14">
      <c r="A26" s="2" t="s">
        <v>203</v>
      </c>
      <c r="B26" s="8">
        <f t="shared" ref="B26:L26" si="2">+B11/B27</f>
        <v>1285.887748962984</v>
      </c>
      <c r="C26" s="8">
        <f t="shared" si="2"/>
        <v>948.55609518467122</v>
      </c>
      <c r="D26" s="8">
        <f t="shared" si="2"/>
        <v>1111.9285932432629</v>
      </c>
      <c r="E26" s="8">
        <f t="shared" si="2"/>
        <v>1091.4880229589996</v>
      </c>
      <c r="F26" s="8">
        <f t="shared" si="2"/>
        <v>1235.4516271138268</v>
      </c>
      <c r="G26" s="8">
        <f t="shared" si="2"/>
        <v>1346.1012291100567</v>
      </c>
      <c r="H26" s="8">
        <f t="shared" si="2"/>
        <v>1545.971628983928</v>
      </c>
      <c r="I26" s="8">
        <f t="shared" si="2"/>
        <v>1512.7052093836123</v>
      </c>
      <c r="J26" s="8">
        <f t="shared" si="2"/>
        <v>1648.6536128691982</v>
      </c>
      <c r="K26" s="8">
        <f t="shared" si="2"/>
        <v>1817.4688333203903</v>
      </c>
      <c r="L26" s="8">
        <f t="shared" si="2"/>
        <v>1983.0943023550267</v>
      </c>
      <c r="M26" s="173"/>
      <c r="N26" s="1"/>
    </row>
    <row r="27" spans="1:14">
      <c r="A27" s="45" t="s">
        <v>21</v>
      </c>
      <c r="B27" s="12">
        <f>Stats!D4</f>
        <v>63162</v>
      </c>
      <c r="C27" s="12">
        <f>Stats!E4</f>
        <v>67742</v>
      </c>
      <c r="D27" s="12">
        <f>Stats!F4</f>
        <v>68761</v>
      </c>
      <c r="E27" s="12">
        <f>Stats!G4</f>
        <v>69341</v>
      </c>
      <c r="F27" s="12">
        <f>Stats!H4</f>
        <v>70370</v>
      </c>
      <c r="G27" s="12">
        <f>Stats!I4</f>
        <v>71027</v>
      </c>
      <c r="H27" s="12">
        <f>Stats!J4</f>
        <v>73420</v>
      </c>
      <c r="I27" s="12">
        <f>Stats!K4</f>
        <v>74385</v>
      </c>
      <c r="J27" s="12">
        <f>Stats!L4</f>
        <v>75840</v>
      </c>
      <c r="K27" s="12">
        <f>Stats!M4</f>
        <v>77262</v>
      </c>
      <c r="L27" s="12">
        <f>Stats!N4</f>
        <v>78980</v>
      </c>
      <c r="M27" s="173"/>
      <c r="N27" s="1"/>
    </row>
    <row r="28" spans="1:14">
      <c r="M28" s="173"/>
      <c r="N28" s="1"/>
    </row>
    <row r="29" spans="1:14">
      <c r="A29" s="253" t="s">
        <v>159</v>
      </c>
      <c r="B29" s="1">
        <f t="shared" ref="B29:L29" si="3">+B20/B30</f>
        <v>487934.79352226725</v>
      </c>
      <c r="C29" s="1">
        <f t="shared" si="3"/>
        <v>557884.7912087912</v>
      </c>
      <c r="D29" s="1">
        <f t="shared" si="3"/>
        <v>700499.5418502203</v>
      </c>
      <c r="E29" s="1">
        <f t="shared" si="3"/>
        <v>638335.42998380633</v>
      </c>
      <c r="F29" s="1">
        <f t="shared" si="3"/>
        <v>788616.78871227009</v>
      </c>
      <c r="G29" s="1">
        <f t="shared" si="3"/>
        <v>874337.85984536924</v>
      </c>
      <c r="H29" s="1">
        <f t="shared" si="3"/>
        <v>1000436.417794971</v>
      </c>
      <c r="I29" s="1">
        <f t="shared" si="3"/>
        <v>908812.49905482039</v>
      </c>
      <c r="J29" s="1">
        <f t="shared" si="3"/>
        <v>959284.21514818876</v>
      </c>
      <c r="K29" s="1">
        <f t="shared" si="3"/>
        <v>1228576.9161155587</v>
      </c>
      <c r="L29" s="1">
        <f t="shared" si="3"/>
        <v>1203509.8478892497</v>
      </c>
      <c r="M29" s="173"/>
      <c r="N29" s="1"/>
    </row>
    <row r="30" spans="1:14">
      <c r="A30" s="45" t="s">
        <v>64</v>
      </c>
      <c r="B30" s="34">
        <f>+B40</f>
        <v>123.49999999999999</v>
      </c>
      <c r="C30" s="34">
        <v>113.75</v>
      </c>
      <c r="D30" s="34">
        <v>113.5</v>
      </c>
      <c r="E30" s="34">
        <v>117.33000000000001</v>
      </c>
      <c r="F30" s="34">
        <v>111.97999999999999</v>
      </c>
      <c r="G30" s="34">
        <v>121.58000000000001</v>
      </c>
      <c r="H30" s="34">
        <v>129.25</v>
      </c>
      <c r="I30" s="34">
        <v>132.25</v>
      </c>
      <c r="J30" s="34">
        <v>136.65</v>
      </c>
      <c r="K30" s="34">
        <v>143.65</v>
      </c>
      <c r="L30" s="34">
        <v>146.27500000000001</v>
      </c>
      <c r="M30" s="173"/>
      <c r="N30" s="1"/>
    </row>
    <row r="31" spans="1:14">
      <c r="M31" s="173"/>
      <c r="N31" s="1"/>
    </row>
    <row r="32" spans="1:14">
      <c r="A32" s="190"/>
      <c r="B32" s="190"/>
      <c r="C32" s="190"/>
      <c r="D32" s="190"/>
      <c r="E32" s="190"/>
      <c r="F32" s="190"/>
      <c r="G32" s="190"/>
      <c r="H32" s="190"/>
      <c r="I32" s="190"/>
      <c r="J32" s="190"/>
      <c r="K32" s="190"/>
      <c r="L32" s="190"/>
      <c r="M32" s="173"/>
      <c r="N32" s="1"/>
    </row>
    <row r="33" spans="1:14">
      <c r="A33" s="190"/>
      <c r="B33" s="190"/>
      <c r="C33" s="190"/>
      <c r="D33" s="190"/>
      <c r="E33" s="190"/>
      <c r="F33" s="190"/>
      <c r="G33" s="190"/>
      <c r="H33" s="190"/>
      <c r="I33" s="190"/>
      <c r="J33" s="190"/>
      <c r="K33" s="190"/>
      <c r="L33" s="190"/>
      <c r="M33" s="173"/>
      <c r="N33" s="1"/>
    </row>
    <row r="34" spans="1:14">
      <c r="A34" s="366"/>
      <c r="B34" s="117"/>
      <c r="C34" s="117"/>
      <c r="D34" s="117"/>
      <c r="E34" s="117"/>
      <c r="F34" s="117"/>
      <c r="G34" s="117"/>
      <c r="H34" s="117"/>
      <c r="I34" s="117"/>
      <c r="J34" s="117"/>
      <c r="K34" s="117"/>
      <c r="L34" s="117"/>
      <c r="M34" s="173"/>
      <c r="N34" s="1"/>
    </row>
    <row r="35" spans="1:14">
      <c r="A35" s="9" t="s">
        <v>63</v>
      </c>
      <c r="B35" s="15"/>
      <c r="C35" s="15"/>
      <c r="D35" s="15"/>
      <c r="E35" s="15"/>
      <c r="F35" s="15"/>
      <c r="G35" s="15"/>
      <c r="H35" s="15"/>
      <c r="I35" s="15"/>
      <c r="J35" s="15"/>
      <c r="K35" s="15"/>
      <c r="L35" s="15"/>
      <c r="M35" s="173"/>
      <c r="N35" s="1"/>
    </row>
    <row r="36" spans="1:14">
      <c r="A36" s="40" t="s">
        <v>253</v>
      </c>
      <c r="B36" s="22">
        <v>45.9</v>
      </c>
      <c r="C36" s="22">
        <v>41.22</v>
      </c>
      <c r="D36" s="22">
        <v>40.21</v>
      </c>
      <c r="E36" s="22">
        <v>41.57</v>
      </c>
      <c r="F36" s="22">
        <v>40.21</v>
      </c>
      <c r="G36" s="22">
        <v>44.59</v>
      </c>
      <c r="H36" s="22">
        <v>45.64</v>
      </c>
      <c r="I36" s="22">
        <v>47.43</v>
      </c>
      <c r="J36" s="22">
        <v>49.97</v>
      </c>
      <c r="K36" s="22">
        <v>51.3</v>
      </c>
      <c r="L36" s="22">
        <v>52.344999999999999</v>
      </c>
      <c r="M36" s="173"/>
      <c r="N36" s="1"/>
    </row>
    <row r="37" spans="1:14">
      <c r="A37" s="40" t="s">
        <v>88</v>
      </c>
      <c r="B37" s="22">
        <v>47.8</v>
      </c>
      <c r="C37" s="22">
        <v>42.05</v>
      </c>
      <c r="D37" s="22">
        <v>42.72</v>
      </c>
      <c r="E37" s="22">
        <v>45.17</v>
      </c>
      <c r="F37" s="22">
        <v>42.95</v>
      </c>
      <c r="G37" s="22">
        <v>44.09</v>
      </c>
      <c r="H37" s="22">
        <v>47.75</v>
      </c>
      <c r="I37" s="22">
        <v>49.46</v>
      </c>
      <c r="J37" s="22">
        <v>51.2</v>
      </c>
      <c r="K37" s="22">
        <v>54.47</v>
      </c>
      <c r="L37" s="22">
        <v>54.97</v>
      </c>
      <c r="M37" s="173"/>
      <c r="N37" s="1"/>
    </row>
    <row r="38" spans="1:14">
      <c r="A38" s="40" t="s">
        <v>89</v>
      </c>
      <c r="B38" s="22">
        <v>29.8</v>
      </c>
      <c r="C38" s="22">
        <f>2.1+13.9+14.48</f>
        <v>30.48</v>
      </c>
      <c r="D38" s="22">
        <v>30.57</v>
      </c>
      <c r="E38" s="22">
        <v>30.59</v>
      </c>
      <c r="F38" s="22">
        <v>28.82</v>
      </c>
      <c r="G38" s="22">
        <v>32.9</v>
      </c>
      <c r="H38" s="22">
        <v>35.86</v>
      </c>
      <c r="I38" s="22">
        <v>35.36</v>
      </c>
      <c r="J38" s="22">
        <v>35.479999999999997</v>
      </c>
      <c r="K38" s="22">
        <v>37.880000000000003</v>
      </c>
      <c r="L38" s="22">
        <v>38.96</v>
      </c>
      <c r="M38" s="173"/>
      <c r="N38" s="1"/>
    </row>
    <row r="39" spans="1:14" ht="16.5" thickBot="1">
      <c r="A39" s="40" t="s">
        <v>254</v>
      </c>
      <c r="B39" s="35">
        <v>0</v>
      </c>
      <c r="C39" s="35">
        <v>0</v>
      </c>
      <c r="D39" s="35">
        <v>0</v>
      </c>
      <c r="E39" s="35">
        <v>0</v>
      </c>
      <c r="F39" s="35">
        <v>0</v>
      </c>
      <c r="G39" s="35">
        <v>0</v>
      </c>
      <c r="H39" s="35">
        <v>0</v>
      </c>
      <c r="I39" s="35">
        <v>0</v>
      </c>
      <c r="J39" s="35">
        <v>0</v>
      </c>
      <c r="K39" s="35">
        <v>0</v>
      </c>
      <c r="L39" s="35">
        <v>0</v>
      </c>
      <c r="M39" s="173"/>
      <c r="N39" s="1"/>
    </row>
    <row r="40" spans="1:14">
      <c r="A40" s="46" t="s">
        <v>64</v>
      </c>
      <c r="B40" s="34">
        <f t="shared" ref="B40:L40" si="4">SUM(B36:B39)</f>
        <v>123.49999999999999</v>
      </c>
      <c r="C40" s="34">
        <f t="shared" si="4"/>
        <v>113.75</v>
      </c>
      <c r="D40" s="34">
        <f t="shared" si="4"/>
        <v>113.5</v>
      </c>
      <c r="E40" s="34">
        <f t="shared" si="4"/>
        <v>117.33000000000001</v>
      </c>
      <c r="F40" s="34">
        <f t="shared" si="4"/>
        <v>111.97999999999999</v>
      </c>
      <c r="G40" s="34">
        <f t="shared" si="4"/>
        <v>121.58000000000001</v>
      </c>
      <c r="H40" s="34">
        <f t="shared" si="4"/>
        <v>129.25</v>
      </c>
      <c r="I40" s="34">
        <f t="shared" si="4"/>
        <v>132.25</v>
      </c>
      <c r="J40" s="34">
        <f t="shared" si="4"/>
        <v>136.65</v>
      </c>
      <c r="K40" s="34">
        <f t="shared" si="4"/>
        <v>143.65</v>
      </c>
      <c r="L40" s="34">
        <f t="shared" si="4"/>
        <v>146.27500000000001</v>
      </c>
      <c r="M40" s="173"/>
      <c r="N40" s="1"/>
    </row>
    <row r="41" spans="1:14">
      <c r="A41" s="359"/>
      <c r="B41" s="117"/>
      <c r="C41" s="117"/>
      <c r="D41" s="117"/>
      <c r="E41" s="117"/>
      <c r="F41" s="117"/>
      <c r="G41" s="117"/>
      <c r="H41" s="117"/>
      <c r="I41" s="117"/>
      <c r="J41" s="117"/>
      <c r="K41" s="117"/>
      <c r="L41" s="117"/>
      <c r="M41" s="173"/>
      <c r="N41" s="1"/>
    </row>
    <row r="42" spans="1:14">
      <c r="A42" s="409"/>
      <c r="B42" s="117"/>
      <c r="C42" s="117"/>
      <c r="D42" s="117"/>
      <c r="E42" s="117"/>
      <c r="F42" s="117"/>
      <c r="G42" s="117"/>
      <c r="H42" s="117"/>
      <c r="I42" s="117"/>
      <c r="J42" s="117"/>
      <c r="K42" s="117"/>
      <c r="L42" s="117"/>
      <c r="M42" s="173"/>
      <c r="N42" s="1"/>
    </row>
    <row r="43" spans="1:14">
      <c r="A43" s="409"/>
      <c r="B43" s="117"/>
      <c r="C43" s="117"/>
      <c r="D43" s="117"/>
      <c r="E43" s="117"/>
      <c r="F43" s="117"/>
      <c r="G43" s="117"/>
      <c r="H43" s="117"/>
      <c r="I43" s="117"/>
      <c r="J43" s="117"/>
      <c r="K43" s="117"/>
      <c r="L43" s="117"/>
      <c r="M43" s="173"/>
      <c r="N43" s="1"/>
    </row>
    <row r="44" spans="1:14">
      <c r="A44" s="409"/>
      <c r="B44" s="117"/>
      <c r="C44" s="117"/>
      <c r="D44" s="117"/>
      <c r="E44" s="117"/>
      <c r="F44" s="117"/>
      <c r="G44" s="117"/>
      <c r="H44" s="117"/>
      <c r="I44" s="117"/>
      <c r="J44" s="117"/>
      <c r="K44" s="117"/>
      <c r="L44" s="117"/>
      <c r="M44" s="173"/>
      <c r="N44" s="1"/>
    </row>
    <row r="45" spans="1:14">
      <c r="A45" s="359"/>
      <c r="B45" s="117"/>
      <c r="C45" s="117"/>
      <c r="D45" s="117"/>
      <c r="E45" s="117"/>
      <c r="F45" s="117"/>
      <c r="G45" s="117"/>
      <c r="H45" s="117"/>
      <c r="I45" s="117"/>
      <c r="J45" s="117"/>
      <c r="K45" s="117"/>
      <c r="L45" s="117"/>
      <c r="M45" s="173"/>
      <c r="N45" s="1"/>
    </row>
    <row r="46" spans="1:14">
      <c r="A46" s="163"/>
      <c r="B46" s="117"/>
      <c r="C46" s="117"/>
      <c r="D46" s="117"/>
      <c r="E46" s="117"/>
      <c r="F46" s="117"/>
      <c r="G46" s="117"/>
      <c r="H46" s="117"/>
      <c r="I46" s="117"/>
      <c r="J46" s="117"/>
      <c r="K46" s="117"/>
      <c r="L46" s="117"/>
      <c r="M46" s="173"/>
      <c r="N46" s="1"/>
    </row>
    <row r="47" spans="1:14">
      <c r="A47" s="357"/>
      <c r="B47" s="117"/>
      <c r="C47" s="117"/>
      <c r="D47" s="117"/>
      <c r="E47" s="117"/>
      <c r="F47" s="117"/>
      <c r="G47" s="117"/>
      <c r="H47" s="117"/>
      <c r="I47" s="117"/>
      <c r="J47" s="117"/>
      <c r="K47" s="117"/>
      <c r="L47" s="117"/>
      <c r="M47" s="173"/>
      <c r="N47" s="1"/>
    </row>
    <row r="48" spans="1:14">
      <c r="A48" s="363"/>
      <c r="B48" s="117"/>
      <c r="C48" s="339"/>
      <c r="D48" s="339"/>
      <c r="E48" s="339"/>
      <c r="F48" s="339"/>
      <c r="G48" s="339"/>
      <c r="H48" s="339"/>
      <c r="I48" s="339"/>
      <c r="J48" s="339"/>
      <c r="K48" s="339"/>
      <c r="L48" s="339"/>
      <c r="M48" s="173"/>
      <c r="N48" s="1"/>
    </row>
    <row r="49" spans="1:14">
      <c r="A49" s="368"/>
      <c r="B49" s="117"/>
      <c r="C49" s="117"/>
      <c r="D49" s="117"/>
      <c r="E49" s="117"/>
      <c r="F49" s="117"/>
      <c r="G49" s="117"/>
      <c r="H49" s="117"/>
      <c r="I49" s="117"/>
      <c r="J49" s="117"/>
      <c r="K49" s="117"/>
      <c r="L49" s="339"/>
      <c r="M49" s="173"/>
      <c r="N49" s="1"/>
    </row>
    <row r="50" spans="1:14">
      <c r="A50" s="368"/>
      <c r="B50" s="117"/>
      <c r="C50" s="117"/>
      <c r="D50" s="117"/>
      <c r="E50" s="117"/>
      <c r="F50" s="117"/>
      <c r="G50" s="167"/>
      <c r="H50" s="117"/>
      <c r="I50" s="117"/>
      <c r="J50" s="117"/>
      <c r="K50" s="117"/>
      <c r="L50" s="117"/>
      <c r="M50" s="173"/>
      <c r="N50" s="1"/>
    </row>
    <row r="51" spans="1:14">
      <c r="A51" s="410"/>
      <c r="B51" s="117"/>
      <c r="C51" s="117"/>
      <c r="D51" s="117"/>
      <c r="E51" s="117"/>
      <c r="F51" s="117"/>
      <c r="G51" s="117"/>
      <c r="H51" s="117"/>
      <c r="I51" s="117"/>
      <c r="J51" s="117"/>
      <c r="K51" s="117"/>
      <c r="L51" s="117"/>
      <c r="M51" s="173"/>
      <c r="N51" s="1"/>
    </row>
    <row r="52" spans="1:14">
      <c r="A52" s="368"/>
      <c r="B52" s="117"/>
      <c r="C52" s="117"/>
      <c r="D52" s="117"/>
      <c r="E52" s="117"/>
      <c r="F52" s="117"/>
      <c r="G52" s="117"/>
      <c r="H52" s="117"/>
      <c r="I52" s="117"/>
      <c r="J52" s="117"/>
      <c r="K52" s="117"/>
      <c r="L52" s="117"/>
      <c r="M52" s="173"/>
      <c r="N52" s="1"/>
    </row>
    <row r="53" spans="1:14">
      <c r="A53" s="356"/>
      <c r="B53" s="145"/>
      <c r="C53" s="145"/>
      <c r="D53" s="145"/>
      <c r="E53" s="145"/>
      <c r="F53" s="145"/>
      <c r="G53" s="145"/>
      <c r="H53" s="145"/>
      <c r="I53" s="145"/>
      <c r="J53" s="145"/>
      <c r="K53" s="145"/>
      <c r="L53" s="145"/>
      <c r="M53" s="173"/>
      <c r="N53" s="1"/>
    </row>
    <row r="54" spans="1:14">
      <c r="A54" s="356"/>
      <c r="B54" s="165"/>
      <c r="C54" s="165"/>
      <c r="D54" s="165"/>
      <c r="E54" s="165"/>
      <c r="F54" s="165"/>
      <c r="G54" s="165"/>
      <c r="H54" s="165"/>
      <c r="I54" s="165"/>
      <c r="J54" s="165"/>
      <c r="K54" s="165"/>
      <c r="L54" s="165"/>
      <c r="M54" s="173"/>
      <c r="N54" s="1"/>
    </row>
    <row r="55" spans="1:14">
      <c r="A55" s="371"/>
      <c r="B55" s="411"/>
      <c r="C55" s="411"/>
      <c r="D55" s="411"/>
      <c r="E55" s="411"/>
      <c r="F55" s="411"/>
      <c r="G55" s="411"/>
      <c r="H55" s="411"/>
      <c r="I55" s="411"/>
      <c r="J55" s="411"/>
      <c r="K55" s="411"/>
      <c r="L55" s="411"/>
      <c r="M55" s="173"/>
      <c r="N55" s="1"/>
    </row>
    <row r="56" spans="1:14">
      <c r="A56" s="368"/>
      <c r="B56" s="373"/>
      <c r="C56" s="373"/>
      <c r="D56" s="373"/>
      <c r="E56" s="373"/>
      <c r="F56" s="373"/>
      <c r="G56" s="373"/>
      <c r="H56" s="373"/>
      <c r="I56" s="373"/>
      <c r="J56" s="373"/>
      <c r="K56" s="373"/>
      <c r="L56" s="373"/>
      <c r="M56" s="173"/>
      <c r="N56" s="1"/>
    </row>
    <row r="57" spans="1:14">
      <c r="A57" s="356"/>
      <c r="B57" s="117"/>
      <c r="C57" s="117"/>
      <c r="D57" s="117"/>
      <c r="E57" s="117"/>
      <c r="F57" s="117"/>
      <c r="G57" s="117"/>
      <c r="H57" s="117"/>
      <c r="I57" s="117"/>
      <c r="J57" s="117"/>
      <c r="K57" s="117"/>
      <c r="L57" s="117"/>
      <c r="M57" s="173"/>
      <c r="N57" s="1"/>
    </row>
    <row r="58" spans="1:14">
      <c r="A58" s="356"/>
      <c r="B58" s="117"/>
      <c r="C58" s="117"/>
      <c r="D58" s="117"/>
      <c r="E58" s="117"/>
      <c r="F58" s="117"/>
      <c r="G58" s="117"/>
      <c r="H58" s="117"/>
      <c r="I58" s="117"/>
      <c r="J58" s="117"/>
      <c r="K58" s="117"/>
      <c r="L58" s="117"/>
      <c r="M58" s="173"/>
      <c r="N58" s="1"/>
    </row>
    <row r="59" spans="1:14">
      <c r="A59" s="163"/>
      <c r="B59" s="117"/>
      <c r="C59" s="117"/>
      <c r="D59" s="117"/>
      <c r="E59" s="117"/>
      <c r="F59" s="117"/>
      <c r="G59" s="117"/>
      <c r="H59" s="117"/>
      <c r="I59" s="117"/>
      <c r="J59" s="117"/>
      <c r="K59" s="117"/>
      <c r="L59" s="117"/>
      <c r="M59" s="173"/>
      <c r="N59" s="1"/>
    </row>
    <row r="60" spans="1:14">
      <c r="A60" s="163"/>
      <c r="B60" s="163"/>
      <c r="C60" s="163"/>
      <c r="D60" s="163"/>
      <c r="E60" s="163"/>
      <c r="F60" s="163"/>
      <c r="G60" s="163"/>
      <c r="H60" s="163"/>
      <c r="I60" s="163"/>
      <c r="J60" s="163"/>
      <c r="K60" s="163"/>
      <c r="L60" s="163"/>
      <c r="M60" s="173"/>
      <c r="N60" s="1"/>
    </row>
    <row r="61" spans="1:14">
      <c r="A61" s="357"/>
      <c r="B61" s="163"/>
      <c r="C61" s="163"/>
      <c r="D61" s="163"/>
      <c r="E61" s="163"/>
      <c r="F61" s="163"/>
      <c r="G61" s="163"/>
      <c r="H61" s="163"/>
      <c r="I61" s="163"/>
      <c r="J61" s="163"/>
      <c r="K61" s="163"/>
      <c r="L61" s="163"/>
      <c r="M61" s="173"/>
      <c r="N61" s="1"/>
    </row>
    <row r="62" spans="1:14">
      <c r="A62" s="357"/>
      <c r="B62" s="117"/>
      <c r="C62" s="117"/>
      <c r="D62" s="117"/>
      <c r="E62" s="117"/>
      <c r="F62" s="117"/>
      <c r="G62" s="117"/>
      <c r="H62" s="117"/>
      <c r="I62" s="117"/>
      <c r="J62" s="117"/>
      <c r="K62" s="117"/>
      <c r="L62" s="117"/>
      <c r="M62" s="173"/>
      <c r="N62" s="1"/>
    </row>
    <row r="63" spans="1:14">
      <c r="A63" s="357"/>
      <c r="B63" s="358"/>
      <c r="C63" s="358"/>
      <c r="D63" s="358"/>
      <c r="E63" s="358"/>
      <c r="F63" s="358"/>
      <c r="G63" s="358"/>
      <c r="H63" s="358"/>
      <c r="I63" s="358"/>
      <c r="J63" s="358"/>
      <c r="K63" s="358"/>
      <c r="L63" s="358"/>
    </row>
    <row r="64" spans="1:14">
      <c r="A64" s="359"/>
      <c r="B64" s="360"/>
      <c r="C64" s="360"/>
      <c r="D64" s="360"/>
      <c r="E64" s="360"/>
      <c r="F64" s="360"/>
      <c r="G64" s="360"/>
      <c r="H64" s="360"/>
      <c r="I64" s="360"/>
      <c r="J64" s="360"/>
      <c r="K64" s="360"/>
      <c r="L64" s="360"/>
      <c r="M64" s="173"/>
      <c r="N64" s="1"/>
    </row>
    <row r="65" spans="1:14">
      <c r="A65" s="359"/>
      <c r="B65" s="360"/>
      <c r="C65" s="360"/>
      <c r="D65" s="360"/>
      <c r="E65" s="360"/>
      <c r="F65" s="360"/>
      <c r="G65" s="360"/>
      <c r="H65" s="360"/>
      <c r="I65" s="360"/>
      <c r="J65" s="360"/>
      <c r="K65" s="360"/>
      <c r="L65" s="360"/>
      <c r="M65" s="173"/>
      <c r="N65" s="1"/>
    </row>
    <row r="66" spans="1:14">
      <c r="A66" s="359"/>
      <c r="B66" s="360"/>
      <c r="C66" s="360"/>
      <c r="D66" s="360"/>
      <c r="E66" s="360"/>
      <c r="F66" s="360"/>
      <c r="G66" s="360"/>
      <c r="H66" s="360"/>
      <c r="I66" s="360"/>
      <c r="J66" s="360"/>
      <c r="K66" s="360"/>
      <c r="L66" s="360"/>
      <c r="M66" s="173"/>
      <c r="N66" s="1"/>
    </row>
    <row r="67" spans="1:14">
      <c r="A67" s="359"/>
      <c r="B67" s="360"/>
      <c r="C67" s="360"/>
      <c r="D67" s="360"/>
      <c r="E67" s="360"/>
      <c r="F67" s="360"/>
      <c r="G67" s="360"/>
      <c r="H67" s="360"/>
      <c r="I67" s="360"/>
      <c r="J67" s="360"/>
      <c r="K67" s="360"/>
      <c r="L67" s="360"/>
      <c r="M67" s="173"/>
      <c r="N67" s="1"/>
    </row>
    <row r="68" spans="1:14">
      <c r="A68" s="163"/>
      <c r="B68" s="163"/>
      <c r="C68" s="163"/>
      <c r="D68" s="163"/>
      <c r="E68" s="163"/>
      <c r="F68" s="163"/>
      <c r="G68" s="163"/>
      <c r="H68" s="163"/>
      <c r="I68" s="163"/>
      <c r="J68" s="163"/>
      <c r="K68" s="163"/>
      <c r="L68" s="163"/>
      <c r="M68" s="173"/>
      <c r="N68" s="1"/>
    </row>
    <row r="69" spans="1:14">
      <c r="A69" s="363"/>
      <c r="B69" s="358"/>
      <c r="C69" s="237"/>
      <c r="D69" s="237"/>
      <c r="E69" s="237"/>
      <c r="F69" s="237"/>
      <c r="G69" s="237"/>
      <c r="H69" s="237"/>
      <c r="I69" s="237"/>
      <c r="J69" s="237"/>
      <c r="K69" s="237"/>
      <c r="L69" s="237"/>
      <c r="M69" s="173"/>
      <c r="N69" s="1"/>
    </row>
    <row r="70" spans="1:14" s="17" customFormat="1">
      <c r="A70" s="242"/>
      <c r="B70" s="358"/>
      <c r="C70" s="237"/>
      <c r="D70" s="237"/>
      <c r="E70" s="237"/>
      <c r="F70" s="237"/>
      <c r="G70" s="237"/>
      <c r="H70" s="237"/>
      <c r="I70" s="237"/>
      <c r="J70" s="237"/>
      <c r="K70" s="237"/>
      <c r="L70" s="237"/>
      <c r="M70" s="197"/>
      <c r="N70" s="33"/>
    </row>
    <row r="71" spans="1:14">
      <c r="A71" s="163"/>
      <c r="B71" s="117"/>
      <c r="C71" s="117"/>
      <c r="D71" s="117"/>
      <c r="E71" s="117"/>
      <c r="F71" s="117"/>
      <c r="G71" s="117"/>
      <c r="H71" s="117"/>
      <c r="I71" s="117"/>
      <c r="J71" s="117"/>
      <c r="K71" s="117"/>
      <c r="L71" s="117"/>
      <c r="M71" s="173"/>
      <c r="N71" s="1"/>
    </row>
    <row r="72" spans="1:14" ht="18.75">
      <c r="A72" s="364"/>
      <c r="B72" s="373"/>
      <c r="C72" s="373"/>
      <c r="D72" s="373"/>
      <c r="E72" s="373"/>
      <c r="F72" s="373"/>
      <c r="G72" s="373"/>
      <c r="H72" s="373"/>
      <c r="I72" s="373"/>
      <c r="J72" s="373"/>
      <c r="K72" s="373"/>
      <c r="L72" s="373"/>
      <c r="M72" s="173"/>
      <c r="N72" s="1"/>
    </row>
    <row r="73" spans="1:14">
      <c r="A73" s="165"/>
      <c r="B73" s="365"/>
      <c r="C73" s="365"/>
      <c r="D73" s="365"/>
      <c r="E73" s="365"/>
      <c r="F73" s="365"/>
      <c r="G73" s="365"/>
      <c r="H73" s="365"/>
      <c r="I73" s="365"/>
      <c r="J73" s="365"/>
      <c r="K73" s="365"/>
      <c r="L73" s="365"/>
      <c r="M73" s="173"/>
      <c r="N73" s="1"/>
    </row>
    <row r="74" spans="1:14">
      <c r="A74" s="163"/>
      <c r="B74" s="117"/>
      <c r="C74" s="117"/>
      <c r="D74" s="117"/>
      <c r="E74" s="117"/>
      <c r="F74" s="117"/>
      <c r="G74" s="117"/>
      <c r="H74" s="117"/>
      <c r="I74" s="117"/>
      <c r="J74" s="117"/>
      <c r="K74" s="117"/>
      <c r="L74" s="117"/>
      <c r="M74" s="173"/>
      <c r="N74" s="1"/>
    </row>
    <row r="75" spans="1:14">
      <c r="A75" s="163"/>
      <c r="B75" s="117"/>
      <c r="C75" s="117"/>
      <c r="D75" s="117"/>
      <c r="E75" s="117"/>
      <c r="F75" s="117"/>
      <c r="G75" s="117"/>
      <c r="H75" s="117"/>
      <c r="I75" s="117"/>
      <c r="J75" s="117"/>
      <c r="K75" s="117"/>
      <c r="L75" s="117"/>
      <c r="M75" s="173"/>
      <c r="N75" s="1"/>
    </row>
    <row r="76" spans="1:14">
      <c r="A76" s="359"/>
      <c r="B76" s="117"/>
      <c r="C76" s="117"/>
      <c r="D76" s="117"/>
      <c r="E76" s="117"/>
      <c r="F76" s="117"/>
      <c r="G76" s="117"/>
      <c r="H76" s="117"/>
      <c r="I76" s="117"/>
      <c r="J76" s="117"/>
      <c r="K76" s="117"/>
      <c r="L76" s="117"/>
      <c r="M76" s="173"/>
      <c r="N76" s="1"/>
    </row>
    <row r="77" spans="1:14">
      <c r="A77" s="359"/>
      <c r="B77" s="117"/>
      <c r="C77" s="117"/>
      <c r="D77" s="117"/>
      <c r="E77" s="117"/>
      <c r="F77" s="117"/>
      <c r="G77" s="117"/>
      <c r="H77" s="117"/>
      <c r="I77" s="117"/>
      <c r="J77" s="117"/>
      <c r="K77" s="117"/>
      <c r="L77" s="117"/>
      <c r="M77" s="173"/>
      <c r="N77" s="1"/>
    </row>
    <row r="78" spans="1:14">
      <c r="A78" s="383"/>
      <c r="B78" s="117"/>
      <c r="C78" s="117"/>
      <c r="D78" s="117"/>
      <c r="E78" s="117"/>
      <c r="F78" s="117"/>
      <c r="G78" s="117"/>
      <c r="H78" s="117"/>
      <c r="I78" s="117"/>
      <c r="J78" s="117"/>
      <c r="K78" s="117"/>
      <c r="L78" s="117"/>
      <c r="M78" s="173"/>
      <c r="N78" s="1"/>
    </row>
    <row r="79" spans="1:14">
      <c r="A79" s="359"/>
      <c r="B79" s="117"/>
      <c r="C79" s="117"/>
      <c r="D79" s="117"/>
      <c r="E79" s="117"/>
      <c r="F79" s="117"/>
      <c r="G79" s="117"/>
      <c r="H79" s="117"/>
      <c r="I79" s="117"/>
      <c r="J79" s="117"/>
      <c r="K79" s="117"/>
      <c r="L79" s="117"/>
      <c r="M79" s="173"/>
      <c r="N79" s="1"/>
    </row>
    <row r="80" spans="1:14">
      <c r="A80" s="359"/>
      <c r="B80" s="117"/>
      <c r="C80" s="117"/>
      <c r="D80" s="117"/>
      <c r="E80" s="117"/>
      <c r="F80" s="117"/>
      <c r="G80" s="117"/>
      <c r="H80" s="117"/>
      <c r="I80" s="117"/>
      <c r="J80" s="117"/>
      <c r="K80" s="117"/>
      <c r="L80" s="117"/>
      <c r="M80" s="173"/>
      <c r="N80" s="1"/>
    </row>
    <row r="81" spans="1:14">
      <c r="A81" s="357"/>
      <c r="B81" s="117"/>
      <c r="C81" s="117"/>
      <c r="D81" s="117"/>
      <c r="E81" s="117"/>
      <c r="F81" s="117"/>
      <c r="G81" s="117"/>
      <c r="H81" s="117"/>
      <c r="I81" s="117"/>
      <c r="J81" s="117"/>
      <c r="K81" s="117"/>
      <c r="L81" s="117"/>
      <c r="M81" s="173"/>
      <c r="N81" s="1"/>
    </row>
    <row r="82" spans="1:14">
      <c r="A82" s="163"/>
      <c r="B82" s="117"/>
      <c r="C82" s="117"/>
      <c r="D82" s="117"/>
      <c r="E82" s="117"/>
      <c r="F82" s="117"/>
      <c r="G82" s="117"/>
      <c r="H82" s="117"/>
      <c r="I82" s="117"/>
      <c r="J82" s="117"/>
      <c r="K82" s="117"/>
      <c r="L82" s="117"/>
      <c r="M82" s="173"/>
      <c r="N82" s="1"/>
    </row>
    <row r="83" spans="1:14">
      <c r="A83" s="163"/>
      <c r="B83" s="373"/>
      <c r="C83" s="373"/>
      <c r="D83" s="373"/>
      <c r="E83" s="373"/>
      <c r="F83" s="373"/>
      <c r="G83" s="373"/>
      <c r="H83" s="373"/>
      <c r="I83" s="373"/>
      <c r="J83" s="373"/>
      <c r="K83" s="373"/>
      <c r="L83" s="373"/>
      <c r="M83" s="173"/>
      <c r="N83" s="1"/>
    </row>
    <row r="84" spans="1:14">
      <c r="A84" s="163"/>
      <c r="B84" s="159"/>
      <c r="C84" s="159"/>
      <c r="D84" s="159"/>
      <c r="E84" s="159"/>
      <c r="F84" s="159"/>
      <c r="G84" s="159"/>
      <c r="H84" s="159"/>
      <c r="I84" s="159"/>
      <c r="J84" s="159"/>
      <c r="K84" s="159"/>
      <c r="L84" s="159"/>
      <c r="M84" s="173"/>
      <c r="N84" s="1"/>
    </row>
    <row r="85" spans="1:14">
      <c r="A85" s="163"/>
      <c r="B85" s="159"/>
      <c r="C85" s="159"/>
      <c r="D85" s="159"/>
      <c r="E85" s="159"/>
      <c r="F85" s="159"/>
      <c r="G85" s="159"/>
      <c r="H85" s="159"/>
      <c r="I85" s="159"/>
      <c r="J85" s="159"/>
      <c r="K85" s="159"/>
      <c r="L85" s="159"/>
      <c r="M85" s="173"/>
      <c r="N85" s="1"/>
    </row>
    <row r="86" spans="1:14">
      <c r="A86" s="163"/>
      <c r="B86" s="117"/>
      <c r="C86" s="117"/>
      <c r="D86" s="117"/>
      <c r="E86" s="117"/>
      <c r="F86" s="117"/>
      <c r="G86" s="117"/>
      <c r="H86" s="117"/>
      <c r="I86" s="117"/>
      <c r="J86" s="117"/>
      <c r="K86" s="117"/>
      <c r="L86" s="117"/>
      <c r="M86" s="173"/>
      <c r="N86" s="1"/>
    </row>
    <row r="87" spans="1:14">
      <c r="A87" s="163"/>
      <c r="B87" s="117"/>
      <c r="C87" s="117"/>
      <c r="D87" s="117"/>
      <c r="E87" s="117"/>
      <c r="F87" s="117"/>
      <c r="G87" s="117"/>
      <c r="H87" s="117"/>
      <c r="I87" s="117"/>
      <c r="J87" s="117"/>
      <c r="K87" s="117"/>
      <c r="L87" s="117"/>
      <c r="M87" s="27"/>
      <c r="N87" s="1"/>
    </row>
    <row r="88" spans="1:14">
      <c r="A88" s="163"/>
      <c r="B88" s="117"/>
      <c r="C88" s="117"/>
      <c r="D88" s="117"/>
      <c r="E88" s="117"/>
      <c r="F88" s="117"/>
      <c r="G88" s="117"/>
      <c r="H88" s="117"/>
      <c r="I88" s="117"/>
      <c r="J88" s="117"/>
      <c r="K88" s="117"/>
      <c r="L88" s="117"/>
      <c r="M88" s="27"/>
      <c r="N88" s="1"/>
    </row>
    <row r="89" spans="1:14">
      <c r="A89" s="163"/>
      <c r="B89" s="117"/>
      <c r="C89" s="117"/>
      <c r="D89" s="117"/>
      <c r="E89" s="117"/>
      <c r="F89" s="117"/>
      <c r="G89" s="117"/>
      <c r="H89" s="117"/>
      <c r="I89" s="117"/>
      <c r="J89" s="117"/>
      <c r="K89" s="117"/>
      <c r="L89" s="117"/>
      <c r="M89" s="27"/>
      <c r="N89" s="1"/>
    </row>
    <row r="90" spans="1:14">
      <c r="A90" s="163"/>
      <c r="B90" s="117"/>
      <c r="C90" s="117"/>
      <c r="D90" s="117"/>
      <c r="E90" s="117"/>
      <c r="F90" s="117"/>
      <c r="G90" s="117"/>
      <c r="H90" s="117"/>
      <c r="I90" s="117"/>
      <c r="J90" s="117"/>
      <c r="K90" s="117"/>
      <c r="L90" s="117"/>
      <c r="M90" s="27"/>
      <c r="N90" s="1"/>
    </row>
    <row r="91" spans="1:14">
      <c r="A91" s="163"/>
      <c r="B91" s="117"/>
      <c r="C91" s="117"/>
      <c r="D91" s="117"/>
      <c r="E91" s="117"/>
      <c r="F91" s="117"/>
      <c r="G91" s="117"/>
      <c r="H91" s="117"/>
      <c r="I91" s="117"/>
      <c r="J91" s="117"/>
      <c r="K91" s="117"/>
      <c r="L91" s="117"/>
      <c r="M91" s="27"/>
      <c r="N91" s="1"/>
    </row>
    <row r="92" spans="1:14">
      <c r="A92" s="163"/>
      <c r="B92" s="117"/>
      <c r="C92" s="117"/>
      <c r="D92" s="117"/>
      <c r="E92" s="117"/>
      <c r="F92" s="117"/>
      <c r="G92" s="117"/>
      <c r="H92" s="117"/>
      <c r="I92" s="117"/>
      <c r="J92" s="117"/>
      <c r="K92" s="117"/>
      <c r="L92" s="117"/>
      <c r="M92" s="27"/>
      <c r="N92" s="1"/>
    </row>
    <row r="93" spans="1:14">
      <c r="A93" s="163"/>
      <c r="B93" s="117"/>
      <c r="C93" s="117"/>
      <c r="D93" s="117"/>
      <c r="E93" s="117"/>
      <c r="F93" s="117"/>
      <c r="G93" s="117"/>
      <c r="H93" s="117"/>
      <c r="I93" s="117"/>
      <c r="J93" s="117"/>
      <c r="K93" s="117"/>
      <c r="L93" s="117"/>
      <c r="M93" s="27"/>
      <c r="N93" s="1"/>
    </row>
    <row r="94" spans="1:14">
      <c r="A94" s="163"/>
      <c r="B94" s="117"/>
      <c r="C94" s="117"/>
      <c r="D94" s="117"/>
      <c r="E94" s="117"/>
      <c r="F94" s="117"/>
      <c r="G94" s="117"/>
      <c r="H94" s="117"/>
      <c r="I94" s="117"/>
      <c r="J94" s="117"/>
      <c r="K94" s="117"/>
      <c r="L94" s="117"/>
      <c r="M94" s="27"/>
      <c r="N94" s="1"/>
    </row>
    <row r="95" spans="1:14">
      <c r="A95" s="163"/>
      <c r="B95" s="117"/>
      <c r="C95" s="117"/>
      <c r="D95" s="117"/>
      <c r="E95" s="117"/>
      <c r="F95" s="117"/>
      <c r="G95" s="117"/>
      <c r="H95" s="117"/>
      <c r="I95" s="117"/>
      <c r="J95" s="117"/>
      <c r="K95" s="117"/>
      <c r="L95" s="117"/>
      <c r="M95" s="27"/>
      <c r="N95" s="1"/>
    </row>
    <row r="96" spans="1:14">
      <c r="A96" s="163"/>
      <c r="B96" s="117"/>
      <c r="C96" s="117"/>
      <c r="D96" s="117"/>
      <c r="E96" s="117"/>
      <c r="F96" s="117"/>
      <c r="G96" s="117"/>
      <c r="H96" s="117"/>
      <c r="I96" s="117"/>
      <c r="J96" s="117"/>
      <c r="K96" s="117"/>
      <c r="L96" s="117"/>
      <c r="M96" s="27"/>
      <c r="N96" s="1"/>
    </row>
    <row r="97" spans="1:14">
      <c r="A97" s="163"/>
      <c r="B97" s="117"/>
      <c r="C97" s="117"/>
      <c r="D97" s="117"/>
      <c r="E97" s="117"/>
      <c r="F97" s="117"/>
      <c r="G97" s="117"/>
      <c r="H97" s="117"/>
      <c r="I97" s="117"/>
      <c r="J97" s="117"/>
      <c r="K97" s="117"/>
      <c r="L97" s="117"/>
      <c r="M97" s="27"/>
      <c r="N97" s="1"/>
    </row>
    <row r="98" spans="1:14">
      <c r="A98" s="163"/>
      <c r="B98" s="117"/>
      <c r="C98" s="117"/>
      <c r="D98" s="117"/>
      <c r="E98" s="117"/>
      <c r="F98" s="117"/>
      <c r="G98" s="117"/>
      <c r="H98" s="117"/>
      <c r="I98" s="117"/>
      <c r="J98" s="117"/>
      <c r="K98" s="117"/>
      <c r="L98" s="117"/>
      <c r="M98" s="27"/>
      <c r="N98" s="1"/>
    </row>
    <row r="99" spans="1:14">
      <c r="A99" s="163"/>
      <c r="B99" s="117"/>
      <c r="C99" s="117"/>
      <c r="D99" s="117"/>
      <c r="E99" s="117"/>
      <c r="F99" s="117"/>
      <c r="G99" s="117"/>
      <c r="H99" s="117"/>
      <c r="I99" s="117"/>
      <c r="J99" s="117"/>
      <c r="K99" s="117"/>
      <c r="L99" s="117"/>
      <c r="M99" s="27"/>
      <c r="N99" s="1"/>
    </row>
    <row r="100" spans="1:14">
      <c r="A100" s="163"/>
      <c r="B100" s="117"/>
      <c r="C100" s="117"/>
      <c r="D100" s="117"/>
      <c r="E100" s="117"/>
      <c r="F100" s="117"/>
      <c r="G100" s="117"/>
      <c r="H100" s="117"/>
      <c r="I100" s="117"/>
      <c r="J100" s="117"/>
      <c r="K100" s="117"/>
      <c r="L100" s="117"/>
      <c r="M100" s="27"/>
      <c r="N100" s="1"/>
    </row>
    <row r="101" spans="1:14">
      <c r="A101" s="163"/>
      <c r="B101" s="117"/>
      <c r="C101" s="117"/>
      <c r="D101" s="117"/>
      <c r="E101" s="117"/>
      <c r="F101" s="117"/>
      <c r="G101" s="117"/>
      <c r="H101" s="117"/>
      <c r="I101" s="117"/>
      <c r="J101" s="117"/>
      <c r="K101" s="117"/>
      <c r="L101" s="117"/>
      <c r="M101" s="27"/>
      <c r="N101" s="1"/>
    </row>
    <row r="102" spans="1:14">
      <c r="A102" s="163"/>
      <c r="B102" s="163"/>
      <c r="C102" s="163"/>
      <c r="D102" s="163"/>
      <c r="E102" s="163"/>
      <c r="F102" s="163"/>
      <c r="G102" s="163"/>
      <c r="H102" s="163"/>
      <c r="I102" s="163"/>
      <c r="J102" s="163"/>
      <c r="K102" s="163"/>
      <c r="L102" s="163"/>
      <c r="M102" s="27"/>
      <c r="N102" s="1"/>
    </row>
    <row r="103" spans="1:14">
      <c r="A103" s="163"/>
      <c r="B103" s="163"/>
      <c r="C103" s="163"/>
      <c r="D103" s="163"/>
      <c r="E103" s="163"/>
      <c r="F103" s="163"/>
      <c r="G103" s="163"/>
      <c r="H103" s="163"/>
      <c r="I103" s="163"/>
      <c r="J103" s="163"/>
      <c r="K103" s="163"/>
      <c r="L103" s="163"/>
      <c r="M103" s="27"/>
      <c r="N103" s="1"/>
    </row>
    <row r="104" spans="1:14">
      <c r="A104" s="163"/>
      <c r="B104" s="163"/>
      <c r="C104" s="163"/>
      <c r="D104" s="163"/>
      <c r="E104" s="163"/>
      <c r="F104" s="163"/>
      <c r="G104" s="163"/>
      <c r="H104" s="163"/>
      <c r="I104" s="163"/>
      <c r="J104" s="163"/>
      <c r="K104" s="163"/>
      <c r="L104" s="163"/>
      <c r="M104" s="27"/>
      <c r="N104" s="1"/>
    </row>
    <row r="105" spans="1:14">
      <c r="A105" s="163"/>
      <c r="B105" s="163"/>
      <c r="C105" s="163"/>
      <c r="D105" s="163"/>
      <c r="E105" s="163"/>
      <c r="F105" s="163"/>
      <c r="G105" s="163"/>
      <c r="H105" s="163"/>
      <c r="I105" s="163"/>
      <c r="J105" s="163"/>
      <c r="K105" s="163"/>
      <c r="L105" s="163"/>
      <c r="M105" s="27"/>
      <c r="N105" s="1"/>
    </row>
    <row r="106" spans="1:14">
      <c r="A106" s="163"/>
      <c r="B106" s="163"/>
      <c r="C106" s="163"/>
      <c r="D106" s="163"/>
      <c r="E106" s="163"/>
      <c r="F106" s="163"/>
      <c r="G106" s="163"/>
      <c r="H106" s="163"/>
      <c r="I106" s="163"/>
      <c r="J106" s="163"/>
      <c r="K106" s="163"/>
      <c r="L106" s="163"/>
      <c r="M106" s="27"/>
      <c r="N106" s="1"/>
    </row>
    <row r="107" spans="1:14">
      <c r="A107" s="163"/>
      <c r="B107" s="163"/>
      <c r="C107" s="163"/>
      <c r="D107" s="163"/>
      <c r="E107" s="163"/>
      <c r="F107" s="163"/>
      <c r="G107" s="163"/>
      <c r="H107" s="163"/>
      <c r="I107" s="163"/>
      <c r="J107" s="163"/>
      <c r="K107" s="163"/>
      <c r="L107" s="163"/>
      <c r="M107" s="27"/>
      <c r="N107" s="1"/>
    </row>
    <row r="108" spans="1:14">
      <c r="A108" s="163"/>
      <c r="B108" s="163"/>
      <c r="C108" s="163"/>
      <c r="D108" s="163"/>
      <c r="E108" s="163"/>
      <c r="F108" s="163"/>
      <c r="G108" s="163"/>
      <c r="H108" s="163"/>
      <c r="I108" s="163"/>
      <c r="J108" s="163"/>
      <c r="K108" s="163"/>
      <c r="L108" s="163"/>
      <c r="M108" s="27"/>
      <c r="N108" s="1"/>
    </row>
    <row r="109" spans="1:14">
      <c r="A109" s="163"/>
      <c r="B109" s="163"/>
      <c r="C109" s="163"/>
      <c r="D109" s="163"/>
      <c r="E109" s="163"/>
      <c r="F109" s="163"/>
      <c r="G109" s="163"/>
      <c r="H109" s="163"/>
      <c r="I109" s="163"/>
      <c r="J109" s="163"/>
      <c r="K109" s="163"/>
      <c r="L109" s="163"/>
      <c r="M109" s="27"/>
      <c r="N109" s="1"/>
    </row>
    <row r="110" spans="1:14">
      <c r="A110" s="163"/>
      <c r="B110" s="163"/>
      <c r="C110" s="163"/>
      <c r="D110" s="163"/>
      <c r="E110" s="163"/>
      <c r="F110" s="163"/>
      <c r="G110" s="163"/>
      <c r="H110" s="163"/>
      <c r="I110" s="163"/>
      <c r="J110" s="163"/>
      <c r="K110" s="163"/>
      <c r="L110" s="163"/>
      <c r="M110" s="27"/>
      <c r="N110" s="1"/>
    </row>
    <row r="111" spans="1:14">
      <c r="A111" s="163"/>
      <c r="B111" s="163"/>
      <c r="C111" s="163"/>
      <c r="D111" s="163"/>
      <c r="E111" s="163"/>
      <c r="F111" s="163"/>
      <c r="G111" s="163"/>
      <c r="H111" s="163"/>
      <c r="I111" s="163"/>
      <c r="J111" s="163"/>
      <c r="K111" s="163"/>
      <c r="L111" s="163"/>
      <c r="M111" s="27"/>
      <c r="N111" s="1"/>
    </row>
    <row r="112" spans="1:14">
      <c r="A112" s="163"/>
      <c r="B112" s="163"/>
      <c r="C112" s="163"/>
      <c r="D112" s="163"/>
      <c r="E112" s="163"/>
      <c r="F112" s="163"/>
      <c r="G112" s="163"/>
      <c r="H112" s="163"/>
      <c r="I112" s="163"/>
      <c r="J112" s="163"/>
      <c r="K112" s="163"/>
      <c r="L112" s="163"/>
      <c r="M112" s="27"/>
      <c r="N112" s="1"/>
    </row>
    <row r="113" spans="1:14">
      <c r="A113" s="163"/>
      <c r="B113" s="163"/>
      <c r="C113" s="163"/>
      <c r="D113" s="163"/>
      <c r="E113" s="163"/>
      <c r="F113" s="163"/>
      <c r="G113" s="163"/>
      <c r="H113" s="163"/>
      <c r="I113" s="163"/>
      <c r="J113" s="163"/>
      <c r="K113" s="163"/>
      <c r="L113" s="163"/>
      <c r="M113" s="27"/>
      <c r="N113" s="1"/>
    </row>
    <row r="114" spans="1:14">
      <c r="A114" s="163"/>
      <c r="B114" s="163"/>
      <c r="C114" s="163"/>
      <c r="D114" s="163"/>
      <c r="E114" s="163"/>
      <c r="F114" s="163"/>
      <c r="G114" s="163"/>
      <c r="H114" s="163"/>
      <c r="I114" s="163"/>
      <c r="J114" s="163"/>
      <c r="K114" s="163"/>
      <c r="L114" s="163"/>
      <c r="M114" s="27"/>
      <c r="N114" s="1"/>
    </row>
    <row r="115" spans="1:14">
      <c r="A115" s="163"/>
      <c r="B115" s="163"/>
      <c r="C115" s="163"/>
      <c r="D115" s="163"/>
      <c r="E115" s="163"/>
      <c r="F115" s="163"/>
      <c r="G115" s="163"/>
      <c r="H115" s="163"/>
      <c r="I115" s="163"/>
      <c r="J115" s="163"/>
      <c r="K115" s="163"/>
      <c r="L115" s="163"/>
      <c r="M115" s="27"/>
      <c r="N115" s="1"/>
    </row>
    <row r="116" spans="1:14">
      <c r="A116" s="163"/>
      <c r="B116" s="163"/>
      <c r="C116" s="163"/>
      <c r="D116" s="163"/>
      <c r="E116" s="163"/>
      <c r="F116" s="163"/>
      <c r="G116" s="163"/>
      <c r="H116" s="163"/>
      <c r="I116" s="163"/>
      <c r="J116" s="163"/>
      <c r="K116" s="163"/>
      <c r="L116" s="163"/>
      <c r="M116" s="27"/>
      <c r="N116" s="1"/>
    </row>
    <row r="117" spans="1:14">
      <c r="A117" s="163"/>
      <c r="B117" s="163"/>
      <c r="C117" s="163"/>
      <c r="D117" s="163"/>
      <c r="E117" s="163"/>
      <c r="F117" s="163"/>
      <c r="G117" s="163"/>
      <c r="H117" s="163"/>
      <c r="I117" s="163"/>
      <c r="J117" s="163"/>
      <c r="K117" s="163"/>
      <c r="L117" s="163"/>
      <c r="M117" s="27"/>
      <c r="N117" s="1"/>
    </row>
    <row r="118" spans="1:14">
      <c r="A118" s="163"/>
      <c r="B118" s="163"/>
      <c r="C118" s="163"/>
      <c r="D118" s="163"/>
      <c r="E118" s="163"/>
      <c r="F118" s="163"/>
      <c r="G118" s="163"/>
      <c r="H118" s="163"/>
      <c r="I118" s="163"/>
      <c r="J118" s="163"/>
      <c r="K118" s="163"/>
      <c r="L118" s="163"/>
      <c r="M118" s="27"/>
      <c r="N118" s="1"/>
    </row>
    <row r="119" spans="1:14">
      <c r="A119" s="163"/>
      <c r="B119" s="163"/>
      <c r="C119" s="163"/>
      <c r="D119" s="163"/>
      <c r="E119" s="163"/>
      <c r="F119" s="163"/>
      <c r="G119" s="163"/>
      <c r="H119" s="163"/>
      <c r="I119" s="163"/>
      <c r="J119" s="163"/>
      <c r="K119" s="163"/>
      <c r="L119" s="163"/>
      <c r="M119" s="27"/>
      <c r="N119" s="1"/>
    </row>
    <row r="120" spans="1:14">
      <c r="A120" s="163"/>
      <c r="B120" s="163"/>
      <c r="C120" s="163"/>
      <c r="D120" s="163"/>
      <c r="E120" s="163"/>
      <c r="F120" s="163"/>
      <c r="G120" s="163"/>
      <c r="H120" s="163"/>
      <c r="I120" s="163"/>
      <c r="J120" s="163"/>
      <c r="K120" s="163"/>
      <c r="L120" s="163"/>
      <c r="M120" s="27"/>
      <c r="N120" s="1"/>
    </row>
    <row r="121" spans="1:14">
      <c r="A121" s="163"/>
      <c r="B121" s="163"/>
      <c r="C121" s="163"/>
      <c r="D121" s="163"/>
      <c r="E121" s="163"/>
      <c r="F121" s="163"/>
      <c r="G121" s="163"/>
      <c r="H121" s="163"/>
      <c r="I121" s="163"/>
      <c r="J121" s="163"/>
      <c r="K121" s="163"/>
      <c r="L121" s="163"/>
      <c r="M121" s="27"/>
      <c r="N121" s="1"/>
    </row>
    <row r="122" spans="1:14">
      <c r="A122" s="163"/>
      <c r="B122" s="163"/>
      <c r="C122" s="163"/>
      <c r="D122" s="163"/>
      <c r="E122" s="163"/>
      <c r="F122" s="163"/>
      <c r="G122" s="163"/>
      <c r="H122" s="163"/>
      <c r="I122" s="163"/>
      <c r="J122" s="163"/>
      <c r="K122" s="163"/>
      <c r="L122" s="163"/>
      <c r="M122" s="27"/>
      <c r="N122" s="1"/>
    </row>
    <row r="123" spans="1:14">
      <c r="A123" s="163"/>
      <c r="B123" s="163"/>
      <c r="C123" s="163"/>
      <c r="D123" s="163"/>
      <c r="E123" s="163"/>
      <c r="F123" s="163"/>
      <c r="G123" s="163"/>
      <c r="H123" s="163"/>
      <c r="I123" s="163"/>
      <c r="J123" s="163"/>
      <c r="K123" s="163"/>
      <c r="L123" s="163"/>
      <c r="M123" s="27"/>
      <c r="N123" s="1"/>
    </row>
    <row r="124" spans="1:14">
      <c r="A124" s="163"/>
      <c r="B124" s="163"/>
      <c r="C124" s="163"/>
      <c r="D124" s="163"/>
      <c r="E124" s="163"/>
      <c r="F124" s="163"/>
      <c r="G124" s="163"/>
      <c r="H124" s="163"/>
      <c r="I124" s="163"/>
      <c r="J124" s="163"/>
      <c r="K124" s="163"/>
      <c r="L124" s="163"/>
      <c r="M124" s="27"/>
      <c r="N124" s="1"/>
    </row>
    <row r="125" spans="1:14">
      <c r="A125" s="163"/>
      <c r="B125" s="163"/>
      <c r="C125" s="163"/>
      <c r="D125" s="163"/>
      <c r="E125" s="163"/>
      <c r="F125" s="163"/>
      <c r="G125" s="163"/>
      <c r="H125" s="163"/>
      <c r="I125" s="163"/>
      <c r="J125" s="163"/>
      <c r="K125" s="163"/>
      <c r="L125" s="163"/>
      <c r="M125" s="27"/>
      <c r="N125" s="1"/>
    </row>
    <row r="126" spans="1:14">
      <c r="A126" s="163"/>
      <c r="B126" s="163"/>
      <c r="C126" s="163"/>
      <c r="D126" s="163"/>
      <c r="E126" s="163"/>
      <c r="F126" s="163"/>
      <c r="G126" s="163"/>
      <c r="H126" s="163"/>
      <c r="I126" s="163"/>
      <c r="J126" s="163"/>
      <c r="K126" s="163"/>
      <c r="L126" s="163"/>
      <c r="M126" s="27"/>
      <c r="N126" s="1"/>
    </row>
    <row r="127" spans="1:14">
      <c r="A127" s="163"/>
      <c r="B127" s="163"/>
      <c r="C127" s="163"/>
      <c r="D127" s="163"/>
      <c r="E127" s="163"/>
      <c r="F127" s="163"/>
      <c r="G127" s="163"/>
      <c r="H127" s="163"/>
      <c r="I127" s="163"/>
      <c r="J127" s="163"/>
      <c r="K127" s="163"/>
      <c r="L127" s="163"/>
      <c r="M127" s="27"/>
      <c r="N127" s="1"/>
    </row>
    <row r="128" spans="1:14">
      <c r="A128" s="163"/>
      <c r="B128" s="163"/>
      <c r="C128" s="163"/>
      <c r="D128" s="163"/>
      <c r="E128" s="163"/>
      <c r="F128" s="163"/>
      <c r="G128" s="163"/>
      <c r="H128" s="163"/>
      <c r="I128" s="163"/>
      <c r="J128" s="163"/>
      <c r="K128" s="163"/>
      <c r="L128" s="163"/>
      <c r="M128" s="27"/>
      <c r="N128" s="1"/>
    </row>
    <row r="129" spans="1:14">
      <c r="A129" s="163"/>
      <c r="B129" s="163"/>
      <c r="C129" s="163"/>
      <c r="D129" s="163"/>
      <c r="E129" s="163"/>
      <c r="F129" s="163"/>
      <c r="G129" s="163"/>
      <c r="H129" s="163"/>
      <c r="I129" s="163"/>
      <c r="J129" s="163"/>
      <c r="K129" s="163"/>
      <c r="L129" s="163"/>
      <c r="M129" s="27"/>
      <c r="N129" s="1"/>
    </row>
    <row r="130" spans="1:14">
      <c r="A130" s="163"/>
      <c r="B130" s="163"/>
      <c r="C130" s="163"/>
      <c r="D130" s="163"/>
      <c r="E130" s="163"/>
      <c r="F130" s="163"/>
      <c r="G130" s="163"/>
      <c r="H130" s="163"/>
      <c r="I130" s="163"/>
      <c r="J130" s="163"/>
      <c r="K130" s="163"/>
      <c r="L130" s="163"/>
      <c r="M130" s="27"/>
      <c r="N130" s="1"/>
    </row>
    <row r="131" spans="1:14">
      <c r="A131" s="163"/>
      <c r="B131" s="163"/>
      <c r="C131" s="163"/>
      <c r="D131" s="163"/>
      <c r="E131" s="163"/>
      <c r="F131" s="163"/>
      <c r="G131" s="163"/>
      <c r="H131" s="163"/>
      <c r="I131" s="163"/>
      <c r="J131" s="163"/>
      <c r="K131" s="163"/>
      <c r="L131" s="163"/>
      <c r="M131" s="27"/>
      <c r="N131" s="1"/>
    </row>
    <row r="132" spans="1:14">
      <c r="A132" s="163"/>
      <c r="B132" s="163"/>
      <c r="C132" s="163"/>
      <c r="D132" s="163"/>
      <c r="E132" s="163"/>
      <c r="F132" s="163"/>
      <c r="G132" s="163"/>
      <c r="H132" s="163"/>
      <c r="I132" s="163"/>
      <c r="J132" s="163"/>
      <c r="K132" s="163"/>
      <c r="L132" s="163"/>
      <c r="M132" s="27"/>
      <c r="N132" s="1"/>
    </row>
    <row r="133" spans="1:14">
      <c r="A133" s="163"/>
      <c r="B133" s="163"/>
      <c r="C133" s="163"/>
      <c r="D133" s="163"/>
      <c r="E133" s="163"/>
      <c r="F133" s="163"/>
      <c r="G133" s="163"/>
      <c r="H133" s="163"/>
      <c r="I133" s="163"/>
      <c r="J133" s="163"/>
      <c r="K133" s="163"/>
      <c r="L133" s="163"/>
      <c r="M133" s="27"/>
      <c r="N133" s="1"/>
    </row>
    <row r="134" spans="1:14">
      <c r="A134" s="163"/>
      <c r="B134" s="163"/>
      <c r="C134" s="163"/>
      <c r="D134" s="163"/>
      <c r="E134" s="163"/>
      <c r="F134" s="163"/>
      <c r="G134" s="163"/>
      <c r="H134" s="163"/>
      <c r="I134" s="163"/>
      <c r="J134" s="163"/>
      <c r="K134" s="163"/>
      <c r="L134" s="163"/>
      <c r="M134" s="27"/>
      <c r="N134" s="1"/>
    </row>
    <row r="135" spans="1:14">
      <c r="A135" s="163"/>
      <c r="B135" s="163"/>
      <c r="C135" s="163"/>
      <c r="D135" s="163"/>
      <c r="E135" s="163"/>
      <c r="F135" s="163"/>
      <c r="G135" s="163"/>
      <c r="H135" s="163"/>
      <c r="I135" s="163"/>
      <c r="J135" s="163"/>
      <c r="K135" s="163"/>
      <c r="L135" s="163"/>
      <c r="M135" s="27"/>
      <c r="N135" s="1"/>
    </row>
    <row r="136" spans="1:14">
      <c r="A136" s="163"/>
      <c r="B136" s="163"/>
      <c r="C136" s="163"/>
      <c r="D136" s="163"/>
      <c r="E136" s="163"/>
      <c r="F136" s="163"/>
      <c r="G136" s="163"/>
      <c r="H136" s="163"/>
      <c r="I136" s="163"/>
      <c r="J136" s="163"/>
      <c r="K136" s="163"/>
      <c r="L136" s="163"/>
      <c r="M136" s="27"/>
      <c r="N136" s="1"/>
    </row>
    <row r="137" spans="1:14">
      <c r="A137" s="163"/>
      <c r="B137" s="163"/>
      <c r="C137" s="163"/>
      <c r="D137" s="163"/>
      <c r="E137" s="163"/>
      <c r="F137" s="163"/>
      <c r="G137" s="163"/>
      <c r="H137" s="163"/>
      <c r="I137" s="163"/>
      <c r="J137" s="163"/>
      <c r="K137" s="163"/>
      <c r="L137" s="163"/>
      <c r="M137" s="27"/>
      <c r="N137" s="1"/>
    </row>
    <row r="138" spans="1:14">
      <c r="A138" s="163"/>
      <c r="B138" s="163"/>
      <c r="C138" s="163"/>
      <c r="D138" s="163"/>
      <c r="E138" s="163"/>
      <c r="F138" s="163"/>
      <c r="G138" s="163"/>
      <c r="H138" s="163"/>
      <c r="I138" s="163"/>
      <c r="J138" s="163"/>
      <c r="K138" s="163"/>
      <c r="L138" s="163"/>
      <c r="M138" s="27"/>
      <c r="N138" s="1"/>
    </row>
    <row r="139" spans="1:14">
      <c r="A139" s="163"/>
      <c r="B139" s="117"/>
      <c r="C139" s="117"/>
      <c r="D139" s="117"/>
      <c r="E139" s="117"/>
      <c r="F139" s="117"/>
      <c r="G139" s="117"/>
      <c r="H139" s="117"/>
      <c r="I139" s="117"/>
      <c r="J139" s="117"/>
      <c r="K139" s="117"/>
      <c r="L139" s="117"/>
      <c r="M139" s="27"/>
      <c r="N139" s="1"/>
    </row>
    <row r="140" spans="1:14">
      <c r="A140" s="163"/>
      <c r="B140" s="117"/>
      <c r="C140" s="117"/>
      <c r="D140" s="117"/>
      <c r="E140" s="117"/>
      <c r="F140" s="117"/>
      <c r="G140" s="117"/>
      <c r="H140" s="117"/>
      <c r="I140" s="117"/>
      <c r="J140" s="117"/>
      <c r="K140" s="117"/>
      <c r="L140" s="117"/>
      <c r="M140" s="27"/>
      <c r="N140" s="1"/>
    </row>
    <row r="141" spans="1:14">
      <c r="A141" s="163"/>
      <c r="B141" s="117"/>
      <c r="C141" s="117"/>
      <c r="D141" s="117"/>
      <c r="E141" s="117"/>
      <c r="F141" s="117"/>
      <c r="G141" s="117"/>
      <c r="H141" s="117"/>
      <c r="I141" s="117"/>
      <c r="J141" s="117"/>
      <c r="K141" s="117"/>
      <c r="L141" s="117"/>
      <c r="M141" s="27"/>
      <c r="N141" s="1"/>
    </row>
    <row r="142" spans="1:14">
      <c r="A142" s="163"/>
      <c r="B142" s="117"/>
      <c r="C142" s="117"/>
      <c r="D142" s="117"/>
      <c r="E142" s="117"/>
      <c r="F142" s="117"/>
      <c r="G142" s="117"/>
      <c r="H142" s="117"/>
      <c r="I142" s="117"/>
      <c r="J142" s="117"/>
      <c r="K142" s="117"/>
      <c r="L142" s="117"/>
      <c r="M142" s="27"/>
      <c r="N142" s="1"/>
    </row>
    <row r="143" spans="1:14">
      <c r="A143" s="163"/>
      <c r="B143" s="117"/>
      <c r="C143" s="117"/>
      <c r="D143" s="117"/>
      <c r="E143" s="117"/>
      <c r="F143" s="117"/>
      <c r="G143" s="117"/>
      <c r="H143" s="117"/>
      <c r="I143" s="117"/>
      <c r="J143" s="117"/>
      <c r="K143" s="117"/>
      <c r="L143" s="117"/>
      <c r="M143" s="27"/>
      <c r="N143" s="1"/>
    </row>
    <row r="144" spans="1:14">
      <c r="A144" s="163"/>
      <c r="B144" s="117"/>
      <c r="C144" s="117"/>
      <c r="D144" s="117"/>
      <c r="E144" s="117"/>
      <c r="F144" s="117"/>
      <c r="G144" s="117"/>
      <c r="H144" s="117"/>
      <c r="I144" s="117"/>
      <c r="J144" s="117"/>
      <c r="K144" s="117"/>
      <c r="L144" s="117"/>
      <c r="M144" s="27"/>
      <c r="N144" s="1"/>
    </row>
    <row r="145" spans="1:14">
      <c r="A145" s="163"/>
      <c r="B145" s="117"/>
      <c r="C145" s="117"/>
      <c r="D145" s="117"/>
      <c r="E145" s="117"/>
      <c r="F145" s="117"/>
      <c r="G145" s="117"/>
      <c r="H145" s="117"/>
      <c r="I145" s="117"/>
      <c r="J145" s="117"/>
      <c r="K145" s="117"/>
      <c r="L145" s="117"/>
      <c r="M145" s="27"/>
      <c r="N145" s="1"/>
    </row>
    <row r="146" spans="1:14">
      <c r="A146" s="163"/>
      <c r="B146" s="117"/>
      <c r="C146" s="117"/>
      <c r="D146" s="117"/>
      <c r="E146" s="117"/>
      <c r="F146" s="117"/>
      <c r="G146" s="117"/>
      <c r="H146" s="117"/>
      <c r="I146" s="117"/>
      <c r="J146" s="117"/>
      <c r="K146" s="117"/>
      <c r="L146" s="117"/>
      <c r="M146" s="27"/>
      <c r="N146" s="1"/>
    </row>
    <row r="147" spans="1:14">
      <c r="A147" s="163"/>
      <c r="B147" s="117"/>
      <c r="C147" s="117"/>
      <c r="D147" s="117"/>
      <c r="E147" s="117"/>
      <c r="F147" s="117"/>
      <c r="G147" s="117"/>
      <c r="H147" s="117"/>
      <c r="I147" s="117"/>
      <c r="J147" s="117"/>
      <c r="K147" s="117"/>
      <c r="L147" s="117"/>
      <c r="M147" s="27"/>
      <c r="N147" s="1"/>
    </row>
    <row r="148" spans="1:14">
      <c r="A148" s="163"/>
      <c r="B148" s="117"/>
      <c r="C148" s="117"/>
      <c r="D148" s="117"/>
      <c r="E148" s="117"/>
      <c r="F148" s="117"/>
      <c r="G148" s="117"/>
      <c r="H148" s="117"/>
      <c r="I148" s="117"/>
      <c r="J148" s="117"/>
      <c r="K148" s="117"/>
      <c r="L148" s="117"/>
      <c r="M148" s="27"/>
      <c r="N148" s="1"/>
    </row>
    <row r="149" spans="1:14">
      <c r="A149" s="163"/>
      <c r="B149" s="117"/>
      <c r="C149" s="117"/>
      <c r="D149" s="117"/>
      <c r="E149" s="117"/>
      <c r="F149" s="117"/>
      <c r="G149" s="117"/>
      <c r="H149" s="117"/>
      <c r="I149" s="117"/>
      <c r="J149" s="117"/>
      <c r="K149" s="117"/>
      <c r="L149" s="117"/>
      <c r="M149" s="27"/>
      <c r="N149" s="1"/>
    </row>
    <row r="150" spans="1:14">
      <c r="A150" s="163"/>
      <c r="B150" s="117"/>
      <c r="C150" s="117"/>
      <c r="D150" s="117"/>
      <c r="E150" s="117"/>
      <c r="F150" s="117"/>
      <c r="G150" s="117"/>
      <c r="H150" s="117"/>
      <c r="I150" s="117"/>
      <c r="J150" s="117"/>
      <c r="K150" s="117"/>
      <c r="L150" s="117"/>
      <c r="M150" s="27"/>
      <c r="N150" s="1"/>
    </row>
    <row r="151" spans="1:14">
      <c r="A151" s="163"/>
      <c r="B151" s="117"/>
      <c r="C151" s="117"/>
      <c r="D151" s="117"/>
      <c r="E151" s="117"/>
      <c r="F151" s="117"/>
      <c r="G151" s="117"/>
      <c r="H151" s="117"/>
      <c r="I151" s="117"/>
      <c r="J151" s="117"/>
      <c r="K151" s="117"/>
      <c r="L151" s="117"/>
      <c r="M151" s="27"/>
      <c r="N151" s="1"/>
    </row>
    <row r="152" spans="1:14">
      <c r="A152" s="163"/>
      <c r="B152" s="117"/>
      <c r="C152" s="117"/>
      <c r="D152" s="117"/>
      <c r="E152" s="117"/>
      <c r="F152" s="117"/>
      <c r="G152" s="117"/>
      <c r="H152" s="117"/>
      <c r="I152" s="117"/>
      <c r="J152" s="117"/>
      <c r="K152" s="117"/>
      <c r="L152" s="117"/>
      <c r="M152" s="27"/>
      <c r="N152" s="1"/>
    </row>
    <row r="153" spans="1:14">
      <c r="A153" s="163"/>
      <c r="B153" s="117"/>
      <c r="C153" s="117"/>
      <c r="D153" s="117"/>
      <c r="E153" s="117"/>
      <c r="F153" s="117"/>
      <c r="G153" s="117"/>
      <c r="H153" s="117"/>
      <c r="I153" s="117"/>
      <c r="J153" s="117"/>
      <c r="K153" s="117"/>
      <c r="L153" s="117"/>
      <c r="M153" s="27"/>
      <c r="N153" s="1"/>
    </row>
    <row r="154" spans="1:14">
      <c r="A154" s="163"/>
      <c r="B154" s="117"/>
      <c r="C154" s="117"/>
      <c r="D154" s="117"/>
      <c r="E154" s="117"/>
      <c r="F154" s="117"/>
      <c r="G154" s="117"/>
      <c r="H154" s="117"/>
      <c r="I154" s="117"/>
      <c r="J154" s="117"/>
      <c r="K154" s="117"/>
      <c r="L154" s="117"/>
      <c r="M154" s="27"/>
      <c r="N154" s="1"/>
    </row>
    <row r="155" spans="1:14">
      <c r="A155" s="163"/>
      <c r="B155" s="117"/>
      <c r="C155" s="117"/>
      <c r="D155" s="117"/>
      <c r="E155" s="117"/>
      <c r="F155" s="117"/>
      <c r="G155" s="117"/>
      <c r="H155" s="117"/>
      <c r="I155" s="117"/>
      <c r="J155" s="117"/>
      <c r="K155" s="117"/>
      <c r="L155" s="117"/>
      <c r="M155" s="27"/>
      <c r="N155" s="1"/>
    </row>
    <row r="156" spans="1:14">
      <c r="A156" s="163"/>
      <c r="B156" s="117"/>
      <c r="C156" s="117"/>
      <c r="D156" s="117"/>
      <c r="E156" s="117"/>
      <c r="F156" s="117"/>
      <c r="G156" s="117"/>
      <c r="H156" s="117"/>
      <c r="I156" s="117"/>
      <c r="J156" s="117"/>
      <c r="K156" s="117"/>
      <c r="L156" s="117"/>
      <c r="M156" s="27"/>
      <c r="N156" s="1"/>
    </row>
    <row r="157" spans="1:14">
      <c r="A157" s="163"/>
      <c r="B157" s="117"/>
      <c r="C157" s="117"/>
      <c r="D157" s="117"/>
      <c r="E157" s="117"/>
      <c r="F157" s="117"/>
      <c r="G157" s="117"/>
      <c r="H157" s="117"/>
      <c r="I157" s="117"/>
      <c r="J157" s="117"/>
      <c r="K157" s="117"/>
      <c r="L157" s="117"/>
      <c r="M157" s="27"/>
      <c r="N157" s="1"/>
    </row>
    <row r="158" spans="1:14">
      <c r="A158" s="163"/>
      <c r="B158" s="117"/>
      <c r="C158" s="117"/>
      <c r="D158" s="117"/>
      <c r="E158" s="117"/>
      <c r="F158" s="117"/>
      <c r="G158" s="117"/>
      <c r="H158" s="117"/>
      <c r="I158" s="117"/>
      <c r="J158" s="117"/>
      <c r="K158" s="117"/>
      <c r="L158" s="117"/>
      <c r="M158" s="27"/>
      <c r="N158" s="1"/>
    </row>
    <row r="159" spans="1:14">
      <c r="A159" s="163"/>
      <c r="B159" s="117"/>
      <c r="C159" s="117"/>
      <c r="D159" s="117"/>
      <c r="E159" s="117"/>
      <c r="F159" s="117"/>
      <c r="G159" s="117"/>
      <c r="H159" s="117"/>
      <c r="I159" s="117"/>
      <c r="J159" s="117"/>
      <c r="K159" s="117"/>
      <c r="L159" s="117"/>
      <c r="M159" s="27"/>
      <c r="N159" s="1"/>
    </row>
    <row r="160" spans="1:14">
      <c r="A160" s="163"/>
      <c r="B160" s="117"/>
      <c r="C160" s="117"/>
      <c r="D160" s="117"/>
      <c r="E160" s="117"/>
      <c r="F160" s="117"/>
      <c r="G160" s="117"/>
      <c r="H160" s="117"/>
      <c r="I160" s="117"/>
      <c r="J160" s="117"/>
      <c r="K160" s="117"/>
      <c r="L160" s="117"/>
      <c r="M160" s="27"/>
      <c r="N160" s="1"/>
    </row>
    <row r="161" spans="1:14">
      <c r="A161" s="163"/>
      <c r="B161" s="117"/>
      <c r="C161" s="117"/>
      <c r="D161" s="117"/>
      <c r="E161" s="117"/>
      <c r="F161" s="117"/>
      <c r="G161" s="117"/>
      <c r="H161" s="117"/>
      <c r="I161" s="117"/>
      <c r="J161" s="117"/>
      <c r="K161" s="117"/>
      <c r="L161" s="117"/>
      <c r="M161" s="27"/>
      <c r="N161" s="1"/>
    </row>
    <row r="162" spans="1:14">
      <c r="A162" s="163"/>
      <c r="B162" s="117"/>
      <c r="C162" s="117"/>
      <c r="D162" s="117"/>
      <c r="E162" s="117"/>
      <c r="F162" s="117"/>
      <c r="G162" s="117"/>
      <c r="H162" s="117"/>
      <c r="I162" s="117"/>
      <c r="J162" s="117"/>
      <c r="K162" s="117"/>
      <c r="L162" s="117"/>
      <c r="M162" s="27"/>
      <c r="N162" s="1"/>
    </row>
    <row r="163" spans="1:14">
      <c r="A163" s="163"/>
      <c r="B163" s="117"/>
      <c r="C163" s="117"/>
      <c r="D163" s="117"/>
      <c r="E163" s="117"/>
      <c r="F163" s="117"/>
      <c r="G163" s="117"/>
      <c r="H163" s="117"/>
      <c r="I163" s="117"/>
      <c r="J163" s="117"/>
      <c r="K163" s="117"/>
      <c r="L163" s="117"/>
      <c r="M163" s="27"/>
      <c r="N163" s="1"/>
    </row>
    <row r="164" spans="1:14">
      <c r="A164" s="163"/>
      <c r="B164" s="117"/>
      <c r="C164" s="117"/>
      <c r="D164" s="117"/>
      <c r="E164" s="117"/>
      <c r="F164" s="117"/>
      <c r="G164" s="117"/>
      <c r="H164" s="117"/>
      <c r="I164" s="117"/>
      <c r="J164" s="117"/>
      <c r="K164" s="117"/>
      <c r="L164" s="117"/>
      <c r="M164" s="27"/>
      <c r="N164" s="1"/>
    </row>
    <row r="165" spans="1:14">
      <c r="A165" s="163"/>
      <c r="B165" s="117"/>
      <c r="C165" s="117"/>
      <c r="D165" s="117"/>
      <c r="E165" s="117"/>
      <c r="F165" s="117"/>
      <c r="G165" s="117"/>
      <c r="H165" s="117"/>
      <c r="I165" s="117"/>
      <c r="J165" s="117"/>
      <c r="K165" s="117"/>
      <c r="L165" s="117"/>
      <c r="M165" s="27"/>
      <c r="N165" s="1"/>
    </row>
    <row r="166" spans="1:14">
      <c r="A166" s="163"/>
      <c r="B166" s="117"/>
      <c r="C166" s="117"/>
      <c r="D166" s="117"/>
      <c r="E166" s="117"/>
      <c r="F166" s="117"/>
      <c r="G166" s="117"/>
      <c r="H166" s="117"/>
      <c r="I166" s="117"/>
      <c r="J166" s="117"/>
      <c r="K166" s="117"/>
      <c r="L166" s="117"/>
      <c r="M166" s="27"/>
      <c r="N166" s="1"/>
    </row>
    <row r="167" spans="1:14">
      <c r="A167" s="163"/>
      <c r="B167" s="117"/>
      <c r="C167" s="117"/>
      <c r="D167" s="117"/>
      <c r="E167" s="117"/>
      <c r="F167" s="117"/>
      <c r="G167" s="117"/>
      <c r="H167" s="117"/>
      <c r="I167" s="117"/>
      <c r="J167" s="117"/>
      <c r="K167" s="117"/>
      <c r="L167" s="117"/>
      <c r="M167" s="27"/>
      <c r="N167" s="1"/>
    </row>
    <row r="168" spans="1:14">
      <c r="A168" s="163"/>
      <c r="B168" s="117"/>
      <c r="C168" s="117"/>
      <c r="D168" s="117"/>
      <c r="E168" s="117"/>
      <c r="F168" s="117"/>
      <c r="G168" s="117"/>
      <c r="H168" s="117"/>
      <c r="I168" s="117"/>
      <c r="J168" s="117"/>
      <c r="K168" s="117"/>
      <c r="L168" s="117"/>
      <c r="M168" s="27"/>
      <c r="N168" s="1"/>
    </row>
    <row r="169" spans="1:14">
      <c r="A169" s="163"/>
      <c r="B169" s="117"/>
      <c r="C169" s="117"/>
      <c r="D169" s="117"/>
      <c r="E169" s="117"/>
      <c r="F169" s="117"/>
      <c r="G169" s="117"/>
      <c r="H169" s="117"/>
      <c r="I169" s="117"/>
      <c r="J169" s="117"/>
      <c r="K169" s="117"/>
      <c r="L169" s="117"/>
      <c r="M169" s="27"/>
      <c r="N169" s="1"/>
    </row>
    <row r="170" spans="1:14">
      <c r="B170" s="1"/>
      <c r="C170" s="1"/>
      <c r="D170" s="1"/>
      <c r="E170" s="1"/>
      <c r="F170" s="1"/>
      <c r="G170" s="1"/>
      <c r="H170" s="1"/>
      <c r="I170" s="1"/>
      <c r="J170" s="1"/>
      <c r="K170" s="1"/>
      <c r="L170" s="27"/>
      <c r="M170" s="27"/>
      <c r="N170" s="1"/>
    </row>
    <row r="171" spans="1:14">
      <c r="B171" s="1"/>
      <c r="C171" s="1"/>
      <c r="D171" s="1"/>
      <c r="E171" s="1"/>
      <c r="F171" s="1"/>
      <c r="G171" s="1"/>
      <c r="H171" s="1"/>
      <c r="I171" s="1"/>
      <c r="J171" s="1"/>
      <c r="K171" s="1"/>
      <c r="L171" s="27"/>
      <c r="M171" s="27"/>
      <c r="N171" s="1"/>
    </row>
    <row r="172" spans="1:14">
      <c r="B172" s="1"/>
      <c r="C172" s="1"/>
      <c r="D172" s="1"/>
      <c r="E172" s="1"/>
      <c r="F172" s="1"/>
      <c r="G172" s="1"/>
      <c r="H172" s="1"/>
      <c r="I172" s="1"/>
      <c r="J172" s="1"/>
      <c r="K172" s="1"/>
      <c r="L172" s="27"/>
      <c r="M172" s="27"/>
      <c r="N172" s="1"/>
    </row>
    <row r="173" spans="1:14">
      <c r="B173" s="1"/>
      <c r="C173" s="1"/>
      <c r="D173" s="1"/>
      <c r="E173" s="1"/>
      <c r="F173" s="1"/>
      <c r="G173" s="1"/>
      <c r="H173" s="1"/>
      <c r="I173" s="1"/>
      <c r="J173" s="1"/>
      <c r="K173" s="1"/>
      <c r="L173" s="27"/>
      <c r="M173" s="27"/>
      <c r="N173" s="1"/>
    </row>
    <row r="174" spans="1:14">
      <c r="B174" s="1"/>
      <c r="C174" s="1"/>
      <c r="D174" s="1"/>
      <c r="E174" s="1"/>
      <c r="F174" s="1"/>
      <c r="G174" s="1"/>
      <c r="H174" s="1"/>
      <c r="I174" s="1"/>
      <c r="J174" s="1"/>
      <c r="K174" s="1"/>
      <c r="L174" s="27"/>
      <c r="M174" s="27"/>
      <c r="N174" s="1"/>
    </row>
    <row r="175" spans="1:14">
      <c r="B175" s="1"/>
      <c r="C175" s="1"/>
      <c r="D175" s="1"/>
      <c r="E175" s="1"/>
      <c r="F175" s="1"/>
      <c r="G175" s="1"/>
      <c r="H175" s="1"/>
      <c r="I175" s="1"/>
      <c r="J175" s="1"/>
      <c r="K175" s="1"/>
      <c r="L175" s="27"/>
      <c r="M175" s="27"/>
      <c r="N175" s="1"/>
    </row>
    <row r="176" spans="1:14">
      <c r="B176" s="1"/>
      <c r="C176" s="1"/>
      <c r="D176" s="1"/>
      <c r="E176" s="1"/>
      <c r="F176" s="1"/>
      <c r="G176" s="1"/>
      <c r="H176" s="1"/>
      <c r="I176" s="1"/>
      <c r="J176" s="1"/>
      <c r="K176" s="1"/>
      <c r="L176" s="27"/>
      <c r="M176" s="27"/>
      <c r="N176" s="1"/>
    </row>
    <row r="177" spans="2:14">
      <c r="B177" s="1"/>
      <c r="C177" s="1"/>
      <c r="D177" s="1"/>
      <c r="E177" s="1"/>
      <c r="F177" s="1"/>
      <c r="G177" s="1"/>
      <c r="H177" s="1"/>
      <c r="I177" s="1"/>
      <c r="J177" s="1"/>
      <c r="K177" s="1"/>
      <c r="L177" s="27"/>
      <c r="M177" s="27"/>
      <c r="N177" s="1"/>
    </row>
    <row r="178" spans="2:14">
      <c r="B178" s="1"/>
      <c r="C178" s="1"/>
      <c r="D178" s="1"/>
      <c r="E178" s="1"/>
      <c r="F178" s="1"/>
      <c r="G178" s="1"/>
      <c r="H178" s="1"/>
      <c r="I178" s="1"/>
      <c r="J178" s="1"/>
      <c r="K178" s="1"/>
      <c r="L178" s="27"/>
      <c r="M178" s="27"/>
      <c r="N178" s="1"/>
    </row>
    <row r="179" spans="2:14">
      <c r="L179" s="19"/>
      <c r="M179" s="19"/>
    </row>
    <row r="180" spans="2:14">
      <c r="L180" s="19"/>
      <c r="M180" s="19"/>
    </row>
    <row r="181" spans="2:14">
      <c r="L181" s="19"/>
      <c r="M181" s="19"/>
    </row>
    <row r="182" spans="2:14">
      <c r="L182" s="19"/>
      <c r="M182" s="19"/>
    </row>
    <row r="183" spans="2:14">
      <c r="L183" s="19"/>
      <c r="M183" s="19"/>
    </row>
    <row r="184" spans="2:14">
      <c r="L184" s="19"/>
      <c r="M184" s="19"/>
    </row>
    <row r="185" spans="2:14">
      <c r="L185" s="19"/>
      <c r="M185" s="19"/>
    </row>
    <row r="186" spans="2:14">
      <c r="L186" s="19"/>
      <c r="M186" s="19"/>
    </row>
    <row r="187" spans="2:14">
      <c r="L187" s="19"/>
      <c r="M187" s="19"/>
    </row>
    <row r="188" spans="2:14">
      <c r="L188" s="19"/>
      <c r="M188" s="19"/>
    </row>
    <row r="189" spans="2:14">
      <c r="L189" s="19"/>
      <c r="M189" s="19"/>
    </row>
    <row r="190" spans="2:14">
      <c r="L190" s="19"/>
      <c r="M190" s="19"/>
    </row>
    <row r="191" spans="2:14">
      <c r="L191" s="19"/>
      <c r="M191" s="19"/>
    </row>
    <row r="192" spans="2:14">
      <c r="L192" s="19"/>
      <c r="M192" s="19"/>
    </row>
    <row r="193" spans="12:13">
      <c r="L193" s="19"/>
      <c r="M193" s="19"/>
    </row>
    <row r="194" spans="12:13">
      <c r="L194" s="19"/>
      <c r="M194" s="19"/>
    </row>
    <row r="195" spans="12:13">
      <c r="L195" s="19"/>
      <c r="M195" s="19"/>
    </row>
    <row r="196" spans="12:13">
      <c r="L196" s="19"/>
      <c r="M196" s="19"/>
    </row>
    <row r="197" spans="12:13">
      <c r="L197" s="19"/>
      <c r="M197" s="19"/>
    </row>
    <row r="198" spans="12:13">
      <c r="L198" s="19"/>
      <c r="M198" s="19"/>
    </row>
    <row r="199" spans="12:13">
      <c r="L199" s="19"/>
      <c r="M199" s="19"/>
    </row>
    <row r="200" spans="12:13">
      <c r="L200" s="19"/>
      <c r="M200" s="19"/>
    </row>
    <row r="201" spans="12:13">
      <c r="L201" s="19"/>
      <c r="M201" s="19"/>
    </row>
    <row r="202" spans="12:13">
      <c r="L202" s="19"/>
      <c r="M202" s="19"/>
    </row>
    <row r="203" spans="12:13">
      <c r="L203" s="19"/>
      <c r="M203" s="19"/>
    </row>
    <row r="204" spans="12:13">
      <c r="L204" s="19"/>
      <c r="M204" s="19"/>
    </row>
    <row r="205" spans="12:13">
      <c r="L205" s="19"/>
      <c r="M205" s="19"/>
    </row>
    <row r="206" spans="12:13">
      <c r="L206" s="19"/>
      <c r="M206" s="19"/>
    </row>
    <row r="207" spans="12:13">
      <c r="L207" s="19"/>
      <c r="M207" s="19"/>
    </row>
    <row r="208" spans="12:13">
      <c r="L208" s="19"/>
      <c r="M208" s="19"/>
    </row>
    <row r="209" spans="12:13">
      <c r="L209" s="19"/>
      <c r="M209" s="19"/>
    </row>
    <row r="210" spans="12:13">
      <c r="L210" s="19"/>
      <c r="M210" s="19"/>
    </row>
    <row r="211" spans="12:13">
      <c r="L211" s="19"/>
      <c r="M211" s="19"/>
    </row>
    <row r="212" spans="12:13">
      <c r="L212" s="19"/>
      <c r="M212" s="19"/>
    </row>
    <row r="213" spans="12:13">
      <c r="L213" s="19"/>
      <c r="M213" s="19"/>
    </row>
    <row r="214" spans="12:13">
      <c r="L214" s="19"/>
      <c r="M214" s="19"/>
    </row>
    <row r="215" spans="12:13">
      <c r="L215" s="19"/>
      <c r="M215" s="19"/>
    </row>
    <row r="216" spans="12:13">
      <c r="L216" s="19"/>
      <c r="M216" s="19"/>
    </row>
    <row r="217" spans="12:13">
      <c r="L217" s="19"/>
      <c r="M217" s="19"/>
    </row>
    <row r="218" spans="12:13">
      <c r="L218" s="19"/>
      <c r="M218" s="19"/>
    </row>
    <row r="219" spans="12:13">
      <c r="L219" s="19"/>
      <c r="M219" s="19"/>
    </row>
    <row r="220" spans="12:13">
      <c r="L220" s="19"/>
      <c r="M220" s="19"/>
    </row>
    <row r="221" spans="12:13">
      <c r="L221" s="19"/>
      <c r="M221" s="19"/>
    </row>
    <row r="222" spans="12:13">
      <c r="L222" s="19"/>
      <c r="M222" s="19"/>
    </row>
    <row r="223" spans="12:13">
      <c r="L223" s="19"/>
      <c r="M223" s="19"/>
    </row>
    <row r="224" spans="12:13">
      <c r="L224" s="19"/>
      <c r="M224" s="19"/>
    </row>
    <row r="225" spans="12:13">
      <c r="L225" s="19"/>
      <c r="M225" s="19"/>
    </row>
    <row r="226" spans="12:13">
      <c r="L226" s="19"/>
      <c r="M226" s="19"/>
    </row>
    <row r="227" spans="12:13">
      <c r="L227" s="19"/>
      <c r="M227" s="19"/>
    </row>
    <row r="228" spans="12:13">
      <c r="L228" s="19"/>
      <c r="M228" s="19"/>
    </row>
    <row r="229" spans="12:13">
      <c r="L229" s="19"/>
      <c r="M229" s="19"/>
    </row>
    <row r="230" spans="12:13">
      <c r="L230" s="19"/>
      <c r="M230" s="19"/>
    </row>
    <row r="231" spans="12:13">
      <c r="L231" s="19"/>
      <c r="M231" s="19"/>
    </row>
    <row r="232" spans="12:13">
      <c r="L232" s="19"/>
      <c r="M232" s="19"/>
    </row>
    <row r="233" spans="12:13">
      <c r="L233" s="19"/>
      <c r="M233" s="19"/>
    </row>
    <row r="234" spans="12:13">
      <c r="L234" s="19"/>
      <c r="M234" s="19"/>
    </row>
    <row r="235" spans="12:13">
      <c r="L235" s="19"/>
      <c r="M235" s="19"/>
    </row>
    <row r="236" spans="12:13">
      <c r="L236" s="19"/>
      <c r="M236" s="19"/>
    </row>
    <row r="237" spans="12:13">
      <c r="L237" s="19"/>
      <c r="M237" s="19"/>
    </row>
    <row r="238" spans="12:13">
      <c r="L238" s="19"/>
      <c r="M238" s="19"/>
    </row>
    <row r="239" spans="12:13">
      <c r="L239" s="19"/>
      <c r="M239" s="19"/>
    </row>
    <row r="240" spans="12:13">
      <c r="L240" s="19"/>
      <c r="M240" s="19"/>
    </row>
    <row r="241" spans="12:13">
      <c r="L241" s="19"/>
      <c r="M241" s="19"/>
    </row>
    <row r="242" spans="12:13">
      <c r="L242" s="19"/>
      <c r="M242" s="19"/>
    </row>
    <row r="243" spans="12:13">
      <c r="L243" s="19"/>
      <c r="M243" s="19"/>
    </row>
    <row r="244" spans="12:13">
      <c r="L244" s="19"/>
      <c r="M244" s="19"/>
    </row>
    <row r="245" spans="12:13">
      <c r="L245" s="19"/>
      <c r="M245" s="19"/>
    </row>
    <row r="246" spans="12:13">
      <c r="L246" s="19"/>
      <c r="M246" s="19"/>
    </row>
    <row r="247" spans="12:13">
      <c r="L247" s="19"/>
      <c r="M247" s="19"/>
    </row>
    <row r="248" spans="12:13">
      <c r="L248" s="19"/>
      <c r="M248" s="19"/>
    </row>
    <row r="249" spans="12:13">
      <c r="L249" s="19"/>
      <c r="M249" s="19"/>
    </row>
    <row r="250" spans="12:13">
      <c r="L250" s="19"/>
      <c r="M250" s="19"/>
    </row>
    <row r="251" spans="12:13">
      <c r="L251" s="19"/>
      <c r="M251" s="19"/>
    </row>
    <row r="252" spans="12:13">
      <c r="L252" s="19"/>
      <c r="M252" s="19"/>
    </row>
    <row r="253" spans="12:13">
      <c r="L253" s="19"/>
      <c r="M253" s="19"/>
    </row>
    <row r="254" spans="12:13">
      <c r="L254" s="19"/>
      <c r="M254" s="19"/>
    </row>
    <row r="255" spans="12:13">
      <c r="L255" s="19"/>
      <c r="M255" s="19"/>
    </row>
    <row r="256" spans="12:13">
      <c r="L256" s="19"/>
      <c r="M256" s="19"/>
    </row>
    <row r="257" spans="12:13">
      <c r="L257" s="19"/>
      <c r="M257" s="19"/>
    </row>
    <row r="258" spans="12:13">
      <c r="L258" s="19"/>
      <c r="M258" s="19"/>
    </row>
    <row r="259" spans="12:13">
      <c r="L259" s="19"/>
      <c r="M259" s="19"/>
    </row>
    <row r="260" spans="12:13">
      <c r="L260" s="19"/>
      <c r="M260" s="19"/>
    </row>
    <row r="261" spans="12:13">
      <c r="L261" s="19"/>
      <c r="M261" s="19"/>
    </row>
    <row r="262" spans="12:13">
      <c r="L262" s="19"/>
      <c r="M262" s="19"/>
    </row>
    <row r="263" spans="12:13">
      <c r="L263" s="19"/>
      <c r="M263" s="19"/>
    </row>
    <row r="264" spans="12:13">
      <c r="L264" s="19"/>
      <c r="M264" s="19"/>
    </row>
    <row r="265" spans="12:13">
      <c r="L265" s="19"/>
      <c r="M265" s="19"/>
    </row>
    <row r="266" spans="12:13">
      <c r="L266" s="19"/>
      <c r="M266" s="19"/>
    </row>
    <row r="267" spans="12:13">
      <c r="L267" s="19"/>
      <c r="M267" s="19"/>
    </row>
    <row r="268" spans="12:13">
      <c r="L268" s="19"/>
      <c r="M268" s="19"/>
    </row>
    <row r="269" spans="12:13">
      <c r="L269" s="19"/>
      <c r="M269" s="19"/>
    </row>
    <row r="270" spans="12:13">
      <c r="L270" s="19"/>
      <c r="M270" s="19"/>
    </row>
    <row r="271" spans="12:13">
      <c r="L271" s="19"/>
      <c r="M271" s="19"/>
    </row>
    <row r="272" spans="12:13">
      <c r="L272" s="19"/>
      <c r="M272" s="19"/>
    </row>
    <row r="273" spans="12:13">
      <c r="L273" s="19"/>
      <c r="M273" s="19"/>
    </row>
    <row r="274" spans="12:13">
      <c r="L274" s="19"/>
      <c r="M274" s="19"/>
    </row>
    <row r="275" spans="12:13">
      <c r="L275" s="19"/>
      <c r="M275" s="19"/>
    </row>
    <row r="276" spans="12:13">
      <c r="L276" s="19"/>
      <c r="M276" s="19"/>
    </row>
    <row r="277" spans="12:13">
      <c r="L277" s="19"/>
      <c r="M277" s="19"/>
    </row>
    <row r="278" spans="12:13">
      <c r="L278" s="19"/>
      <c r="M278" s="19"/>
    </row>
    <row r="279" spans="12:13">
      <c r="L279" s="19"/>
      <c r="M279" s="19"/>
    </row>
    <row r="280" spans="12:13">
      <c r="L280" s="19"/>
      <c r="M280" s="19"/>
    </row>
    <row r="281" spans="12:13">
      <c r="L281" s="19"/>
      <c r="M281" s="19"/>
    </row>
    <row r="282" spans="12:13">
      <c r="L282" s="19"/>
      <c r="M282" s="19"/>
    </row>
    <row r="283" spans="12:13">
      <c r="L283" s="19"/>
      <c r="M283" s="19"/>
    </row>
    <row r="284" spans="12:13">
      <c r="L284" s="19"/>
      <c r="M284" s="19"/>
    </row>
    <row r="285" spans="12:13">
      <c r="L285" s="19"/>
      <c r="M285" s="19"/>
    </row>
    <row r="286" spans="12:13">
      <c r="L286" s="19"/>
      <c r="M286" s="19"/>
    </row>
    <row r="287" spans="12:13">
      <c r="L287" s="19"/>
      <c r="M287" s="19"/>
    </row>
    <row r="288" spans="12:13">
      <c r="L288" s="19"/>
      <c r="M288" s="19"/>
    </row>
    <row r="289" spans="12:13">
      <c r="L289" s="19"/>
      <c r="M289" s="19"/>
    </row>
    <row r="290" spans="12:13">
      <c r="L290" s="19"/>
      <c r="M290" s="19"/>
    </row>
    <row r="291" spans="12:13">
      <c r="L291" s="19"/>
      <c r="M291" s="19"/>
    </row>
    <row r="292" spans="12:13">
      <c r="L292" s="19"/>
      <c r="M292" s="19"/>
    </row>
    <row r="293" spans="12:13">
      <c r="L293" s="19"/>
      <c r="M293" s="19"/>
    </row>
    <row r="294" spans="12:13">
      <c r="L294" s="19"/>
      <c r="M294" s="19"/>
    </row>
    <row r="295" spans="12:13">
      <c r="L295" s="19"/>
      <c r="M295" s="19"/>
    </row>
    <row r="296" spans="12:13">
      <c r="L296" s="19"/>
      <c r="M296" s="19"/>
    </row>
    <row r="297" spans="12:13">
      <c r="L297" s="19"/>
      <c r="M297" s="19"/>
    </row>
    <row r="298" spans="12:13">
      <c r="L298" s="19"/>
      <c r="M298" s="19"/>
    </row>
    <row r="299" spans="12:13">
      <c r="L299" s="19"/>
      <c r="M299" s="19"/>
    </row>
    <row r="300" spans="12:13">
      <c r="L300" s="19"/>
      <c r="M300" s="19"/>
    </row>
    <row r="301" spans="12:13">
      <c r="L301" s="19"/>
      <c r="M301" s="19"/>
    </row>
    <row r="302" spans="12:13">
      <c r="L302" s="19"/>
      <c r="M302" s="19"/>
    </row>
    <row r="303" spans="12:13">
      <c r="L303" s="19"/>
      <c r="M303" s="19"/>
    </row>
    <row r="304" spans="12:13">
      <c r="L304" s="19"/>
      <c r="M304" s="19"/>
    </row>
    <row r="305" spans="2:13">
      <c r="L305" s="19"/>
      <c r="M305" s="19"/>
    </row>
    <row r="306" spans="2:13">
      <c r="L306" s="19"/>
      <c r="M306" s="19"/>
    </row>
    <row r="307" spans="2:13">
      <c r="L307" s="19"/>
      <c r="M307" s="19"/>
    </row>
    <row r="308" spans="2:13">
      <c r="L308" s="19"/>
      <c r="M308" s="19"/>
    </row>
    <row r="309" spans="2:13">
      <c r="L309" s="19"/>
      <c r="M309" s="19"/>
    </row>
    <row r="310" spans="2:13">
      <c r="L310" s="19"/>
      <c r="M310" s="19"/>
    </row>
    <row r="311" spans="2:13">
      <c r="L311" s="19"/>
      <c r="M311" s="19"/>
    </row>
    <row r="312" spans="2:13">
      <c r="L312" s="19"/>
      <c r="M312" s="19"/>
    </row>
    <row r="313" spans="2:13">
      <c r="L313" s="19"/>
      <c r="M313" s="19"/>
    </row>
    <row r="314" spans="2:13">
      <c r="L314" s="19"/>
      <c r="M314" s="19"/>
    </row>
    <row r="315" spans="2:13">
      <c r="L315" s="19"/>
      <c r="M315" s="19"/>
    </row>
    <row r="316" spans="2:13">
      <c r="L316" s="19"/>
      <c r="M316" s="19"/>
    </row>
    <row r="317" spans="2:13">
      <c r="L317" s="19"/>
      <c r="M317" s="19"/>
    </row>
    <row r="318" spans="2:13">
      <c r="L318" s="19"/>
      <c r="M318" s="19"/>
    </row>
    <row r="319" spans="2:13">
      <c r="B319" s="1"/>
      <c r="C319" s="1"/>
      <c r="D319" s="1"/>
      <c r="E319" s="1"/>
      <c r="F319" s="1"/>
      <c r="G319" s="1"/>
      <c r="H319" s="1"/>
      <c r="I319" s="1"/>
      <c r="J319" s="1"/>
      <c r="K319" s="1"/>
      <c r="L319" s="27"/>
      <c r="M319" s="19"/>
    </row>
    <row r="320" spans="2:13">
      <c r="B320" s="1"/>
      <c r="C320" s="1"/>
      <c r="D320" s="1"/>
      <c r="E320" s="1"/>
      <c r="F320" s="1"/>
      <c r="G320" s="1"/>
      <c r="H320" s="1"/>
      <c r="I320" s="1"/>
      <c r="J320" s="1"/>
      <c r="K320" s="1"/>
      <c r="L320" s="27"/>
      <c r="M320" s="19"/>
    </row>
    <row r="321" spans="2:13">
      <c r="B321" s="1"/>
      <c r="C321" s="1"/>
      <c r="D321" s="1"/>
      <c r="E321" s="1"/>
      <c r="F321" s="1"/>
      <c r="G321" s="1"/>
      <c r="H321" s="1"/>
      <c r="I321" s="1"/>
      <c r="J321" s="1"/>
      <c r="K321" s="1"/>
      <c r="L321" s="27"/>
      <c r="M321" s="19"/>
    </row>
    <row r="322" spans="2:13">
      <c r="B322" s="1"/>
      <c r="C322" s="1"/>
      <c r="D322" s="1"/>
      <c r="E322" s="1"/>
      <c r="F322" s="1"/>
      <c r="G322" s="1"/>
      <c r="H322" s="1"/>
      <c r="I322" s="1"/>
      <c r="J322" s="1"/>
      <c r="K322" s="1"/>
      <c r="L322" s="27"/>
      <c r="M322" s="19"/>
    </row>
    <row r="323" spans="2:13">
      <c r="B323" s="1"/>
      <c r="C323" s="1"/>
      <c r="D323" s="1"/>
      <c r="E323" s="1"/>
      <c r="F323" s="1"/>
      <c r="G323" s="1"/>
      <c r="H323" s="1"/>
      <c r="I323" s="1"/>
      <c r="J323" s="1"/>
      <c r="K323" s="1"/>
      <c r="L323" s="27"/>
      <c r="M323" s="19"/>
    </row>
    <row r="324" spans="2:13">
      <c r="B324" s="1"/>
      <c r="C324" s="1"/>
      <c r="D324" s="1"/>
      <c r="E324" s="1"/>
      <c r="F324" s="1"/>
      <c r="G324" s="1"/>
      <c r="H324" s="1"/>
      <c r="I324" s="1"/>
      <c r="J324" s="1"/>
      <c r="K324" s="1"/>
      <c r="L324" s="27"/>
      <c r="M324" s="19"/>
    </row>
    <row r="325" spans="2:13">
      <c r="B325" s="1"/>
      <c r="C325" s="1"/>
      <c r="D325" s="1"/>
      <c r="E325" s="1"/>
      <c r="F325" s="1"/>
      <c r="G325" s="1"/>
      <c r="H325" s="1"/>
      <c r="I325" s="1"/>
      <c r="J325" s="1"/>
      <c r="K325" s="1"/>
      <c r="L325" s="27"/>
      <c r="M325" s="19"/>
    </row>
    <row r="326" spans="2:13">
      <c r="B326" s="1"/>
      <c r="C326" s="1"/>
      <c r="D326" s="1"/>
      <c r="E326" s="1"/>
      <c r="F326" s="1"/>
      <c r="G326" s="1"/>
      <c r="H326" s="1"/>
      <c r="I326" s="1"/>
      <c r="J326" s="1"/>
      <c r="K326" s="1"/>
      <c r="L326" s="27"/>
      <c r="M326" s="19"/>
    </row>
    <row r="327" spans="2:13">
      <c r="B327" s="1"/>
      <c r="C327" s="1"/>
      <c r="D327" s="1"/>
      <c r="E327" s="1"/>
      <c r="F327" s="1"/>
      <c r="G327" s="1"/>
      <c r="H327" s="1"/>
      <c r="I327" s="1"/>
      <c r="J327" s="1"/>
      <c r="K327" s="1"/>
      <c r="L327" s="27"/>
      <c r="M327" s="19"/>
    </row>
    <row r="328" spans="2:13">
      <c r="B328" s="1"/>
      <c r="C328" s="1"/>
      <c r="D328" s="1"/>
      <c r="E328" s="1"/>
      <c r="F328" s="1"/>
      <c r="G328" s="1"/>
      <c r="H328" s="1"/>
      <c r="I328" s="1"/>
      <c r="J328" s="1"/>
      <c r="K328" s="1"/>
      <c r="L328" s="27"/>
      <c r="M328" s="19"/>
    </row>
    <row r="329" spans="2:13">
      <c r="B329" s="1"/>
      <c r="C329" s="1"/>
      <c r="D329" s="1"/>
      <c r="E329" s="1"/>
      <c r="F329" s="1"/>
      <c r="G329" s="1"/>
      <c r="H329" s="1"/>
      <c r="I329" s="1"/>
      <c r="J329" s="1"/>
      <c r="K329" s="1"/>
      <c r="L329" s="27"/>
      <c r="M329" s="19"/>
    </row>
    <row r="330" spans="2:13">
      <c r="B330" s="1"/>
      <c r="C330" s="1"/>
      <c r="D330" s="1"/>
      <c r="E330" s="1"/>
      <c r="F330" s="1"/>
      <c r="G330" s="1"/>
      <c r="H330" s="1"/>
      <c r="I330" s="1"/>
      <c r="J330" s="1"/>
      <c r="K330" s="1"/>
      <c r="L330" s="27"/>
      <c r="M330" s="19"/>
    </row>
    <row r="331" spans="2:13">
      <c r="B331" s="1"/>
      <c r="C331" s="1"/>
      <c r="D331" s="1"/>
      <c r="E331" s="1"/>
      <c r="F331" s="1"/>
      <c r="G331" s="1"/>
      <c r="H331" s="1"/>
      <c r="I331" s="1"/>
      <c r="J331" s="1"/>
      <c r="K331" s="1"/>
      <c r="L331" s="27"/>
      <c r="M331" s="19"/>
    </row>
    <row r="332" spans="2:13">
      <c r="B332" s="1"/>
      <c r="C332" s="1"/>
      <c r="D332" s="1"/>
      <c r="E332" s="1"/>
      <c r="F332" s="1"/>
      <c r="G332" s="1"/>
      <c r="H332" s="1"/>
      <c r="I332" s="1"/>
      <c r="J332" s="1"/>
      <c r="K332" s="1"/>
      <c r="L332" s="27"/>
      <c r="M332" s="19"/>
    </row>
    <row r="333" spans="2:13">
      <c r="B333" s="1"/>
      <c r="C333" s="1"/>
      <c r="D333" s="1"/>
      <c r="E333" s="1"/>
      <c r="F333" s="1"/>
      <c r="G333" s="1"/>
      <c r="H333" s="1"/>
      <c r="I333" s="1"/>
      <c r="J333" s="1"/>
      <c r="K333" s="1"/>
      <c r="L333" s="27"/>
      <c r="M333" s="19"/>
    </row>
    <row r="334" spans="2:13">
      <c r="B334" s="1"/>
      <c r="C334" s="1"/>
      <c r="D334" s="1"/>
      <c r="E334" s="1"/>
      <c r="F334" s="1"/>
      <c r="G334" s="1"/>
      <c r="H334" s="1"/>
      <c r="I334" s="1"/>
      <c r="J334" s="1"/>
      <c r="K334" s="1"/>
      <c r="L334" s="27"/>
      <c r="M334" s="19"/>
    </row>
    <row r="335" spans="2:13">
      <c r="B335" s="1"/>
      <c r="C335" s="1"/>
      <c r="D335" s="1"/>
      <c r="E335" s="1"/>
      <c r="F335" s="1"/>
      <c r="G335" s="1"/>
      <c r="H335" s="1"/>
      <c r="I335" s="1"/>
      <c r="J335" s="1"/>
      <c r="K335" s="1"/>
      <c r="L335" s="27"/>
      <c r="M335" s="19"/>
    </row>
    <row r="336" spans="2:13">
      <c r="B336" s="1"/>
      <c r="C336" s="1"/>
      <c r="D336" s="1"/>
      <c r="E336" s="1"/>
      <c r="F336" s="1"/>
      <c r="G336" s="1"/>
      <c r="H336" s="1"/>
      <c r="I336" s="1"/>
      <c r="J336" s="1"/>
      <c r="K336" s="1"/>
      <c r="L336" s="27"/>
      <c r="M336" s="19"/>
    </row>
    <row r="337" spans="2:13">
      <c r="B337" s="1"/>
      <c r="C337" s="1"/>
      <c r="D337" s="1"/>
      <c r="E337" s="1"/>
      <c r="F337" s="1"/>
      <c r="G337" s="1"/>
      <c r="H337" s="1"/>
      <c r="I337" s="1"/>
      <c r="J337" s="1"/>
      <c r="K337" s="1"/>
      <c r="L337" s="27"/>
      <c r="M337" s="19"/>
    </row>
    <row r="338" spans="2:13">
      <c r="B338" s="1"/>
      <c r="C338" s="1"/>
      <c r="D338" s="1"/>
      <c r="E338" s="1"/>
      <c r="F338" s="1"/>
      <c r="G338" s="1"/>
      <c r="H338" s="1"/>
      <c r="I338" s="1"/>
      <c r="J338" s="1"/>
      <c r="K338" s="1"/>
      <c r="L338" s="27"/>
      <c r="M338" s="19"/>
    </row>
    <row r="339" spans="2:13">
      <c r="B339" s="1"/>
      <c r="C339" s="1"/>
      <c r="D339" s="1"/>
      <c r="E339" s="1"/>
      <c r="F339" s="1"/>
      <c r="G339" s="1"/>
      <c r="H339" s="1"/>
      <c r="I339" s="1"/>
      <c r="J339" s="1"/>
      <c r="K339" s="1"/>
      <c r="L339" s="27"/>
      <c r="M339" s="19"/>
    </row>
    <row r="340" spans="2:13">
      <c r="B340" s="1"/>
      <c r="C340" s="1"/>
      <c r="D340" s="1"/>
      <c r="E340" s="1"/>
      <c r="F340" s="1"/>
      <c r="G340" s="1"/>
      <c r="H340" s="1"/>
      <c r="I340" s="1"/>
      <c r="J340" s="1"/>
      <c r="K340" s="1"/>
      <c r="L340" s="27"/>
      <c r="M340" s="19"/>
    </row>
    <row r="341" spans="2:13">
      <c r="B341" s="1"/>
      <c r="C341" s="1"/>
      <c r="D341" s="1"/>
      <c r="E341" s="1"/>
      <c r="F341" s="1"/>
      <c r="G341" s="1"/>
      <c r="H341" s="1"/>
      <c r="I341" s="1"/>
      <c r="J341" s="1"/>
      <c r="K341" s="1"/>
      <c r="L341" s="27"/>
      <c r="M341" s="19"/>
    </row>
    <row r="342" spans="2:13">
      <c r="B342" s="1"/>
      <c r="C342" s="1"/>
      <c r="D342" s="1"/>
      <c r="E342" s="1"/>
      <c r="F342" s="1"/>
      <c r="G342" s="1"/>
      <c r="H342" s="1"/>
      <c r="I342" s="1"/>
      <c r="J342" s="1"/>
      <c r="K342" s="1"/>
      <c r="L342" s="27"/>
      <c r="M342" s="19"/>
    </row>
    <row r="343" spans="2:13">
      <c r="B343" s="1"/>
      <c r="C343" s="1"/>
      <c r="D343" s="1"/>
      <c r="E343" s="1"/>
      <c r="F343" s="1"/>
      <c r="G343" s="1"/>
      <c r="H343" s="1"/>
      <c r="I343" s="1"/>
      <c r="J343" s="1"/>
      <c r="K343" s="1"/>
      <c r="L343" s="27"/>
      <c r="M343" s="19"/>
    </row>
    <row r="344" spans="2:13">
      <c r="B344" s="1"/>
      <c r="C344" s="1"/>
      <c r="D344" s="1"/>
      <c r="E344" s="1"/>
      <c r="F344" s="1"/>
      <c r="G344" s="1"/>
      <c r="H344" s="1"/>
      <c r="I344" s="1"/>
      <c r="J344" s="1"/>
      <c r="K344" s="1"/>
      <c r="L344" s="27"/>
      <c r="M344" s="19"/>
    </row>
    <row r="345" spans="2:13">
      <c r="B345" s="1"/>
      <c r="C345" s="1"/>
      <c r="D345" s="1"/>
      <c r="E345" s="1"/>
      <c r="F345" s="1"/>
      <c r="G345" s="1"/>
      <c r="H345" s="1"/>
      <c r="I345" s="1"/>
      <c r="J345" s="1"/>
      <c r="K345" s="1"/>
      <c r="L345" s="27"/>
      <c r="M345" s="19"/>
    </row>
    <row r="346" spans="2:13">
      <c r="B346" s="1"/>
      <c r="C346" s="1"/>
      <c r="D346" s="1"/>
      <c r="E346" s="1"/>
      <c r="F346" s="1"/>
      <c r="G346" s="1"/>
      <c r="H346" s="1"/>
      <c r="I346" s="1"/>
      <c r="J346" s="1"/>
      <c r="K346" s="1"/>
      <c r="L346" s="27"/>
      <c r="M346" s="19"/>
    </row>
    <row r="347" spans="2:13">
      <c r="B347" s="1"/>
      <c r="C347" s="1"/>
      <c r="D347" s="1"/>
      <c r="E347" s="1"/>
      <c r="F347" s="1"/>
      <c r="G347" s="1"/>
      <c r="H347" s="1"/>
      <c r="I347" s="1"/>
      <c r="J347" s="1"/>
      <c r="K347" s="1"/>
      <c r="L347" s="27"/>
      <c r="M347" s="19"/>
    </row>
    <row r="348" spans="2:13">
      <c r="B348" s="1"/>
      <c r="C348" s="1"/>
      <c r="D348" s="1"/>
      <c r="E348" s="1"/>
      <c r="F348" s="1"/>
      <c r="G348" s="1"/>
      <c r="H348" s="1"/>
      <c r="I348" s="1"/>
      <c r="J348" s="1"/>
      <c r="K348" s="1"/>
      <c r="L348" s="27"/>
      <c r="M348" s="19"/>
    </row>
    <row r="349" spans="2:13">
      <c r="B349" s="1"/>
      <c r="C349" s="1"/>
      <c r="D349" s="1"/>
      <c r="E349" s="1"/>
      <c r="F349" s="1"/>
      <c r="G349" s="1"/>
      <c r="H349" s="1"/>
      <c r="I349" s="1"/>
      <c r="J349" s="1"/>
      <c r="K349" s="1"/>
      <c r="L349" s="27"/>
      <c r="M349" s="19"/>
    </row>
    <row r="350" spans="2:13">
      <c r="B350" s="1"/>
      <c r="C350" s="1"/>
      <c r="D350" s="1"/>
      <c r="E350" s="1"/>
      <c r="F350" s="1"/>
      <c r="G350" s="1"/>
      <c r="H350" s="1"/>
      <c r="I350" s="1"/>
      <c r="J350" s="1"/>
      <c r="K350" s="1"/>
      <c r="L350" s="27"/>
      <c r="M350" s="19"/>
    </row>
    <row r="351" spans="2:13">
      <c r="B351" s="1"/>
      <c r="C351" s="1"/>
      <c r="D351" s="1"/>
      <c r="E351" s="1"/>
      <c r="F351" s="1"/>
      <c r="G351" s="1"/>
      <c r="H351" s="1"/>
      <c r="I351" s="1"/>
      <c r="J351" s="1"/>
      <c r="K351" s="1"/>
      <c r="L351" s="27"/>
      <c r="M351" s="19"/>
    </row>
    <row r="352" spans="2:13">
      <c r="B352" s="1"/>
      <c r="C352" s="1"/>
      <c r="D352" s="1"/>
      <c r="E352" s="1"/>
      <c r="F352" s="1"/>
      <c r="G352" s="1"/>
      <c r="H352" s="1"/>
      <c r="I352" s="1"/>
      <c r="J352" s="1"/>
      <c r="K352" s="1"/>
      <c r="L352" s="27"/>
      <c r="M352" s="19"/>
    </row>
    <row r="353" spans="2:13">
      <c r="B353" s="1"/>
      <c r="C353" s="1"/>
      <c r="D353" s="1"/>
      <c r="E353" s="1"/>
      <c r="F353" s="1"/>
      <c r="G353" s="1"/>
      <c r="H353" s="1"/>
      <c r="I353" s="1"/>
      <c r="J353" s="1"/>
      <c r="K353" s="1"/>
      <c r="L353" s="27"/>
      <c r="M353" s="19"/>
    </row>
    <row r="354" spans="2:13">
      <c r="L354" s="19"/>
      <c r="M354" s="19"/>
    </row>
    <row r="355" spans="2:13">
      <c r="L355" s="19"/>
      <c r="M355" s="19"/>
    </row>
  </sheetData>
  <mergeCells count="1">
    <mergeCell ref="J1:L1"/>
  </mergeCells>
  <pageMargins left="0.75" right="0.75" top="1" bottom="1" header="0.5" footer="0.5"/>
  <pageSetup orientation="portrait" horizontalDpi="4294967292" verticalDpi="4294967292"/>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08040"/>
  </sheetPr>
  <dimension ref="A1:N336"/>
  <sheetViews>
    <sheetView topLeftCell="A10" workbookViewId="0">
      <selection activeCell="J15" sqref="J15"/>
    </sheetView>
  </sheetViews>
  <sheetFormatPr defaultColWidth="11" defaultRowHeight="15.75"/>
  <cols>
    <col min="1" max="1" width="30" customWidth="1"/>
    <col min="2" max="2" width="15.125" bestFit="1" customWidth="1"/>
    <col min="3" max="9" width="12.5" bestFit="1" customWidth="1"/>
    <col min="10" max="12" width="13.875" customWidth="1"/>
    <col min="13" max="13" width="12.125" style="190" bestFit="1" customWidth="1"/>
  </cols>
  <sheetData>
    <row r="1" spans="1:14" ht="18.75">
      <c r="A1" s="37" t="s">
        <v>112</v>
      </c>
      <c r="J1" s="494" t="s">
        <v>215</v>
      </c>
      <c r="K1" s="494"/>
      <c r="L1" s="494"/>
    </row>
    <row r="2" spans="1:14">
      <c r="A2" s="2"/>
    </row>
    <row r="3" spans="1:14">
      <c r="A3" s="2"/>
      <c r="B3" s="82" t="s">
        <v>61</v>
      </c>
      <c r="C3" s="82" t="s">
        <v>61</v>
      </c>
      <c r="D3" s="82" t="s">
        <v>61</v>
      </c>
      <c r="E3" s="82" t="s">
        <v>61</v>
      </c>
      <c r="F3" s="82" t="s">
        <v>61</v>
      </c>
      <c r="G3" s="82" t="s">
        <v>61</v>
      </c>
      <c r="H3" s="82" t="s">
        <v>61</v>
      </c>
      <c r="I3" s="82" t="s">
        <v>61</v>
      </c>
      <c r="J3" s="82" t="s">
        <v>61</v>
      </c>
      <c r="K3" s="82" t="s">
        <v>61</v>
      </c>
      <c r="L3" s="82" t="s">
        <v>61</v>
      </c>
    </row>
    <row r="4" spans="1:14">
      <c r="A4" s="2"/>
      <c r="B4" s="30" t="s">
        <v>57</v>
      </c>
      <c r="C4" s="30" t="s">
        <v>57</v>
      </c>
      <c r="D4" s="30" t="s">
        <v>57</v>
      </c>
      <c r="E4" s="30" t="s">
        <v>57</v>
      </c>
      <c r="F4" s="30" t="s">
        <v>57</v>
      </c>
      <c r="G4" s="30" t="s">
        <v>57</v>
      </c>
      <c r="H4" s="30" t="s">
        <v>57</v>
      </c>
      <c r="I4" s="30" t="s">
        <v>57</v>
      </c>
      <c r="J4" s="30" t="s">
        <v>57</v>
      </c>
      <c r="K4" s="30" t="s">
        <v>202</v>
      </c>
      <c r="L4" s="30" t="s">
        <v>58</v>
      </c>
    </row>
    <row r="5" spans="1:14" ht="18.75">
      <c r="A5" s="93" t="s">
        <v>98</v>
      </c>
      <c r="B5" s="2">
        <v>2009</v>
      </c>
      <c r="C5" s="2">
        <v>2010</v>
      </c>
      <c r="D5" s="2">
        <v>2011</v>
      </c>
      <c r="E5" s="2">
        <v>2012</v>
      </c>
      <c r="F5" s="2">
        <v>2013</v>
      </c>
      <c r="G5" s="2">
        <v>2014</v>
      </c>
      <c r="H5" s="2">
        <v>2015</v>
      </c>
      <c r="I5" s="340">
        <v>2016</v>
      </c>
      <c r="J5" s="340">
        <v>2017</v>
      </c>
      <c r="K5" s="340">
        <v>2018</v>
      </c>
      <c r="L5" s="21">
        <v>2019</v>
      </c>
    </row>
    <row r="6" spans="1:14">
      <c r="A6" s="9" t="s">
        <v>100</v>
      </c>
      <c r="B6" s="27">
        <v>7946453</v>
      </c>
      <c r="C6" s="27">
        <v>7788379</v>
      </c>
      <c r="D6" s="27">
        <v>7957074</v>
      </c>
      <c r="E6" s="27">
        <v>9981735</v>
      </c>
      <c r="F6" s="27">
        <v>9632284</v>
      </c>
      <c r="G6" s="27">
        <v>10591320</v>
      </c>
      <c r="H6" s="27">
        <v>9614766</v>
      </c>
      <c r="I6" s="27">
        <v>9413293</v>
      </c>
      <c r="J6" s="27">
        <f>ROUND((18394521-392673)*0.82,0)</f>
        <v>14761515</v>
      </c>
      <c r="K6" s="27">
        <f>ROUND((20073841-1724)*0.82,0)</f>
        <v>16459136</v>
      </c>
      <c r="L6" s="27">
        <f>ROUND(18572917*0.82,0)</f>
        <v>15229792</v>
      </c>
    </row>
    <row r="7" spans="1:14">
      <c r="A7" s="85" t="s">
        <v>93</v>
      </c>
      <c r="B7" s="27">
        <v>0</v>
      </c>
      <c r="C7" s="27">
        <v>0</v>
      </c>
      <c r="D7" s="27">
        <v>0</v>
      </c>
      <c r="E7" s="27">
        <v>0</v>
      </c>
      <c r="F7" s="27">
        <v>0</v>
      </c>
      <c r="G7" s="27">
        <v>0</v>
      </c>
      <c r="H7" s="27">
        <v>0</v>
      </c>
      <c r="I7" s="27">
        <v>0</v>
      </c>
      <c r="J7" s="27">
        <v>0</v>
      </c>
      <c r="K7" s="27">
        <v>0</v>
      </c>
      <c r="L7" s="27">
        <v>0</v>
      </c>
    </row>
    <row r="8" spans="1:14" s="70" customFormat="1">
      <c r="A8" s="86" t="s">
        <v>101</v>
      </c>
      <c r="B8" s="27">
        <v>0</v>
      </c>
      <c r="C8" s="27">
        <v>0</v>
      </c>
      <c r="D8" s="27">
        <v>0</v>
      </c>
      <c r="E8" s="27">
        <v>0</v>
      </c>
      <c r="F8" s="27">
        <v>0</v>
      </c>
      <c r="G8" s="27">
        <v>0</v>
      </c>
      <c r="H8" s="27">
        <v>0</v>
      </c>
      <c r="I8" s="27">
        <v>0</v>
      </c>
      <c r="J8" s="27">
        <v>0</v>
      </c>
      <c r="K8" s="27">
        <v>0</v>
      </c>
      <c r="L8" s="27">
        <v>0</v>
      </c>
      <c r="M8" s="191"/>
    </row>
    <row r="9" spans="1:14">
      <c r="A9" s="73" t="s">
        <v>83</v>
      </c>
      <c r="B9" s="27">
        <v>0</v>
      </c>
      <c r="C9" s="27">
        <v>0</v>
      </c>
      <c r="D9" s="27">
        <v>0</v>
      </c>
      <c r="E9" s="27">
        <v>0</v>
      </c>
      <c r="F9" s="27">
        <v>0</v>
      </c>
      <c r="G9" s="27">
        <v>0</v>
      </c>
      <c r="H9" s="27">
        <v>0</v>
      </c>
      <c r="I9" s="27">
        <v>0</v>
      </c>
      <c r="J9" s="27">
        <v>392673</v>
      </c>
      <c r="K9" s="27">
        <v>1724</v>
      </c>
      <c r="L9" s="27">
        <v>0</v>
      </c>
      <c r="M9" s="173"/>
      <c r="N9" s="1"/>
    </row>
    <row r="10" spans="1:14" ht="16.5" thickBot="1">
      <c r="A10" s="39"/>
      <c r="B10" s="69">
        <v>0</v>
      </c>
      <c r="C10" s="69">
        <v>0</v>
      </c>
      <c r="D10" s="69">
        <v>0</v>
      </c>
      <c r="E10" s="69">
        <v>0</v>
      </c>
      <c r="F10" s="69">
        <v>0</v>
      </c>
      <c r="G10" s="69">
        <v>0</v>
      </c>
      <c r="H10" s="69">
        <v>0</v>
      </c>
      <c r="I10" s="69">
        <v>0</v>
      </c>
      <c r="J10" s="69">
        <v>0</v>
      </c>
      <c r="K10" s="69">
        <v>0</v>
      </c>
      <c r="L10" s="69">
        <v>0</v>
      </c>
      <c r="M10" s="173"/>
      <c r="N10" s="1"/>
    </row>
    <row r="11" spans="1:14">
      <c r="A11" s="95" t="s">
        <v>108</v>
      </c>
      <c r="B11" s="27">
        <f t="shared" ref="B11:L11" si="0">SUM(B6:B10)</f>
        <v>7946453</v>
      </c>
      <c r="C11" s="27">
        <f t="shared" si="0"/>
        <v>7788379</v>
      </c>
      <c r="D11" s="27">
        <f t="shared" si="0"/>
        <v>7957074</v>
      </c>
      <c r="E11" s="27">
        <f t="shared" si="0"/>
        <v>9981735</v>
      </c>
      <c r="F11" s="27">
        <f t="shared" si="0"/>
        <v>9632284</v>
      </c>
      <c r="G11" s="27">
        <f t="shared" si="0"/>
        <v>10591320</v>
      </c>
      <c r="H11" s="27">
        <f t="shared" si="0"/>
        <v>9614766</v>
      </c>
      <c r="I11" s="27">
        <f t="shared" si="0"/>
        <v>9413293</v>
      </c>
      <c r="J11" s="27">
        <f t="shared" si="0"/>
        <v>15154188</v>
      </c>
      <c r="K11" s="27">
        <f t="shared" si="0"/>
        <v>16460860</v>
      </c>
      <c r="L11" s="27">
        <f t="shared" si="0"/>
        <v>15229792</v>
      </c>
      <c r="M11" s="173"/>
      <c r="N11" s="1"/>
    </row>
    <row r="12" spans="1:14">
      <c r="B12" s="19"/>
      <c r="C12" s="19"/>
      <c r="D12" s="19"/>
      <c r="E12" s="19"/>
      <c r="F12" s="19"/>
      <c r="G12" s="19"/>
      <c r="H12" s="19"/>
      <c r="I12" s="19"/>
      <c r="J12" s="19"/>
      <c r="K12" s="19"/>
      <c r="L12" s="19"/>
      <c r="M12" s="173"/>
      <c r="N12" s="1"/>
    </row>
    <row r="13" spans="1:14" s="19" customFormat="1">
      <c r="A13" s="88"/>
      <c r="B13" s="27"/>
      <c r="C13" s="27"/>
      <c r="D13" s="27"/>
      <c r="E13" s="27"/>
      <c r="F13" s="27"/>
      <c r="G13" s="27"/>
      <c r="H13" s="27"/>
      <c r="I13" s="27"/>
      <c r="J13" s="27"/>
      <c r="K13" s="27"/>
      <c r="L13" s="27"/>
      <c r="M13" s="190"/>
    </row>
    <row r="14" spans="1:14" ht="18.75">
      <c r="A14" s="93" t="s">
        <v>73</v>
      </c>
      <c r="B14" s="2">
        <v>2009</v>
      </c>
      <c r="C14" s="2">
        <v>2010</v>
      </c>
      <c r="D14" s="2">
        <v>2011</v>
      </c>
      <c r="E14" s="2">
        <v>2012</v>
      </c>
      <c r="F14" s="2">
        <v>2013</v>
      </c>
      <c r="G14" s="2">
        <v>2014</v>
      </c>
      <c r="H14" s="2">
        <v>2015</v>
      </c>
      <c r="I14" s="340">
        <v>2016</v>
      </c>
      <c r="J14" s="340">
        <v>2017</v>
      </c>
      <c r="K14" s="340">
        <v>2018</v>
      </c>
      <c r="L14" s="340">
        <v>2019</v>
      </c>
    </row>
    <row r="15" spans="1:14">
      <c r="A15" s="10" t="s">
        <v>100</v>
      </c>
      <c r="B15" s="29">
        <v>7946453</v>
      </c>
      <c r="C15" s="27">
        <v>7788379</v>
      </c>
      <c r="D15" s="27">
        <v>7957074</v>
      </c>
      <c r="E15" s="27">
        <v>0</v>
      </c>
      <c r="F15" s="27">
        <v>0</v>
      </c>
      <c r="G15" s="27">
        <v>0</v>
      </c>
      <c r="H15" s="27">
        <v>0</v>
      </c>
      <c r="I15" s="27">
        <v>0</v>
      </c>
      <c r="J15" s="1"/>
      <c r="K15" s="27"/>
      <c r="L15" s="27"/>
    </row>
    <row r="16" spans="1:14">
      <c r="A16" s="10" t="s">
        <v>201</v>
      </c>
      <c r="B16" s="29"/>
      <c r="C16" s="27"/>
      <c r="D16" s="27"/>
      <c r="E16" s="1">
        <v>9691395</v>
      </c>
      <c r="F16" s="1">
        <v>10060884</v>
      </c>
      <c r="G16" s="1">
        <v>10773683</v>
      </c>
      <c r="H16" s="1">
        <v>12010718</v>
      </c>
      <c r="I16" s="1">
        <v>13358679</v>
      </c>
      <c r="J16" s="1">
        <f>ROUND(16404844*0.82,0)</f>
        <v>13451972</v>
      </c>
      <c r="K16" s="27">
        <f>ROUND(18956555*0.82,0)</f>
        <v>15544375</v>
      </c>
      <c r="L16" s="27">
        <f>ROUND(17996513*0.82,0)</f>
        <v>14757141</v>
      </c>
    </row>
    <row r="17" spans="1:14">
      <c r="A17" s="96" t="s">
        <v>93</v>
      </c>
      <c r="B17" s="27">
        <v>0</v>
      </c>
      <c r="C17" s="27">
        <v>0</v>
      </c>
      <c r="D17" s="27">
        <v>0</v>
      </c>
      <c r="E17" s="27">
        <v>0</v>
      </c>
      <c r="F17" s="27">
        <v>0</v>
      </c>
      <c r="G17" s="27">
        <v>0</v>
      </c>
      <c r="H17" s="27">
        <v>0</v>
      </c>
      <c r="I17" s="27">
        <v>0</v>
      </c>
      <c r="J17" s="27">
        <v>0</v>
      </c>
      <c r="K17" s="27">
        <v>0</v>
      </c>
      <c r="L17" s="27">
        <v>0</v>
      </c>
    </row>
    <row r="18" spans="1:14" s="9" customFormat="1">
      <c r="A18" s="94" t="s">
        <v>101</v>
      </c>
      <c r="B18" s="27"/>
      <c r="C18" s="27"/>
      <c r="D18" s="27"/>
      <c r="E18" s="27"/>
      <c r="F18" s="27"/>
      <c r="G18" s="27"/>
      <c r="H18" s="27"/>
      <c r="I18" s="27"/>
      <c r="J18" s="27"/>
      <c r="K18" s="27"/>
      <c r="L18" s="27"/>
      <c r="M18" s="198"/>
    </row>
    <row r="19" spans="1:14">
      <c r="A19" s="73" t="s">
        <v>83</v>
      </c>
      <c r="B19" s="27">
        <v>0</v>
      </c>
      <c r="C19" s="27">
        <v>0</v>
      </c>
      <c r="D19" s="27">
        <v>0</v>
      </c>
      <c r="E19" s="27">
        <v>0</v>
      </c>
      <c r="F19" s="27">
        <v>0</v>
      </c>
      <c r="G19" s="27">
        <v>0</v>
      </c>
      <c r="H19" s="27">
        <v>0</v>
      </c>
      <c r="I19" s="27">
        <v>0</v>
      </c>
      <c r="J19" s="27">
        <v>0</v>
      </c>
      <c r="K19" s="27">
        <v>0</v>
      </c>
      <c r="L19" s="27">
        <v>0</v>
      </c>
    </row>
    <row r="20" spans="1:14" ht="16.5" thickBot="1">
      <c r="A20" s="153" t="s">
        <v>157</v>
      </c>
      <c r="B20" s="69"/>
      <c r="C20" s="69"/>
      <c r="D20" s="69"/>
      <c r="E20" s="69">
        <v>9691395</v>
      </c>
      <c r="F20" s="69">
        <v>10060884</v>
      </c>
      <c r="G20" s="69">
        <v>10773683</v>
      </c>
      <c r="H20" s="69">
        <v>12010718</v>
      </c>
      <c r="I20" s="69">
        <v>13358679</v>
      </c>
      <c r="J20" s="1">
        <f>ROUND(16404844*0.82,0)</f>
        <v>13451972</v>
      </c>
      <c r="K20" s="27">
        <f>ROUND(18956555*0.82,0)</f>
        <v>15544375</v>
      </c>
      <c r="L20" s="27">
        <f>ROUND(17996513*0.82,0)</f>
        <v>14757141</v>
      </c>
      <c r="M20" s="173"/>
      <c r="N20" s="1"/>
    </row>
    <row r="21" spans="1:14">
      <c r="A21" s="95" t="s">
        <v>119</v>
      </c>
      <c r="B21" s="27">
        <f t="shared" ref="B21:L21" si="1">SUM(B15:B20)</f>
        <v>7946453</v>
      </c>
      <c r="C21" s="27">
        <f t="shared" si="1"/>
        <v>7788379</v>
      </c>
      <c r="D21" s="27">
        <f t="shared" si="1"/>
        <v>7957074</v>
      </c>
      <c r="E21" s="27">
        <f t="shared" si="1"/>
        <v>19382790</v>
      </c>
      <c r="F21" s="27">
        <f t="shared" si="1"/>
        <v>20121768</v>
      </c>
      <c r="G21" s="27">
        <f t="shared" si="1"/>
        <v>21547366</v>
      </c>
      <c r="H21" s="27">
        <f t="shared" si="1"/>
        <v>24021436</v>
      </c>
      <c r="I21" s="27">
        <f t="shared" si="1"/>
        <v>26717358</v>
      </c>
      <c r="J21" s="27">
        <f t="shared" si="1"/>
        <v>26903944</v>
      </c>
      <c r="K21" s="27">
        <f t="shared" si="1"/>
        <v>31088750</v>
      </c>
      <c r="L21" s="27">
        <f t="shared" si="1"/>
        <v>29514282</v>
      </c>
      <c r="M21" s="173"/>
      <c r="N21" s="1"/>
    </row>
    <row r="22" spans="1:14">
      <c r="A22" s="198"/>
      <c r="B22" s="173"/>
      <c r="C22" s="173"/>
      <c r="D22" s="173"/>
      <c r="E22" s="173"/>
      <c r="F22" s="173"/>
      <c r="G22" s="173"/>
      <c r="H22" s="173"/>
      <c r="I22" s="173"/>
      <c r="J22" s="173"/>
      <c r="K22" s="173"/>
      <c r="L22" s="173"/>
      <c r="M22" s="173"/>
      <c r="N22" s="1"/>
    </row>
    <row r="23" spans="1:14">
      <c r="A23" s="198"/>
      <c r="B23" s="173"/>
      <c r="C23" s="173"/>
      <c r="D23" s="173"/>
      <c r="E23" s="173"/>
      <c r="F23" s="173"/>
      <c r="G23" s="173"/>
      <c r="H23" s="173"/>
      <c r="I23" s="173"/>
      <c r="J23" s="173"/>
      <c r="K23" s="173"/>
      <c r="L23" s="173"/>
      <c r="M23" s="173"/>
      <c r="N23" s="1"/>
    </row>
    <row r="24" spans="1:14">
      <c r="M24" s="173"/>
      <c r="N24" s="1"/>
    </row>
    <row r="25" spans="1:14">
      <c r="M25" s="173"/>
      <c r="N25" s="1"/>
    </row>
    <row r="26" spans="1:14">
      <c r="B26" s="2">
        <v>2009</v>
      </c>
      <c r="C26" s="2">
        <v>2010</v>
      </c>
      <c r="D26" s="2">
        <v>2011</v>
      </c>
      <c r="E26" s="2">
        <v>2012</v>
      </c>
      <c r="F26" s="2">
        <v>2013</v>
      </c>
      <c r="G26" s="2">
        <v>2014</v>
      </c>
      <c r="H26" s="2">
        <v>2015</v>
      </c>
      <c r="I26" s="340">
        <v>2016</v>
      </c>
      <c r="J26" s="340">
        <v>2017</v>
      </c>
      <c r="K26" s="340">
        <v>2018</v>
      </c>
      <c r="L26" s="340">
        <v>2019</v>
      </c>
      <c r="M26" s="173"/>
      <c r="N26" s="1"/>
    </row>
    <row r="27" spans="1:14">
      <c r="A27" s="2" t="s">
        <v>203</v>
      </c>
      <c r="B27" s="8">
        <f t="shared" ref="B27:L27" si="2">+B21/B28</f>
        <v>125.81066147367088</v>
      </c>
      <c r="C27" s="8">
        <f t="shared" si="2"/>
        <v>114.97119955123853</v>
      </c>
      <c r="D27" s="8">
        <f t="shared" si="2"/>
        <v>115.72074286296011</v>
      </c>
      <c r="E27" s="8">
        <f t="shared" si="2"/>
        <v>279.52856174557621</v>
      </c>
      <c r="F27" s="8">
        <f t="shared" si="2"/>
        <v>285.94241864430865</v>
      </c>
      <c r="G27" s="8">
        <f t="shared" si="2"/>
        <v>303.3686626212567</v>
      </c>
      <c r="H27" s="8">
        <f t="shared" si="2"/>
        <v>327.17837101607194</v>
      </c>
      <c r="I27" s="8">
        <f t="shared" si="2"/>
        <v>359.17668884855817</v>
      </c>
      <c r="J27" s="8">
        <f t="shared" si="2"/>
        <v>354.74609704641352</v>
      </c>
      <c r="K27" s="8">
        <f t="shared" si="2"/>
        <v>402.38085993114339</v>
      </c>
      <c r="L27" s="8">
        <f t="shared" si="2"/>
        <v>373.69311218029878</v>
      </c>
      <c r="M27" s="173"/>
      <c r="N27" s="1"/>
    </row>
    <row r="28" spans="1:14">
      <c r="A28" s="45" t="s">
        <v>21</v>
      </c>
      <c r="B28" s="12">
        <f>+Stats!D4</f>
        <v>63162</v>
      </c>
      <c r="C28" s="12">
        <f>+Stats!E4</f>
        <v>67742</v>
      </c>
      <c r="D28" s="12">
        <f>+Stats!F4</f>
        <v>68761</v>
      </c>
      <c r="E28" s="12">
        <f>+Stats!G4</f>
        <v>69341</v>
      </c>
      <c r="F28" s="12">
        <f>+Stats!H4</f>
        <v>70370</v>
      </c>
      <c r="G28" s="12">
        <f>+Stats!I4</f>
        <v>71027</v>
      </c>
      <c r="H28" s="12">
        <f>+Stats!J4</f>
        <v>73420</v>
      </c>
      <c r="I28" s="12">
        <f>+Stats!K4</f>
        <v>74385</v>
      </c>
      <c r="J28" s="12">
        <f>+Stats!L4</f>
        <v>75840</v>
      </c>
      <c r="K28" s="12">
        <f>+Stats!M4</f>
        <v>77262</v>
      </c>
      <c r="L28" s="12">
        <f>+Stats!N4</f>
        <v>78980</v>
      </c>
      <c r="M28" s="173"/>
      <c r="N28" s="1"/>
    </row>
    <row r="29" spans="1:14">
      <c r="M29" s="173"/>
      <c r="N29" s="1"/>
    </row>
    <row r="30" spans="1:14">
      <c r="A30" s="253" t="s">
        <v>159</v>
      </c>
      <c r="B30" s="1">
        <v>122253.12307692308</v>
      </c>
      <c r="C30" s="1">
        <v>118005.74242424243</v>
      </c>
      <c r="D30" s="1">
        <v>120561.72727272728</v>
      </c>
      <c r="E30" s="1">
        <v>146839.31818181818</v>
      </c>
      <c r="F30" s="1">
        <v>137820.32876712328</v>
      </c>
      <c r="G30" s="1">
        <v>133008.43209876542</v>
      </c>
      <c r="H30" s="1">
        <v>144707.44578313254</v>
      </c>
      <c r="I30" s="1">
        <v>159031.89285714287</v>
      </c>
      <c r="J30" s="1">
        <v>146217.08695652173</v>
      </c>
      <c r="K30" s="1">
        <v>167143.81720430107</v>
      </c>
      <c r="L30" s="1">
        <v>158678.93548387097</v>
      </c>
      <c r="M30" s="173"/>
      <c r="N30" s="1"/>
    </row>
    <row r="31" spans="1:14">
      <c r="A31" s="45" t="s">
        <v>64</v>
      </c>
      <c r="B31" s="34">
        <v>65</v>
      </c>
      <c r="C31" s="34">
        <v>66</v>
      </c>
      <c r="D31" s="34">
        <v>66</v>
      </c>
      <c r="E31" s="34">
        <v>66</v>
      </c>
      <c r="F31" s="34">
        <v>73</v>
      </c>
      <c r="G31" s="34">
        <v>81</v>
      </c>
      <c r="H31" s="34">
        <v>83</v>
      </c>
      <c r="I31" s="34">
        <v>84</v>
      </c>
      <c r="J31" s="34">
        <v>92</v>
      </c>
      <c r="K31" s="34">
        <v>93</v>
      </c>
      <c r="L31" s="34">
        <v>93</v>
      </c>
      <c r="M31" s="173"/>
      <c r="N31" s="1"/>
    </row>
    <row r="32" spans="1:14">
      <c r="M32" s="173"/>
      <c r="N32" s="1"/>
    </row>
    <row r="33" spans="1:14">
      <c r="M33" s="173"/>
      <c r="N33" s="1"/>
    </row>
    <row r="34" spans="1:14">
      <c r="A34" s="190"/>
      <c r="B34" s="190"/>
      <c r="C34" s="190"/>
      <c r="D34" s="190"/>
      <c r="E34" s="190"/>
      <c r="F34" s="190"/>
      <c r="G34" s="190"/>
      <c r="H34" s="190"/>
      <c r="I34" s="190"/>
      <c r="J34" s="190"/>
      <c r="K34" s="190"/>
      <c r="L34" s="190"/>
      <c r="M34" s="173"/>
      <c r="N34" s="1"/>
    </row>
    <row r="35" spans="1:14">
      <c r="A35" s="190"/>
      <c r="B35" s="190"/>
      <c r="C35" s="190"/>
      <c r="D35" s="190"/>
      <c r="E35" s="190"/>
      <c r="F35" s="190"/>
      <c r="G35" s="190"/>
      <c r="H35" s="190"/>
      <c r="I35" s="190"/>
      <c r="J35" s="190"/>
      <c r="K35" s="190"/>
      <c r="L35" s="190"/>
      <c r="M35" s="173"/>
      <c r="N35" s="1"/>
    </row>
    <row r="36" spans="1:14">
      <c r="A36" s="363"/>
      <c r="B36" s="117"/>
      <c r="C36" s="339"/>
      <c r="D36" s="339"/>
      <c r="E36" s="339"/>
      <c r="F36" s="339"/>
      <c r="G36" s="339"/>
      <c r="H36" s="339"/>
      <c r="I36" s="339"/>
      <c r="J36" s="339"/>
      <c r="K36" s="339"/>
      <c r="L36" s="339"/>
      <c r="M36" s="173"/>
      <c r="N36" s="1"/>
    </row>
    <row r="37" spans="1:14">
      <c r="A37" s="368"/>
      <c r="B37" s="117"/>
      <c r="C37" s="117"/>
      <c r="D37" s="117"/>
      <c r="E37" s="117"/>
      <c r="F37" s="117"/>
      <c r="G37" s="117"/>
      <c r="H37" s="117"/>
      <c r="I37" s="117"/>
      <c r="J37" s="117"/>
      <c r="K37" s="117"/>
      <c r="L37" s="339"/>
      <c r="M37" s="173"/>
      <c r="N37" s="1"/>
    </row>
    <row r="38" spans="1:14">
      <c r="A38" s="368"/>
      <c r="B38" s="117"/>
      <c r="C38" s="117"/>
      <c r="D38" s="117"/>
      <c r="E38" s="117"/>
      <c r="F38" s="117"/>
      <c r="G38" s="117"/>
      <c r="H38" s="117"/>
      <c r="I38" s="117"/>
      <c r="J38" s="117"/>
      <c r="K38" s="117"/>
      <c r="L38" s="339"/>
      <c r="M38" s="173"/>
      <c r="N38" s="1"/>
    </row>
    <row r="39" spans="1:14">
      <c r="A39" s="394"/>
      <c r="B39" s="117"/>
      <c r="C39" s="117"/>
      <c r="D39" s="117"/>
      <c r="E39" s="117"/>
      <c r="F39" s="117"/>
      <c r="G39" s="117"/>
      <c r="H39" s="117"/>
      <c r="I39" s="117"/>
      <c r="J39" s="117"/>
      <c r="K39" s="117"/>
      <c r="L39" s="117"/>
      <c r="M39" s="173"/>
      <c r="N39" s="1"/>
    </row>
    <row r="40" spans="1:14">
      <c r="A40" s="368"/>
      <c r="B40" s="117"/>
      <c r="C40" s="117"/>
      <c r="D40" s="117"/>
      <c r="E40" s="117"/>
      <c r="F40" s="117"/>
      <c r="G40" s="117"/>
      <c r="H40" s="117"/>
      <c r="I40" s="117"/>
      <c r="J40" s="117"/>
      <c r="K40" s="117"/>
      <c r="L40" s="339"/>
      <c r="M40" s="173"/>
      <c r="N40" s="1"/>
    </row>
    <row r="41" spans="1:14">
      <c r="A41" s="368"/>
      <c r="B41" s="117"/>
      <c r="C41" s="117"/>
      <c r="D41" s="117"/>
      <c r="E41" s="117"/>
      <c r="F41" s="117"/>
      <c r="G41" s="117"/>
      <c r="H41" s="117"/>
      <c r="I41" s="117"/>
      <c r="J41" s="117"/>
      <c r="K41" s="117"/>
      <c r="L41" s="339"/>
      <c r="M41" s="173"/>
      <c r="N41" s="1"/>
    </row>
    <row r="42" spans="1:14">
      <c r="A42" s="369"/>
      <c r="B42" s="117"/>
      <c r="C42" s="117"/>
      <c r="D42" s="117"/>
      <c r="E42" s="117"/>
      <c r="F42" s="117"/>
      <c r="G42" s="117"/>
      <c r="H42" s="117"/>
      <c r="I42" s="117"/>
      <c r="J42" s="117"/>
      <c r="K42" s="117"/>
      <c r="L42" s="339"/>
      <c r="M42" s="173"/>
      <c r="N42" s="1"/>
    </row>
    <row r="43" spans="1:14">
      <c r="A43" s="359"/>
      <c r="B43" s="117"/>
      <c r="C43" s="117"/>
      <c r="D43" s="117"/>
      <c r="E43" s="117"/>
      <c r="F43" s="117"/>
      <c r="G43" s="117"/>
      <c r="H43" s="117"/>
      <c r="I43" s="117"/>
      <c r="J43" s="117"/>
      <c r="K43" s="117"/>
      <c r="L43" s="117"/>
      <c r="M43" s="173"/>
      <c r="N43" s="1"/>
    </row>
    <row r="44" spans="1:14">
      <c r="A44" s="410"/>
      <c r="B44" s="117"/>
      <c r="C44" s="117"/>
      <c r="D44" s="117"/>
      <c r="E44" s="117"/>
      <c r="F44" s="117"/>
      <c r="G44" s="117"/>
      <c r="H44" s="117"/>
      <c r="I44" s="117"/>
      <c r="J44" s="117"/>
      <c r="K44" s="117"/>
      <c r="L44" s="117"/>
      <c r="M44" s="173"/>
      <c r="N44" s="1"/>
    </row>
    <row r="45" spans="1:14">
      <c r="A45" s="410"/>
      <c r="B45" s="117"/>
      <c r="C45" s="117"/>
      <c r="D45" s="117"/>
      <c r="E45" s="117"/>
      <c r="F45" s="117"/>
      <c r="G45" s="117"/>
      <c r="H45" s="117"/>
      <c r="I45" s="117"/>
      <c r="J45" s="117"/>
      <c r="K45" s="117"/>
      <c r="L45" s="339"/>
      <c r="M45" s="173"/>
      <c r="N45" s="1"/>
    </row>
    <row r="46" spans="1:14">
      <c r="A46" s="410"/>
      <c r="B46" s="117"/>
      <c r="C46" s="117"/>
      <c r="D46" s="117"/>
      <c r="E46" s="117"/>
      <c r="F46" s="117"/>
      <c r="G46" s="117"/>
      <c r="H46" s="117"/>
      <c r="I46" s="117"/>
      <c r="J46" s="117"/>
      <c r="K46" s="117"/>
      <c r="L46" s="339"/>
      <c r="M46" s="173"/>
      <c r="N46" s="1"/>
    </row>
    <row r="47" spans="1:14">
      <c r="A47" s="383"/>
      <c r="B47" s="117"/>
      <c r="C47" s="117"/>
      <c r="D47" s="117"/>
      <c r="E47" s="117"/>
      <c r="F47" s="117"/>
      <c r="G47" s="117"/>
      <c r="H47" s="117"/>
      <c r="I47" s="117"/>
      <c r="J47" s="117"/>
      <c r="K47" s="117"/>
      <c r="L47" s="117"/>
      <c r="M47" s="173"/>
      <c r="N47" s="1"/>
    </row>
    <row r="48" spans="1:14">
      <c r="A48" s="368"/>
      <c r="B48" s="117"/>
      <c r="C48" s="117"/>
      <c r="D48" s="117"/>
      <c r="E48" s="117"/>
      <c r="F48" s="117"/>
      <c r="G48" s="117"/>
      <c r="H48" s="117"/>
      <c r="I48" s="117"/>
      <c r="J48" s="117"/>
      <c r="K48" s="117"/>
      <c r="L48" s="339"/>
      <c r="M48" s="173"/>
      <c r="N48" s="1"/>
    </row>
    <row r="49" spans="1:14">
      <c r="A49" s="412"/>
      <c r="B49" s="117"/>
      <c r="C49" s="117"/>
      <c r="D49" s="117"/>
      <c r="E49" s="117"/>
      <c r="F49" s="117"/>
      <c r="G49" s="117"/>
      <c r="H49" s="117"/>
      <c r="I49" s="117"/>
      <c r="J49" s="117"/>
      <c r="K49" s="117"/>
      <c r="L49" s="339"/>
      <c r="M49" s="173"/>
      <c r="N49" s="1"/>
    </row>
    <row r="50" spans="1:14">
      <c r="A50" s="366"/>
      <c r="B50" s="117"/>
      <c r="C50" s="117"/>
      <c r="D50" s="117"/>
      <c r="E50" s="117"/>
      <c r="F50" s="117"/>
      <c r="G50" s="117"/>
      <c r="H50" s="117"/>
      <c r="I50" s="117"/>
      <c r="J50" s="117"/>
      <c r="K50" s="117"/>
      <c r="L50" s="117"/>
      <c r="M50" s="173"/>
      <c r="N50" s="1"/>
    </row>
    <row r="51" spans="1:14">
      <c r="A51" s="394"/>
      <c r="B51" s="117"/>
      <c r="C51" s="117"/>
      <c r="D51" s="117"/>
      <c r="E51" s="117"/>
      <c r="F51" s="117"/>
      <c r="G51" s="117"/>
      <c r="H51" s="117"/>
      <c r="I51" s="117"/>
      <c r="J51" s="117"/>
      <c r="K51" s="117"/>
      <c r="L51" s="117"/>
      <c r="M51" s="173"/>
      <c r="N51" s="1"/>
    </row>
    <row r="52" spans="1:14">
      <c r="A52" s="413"/>
      <c r="B52" s="117"/>
      <c r="C52" s="117"/>
      <c r="D52" s="117"/>
      <c r="E52" s="117"/>
      <c r="F52" s="117"/>
      <c r="G52" s="117"/>
      <c r="H52" s="117"/>
      <c r="I52" s="117"/>
      <c r="J52" s="117"/>
      <c r="K52" s="117"/>
      <c r="L52" s="117"/>
      <c r="M52" s="173"/>
      <c r="N52" s="1"/>
    </row>
    <row r="53" spans="1:14">
      <c r="A53" s="369"/>
      <c r="B53" s="117"/>
      <c r="C53" s="117"/>
      <c r="D53" s="117"/>
      <c r="E53" s="117"/>
      <c r="F53" s="117"/>
      <c r="G53" s="117"/>
      <c r="H53" s="117"/>
      <c r="I53" s="117"/>
      <c r="J53" s="117"/>
      <c r="K53" s="117"/>
      <c r="L53" s="117"/>
      <c r="M53" s="173"/>
      <c r="N53" s="1"/>
    </row>
    <row r="54" spans="1:14">
      <c r="A54" s="369"/>
      <c r="B54" s="117"/>
      <c r="C54" s="117"/>
      <c r="D54" s="117"/>
      <c r="E54" s="117"/>
      <c r="F54" s="117"/>
      <c r="G54" s="117"/>
      <c r="H54" s="117"/>
      <c r="I54" s="117"/>
      <c r="J54" s="117"/>
      <c r="K54" s="117"/>
      <c r="L54" s="117"/>
      <c r="M54" s="173"/>
      <c r="N54" s="1"/>
    </row>
    <row r="55" spans="1:14" ht="16.5" customHeight="1">
      <c r="A55" s="414"/>
      <c r="B55" s="117"/>
      <c r="C55" s="117"/>
      <c r="D55" s="117"/>
      <c r="E55" s="117"/>
      <c r="F55" s="117"/>
      <c r="G55" s="117"/>
      <c r="H55" s="117"/>
      <c r="I55" s="117"/>
      <c r="J55" s="117"/>
      <c r="K55" s="117"/>
      <c r="L55" s="117"/>
      <c r="M55" s="173"/>
      <c r="N55" s="1"/>
    </row>
    <row r="56" spans="1:14">
      <c r="A56" s="368"/>
      <c r="B56" s="117"/>
      <c r="C56" s="117"/>
      <c r="D56" s="117"/>
      <c r="E56" s="117"/>
      <c r="F56" s="117"/>
      <c r="G56" s="117"/>
      <c r="H56" s="117"/>
      <c r="I56" s="117"/>
      <c r="J56" s="117"/>
      <c r="K56" s="117"/>
      <c r="L56" s="339"/>
      <c r="M56" s="173"/>
      <c r="N56" s="1"/>
    </row>
    <row r="57" spans="1:14">
      <c r="A57" s="368"/>
      <c r="B57" s="165"/>
      <c r="C57" s="165"/>
      <c r="D57" s="165"/>
      <c r="E57" s="165"/>
      <c r="F57" s="165"/>
      <c r="G57" s="165"/>
      <c r="H57" s="165"/>
      <c r="I57" s="211"/>
      <c r="J57" s="211"/>
      <c r="K57" s="211"/>
      <c r="L57" s="211"/>
      <c r="M57" s="173"/>
      <c r="N57" s="1"/>
    </row>
    <row r="58" spans="1:14">
      <c r="A58" s="356"/>
      <c r="B58" s="117"/>
      <c r="C58" s="117"/>
      <c r="D58" s="117"/>
      <c r="E58" s="117"/>
      <c r="F58" s="117"/>
      <c r="G58" s="117"/>
      <c r="H58" s="117"/>
      <c r="I58" s="117"/>
      <c r="J58" s="117"/>
      <c r="K58" s="117"/>
      <c r="L58" s="117"/>
      <c r="M58" s="173"/>
      <c r="N58" s="1"/>
    </row>
    <row r="59" spans="1:14">
      <c r="A59" s="356"/>
      <c r="B59" s="117"/>
      <c r="C59" s="117"/>
      <c r="D59" s="117"/>
      <c r="E59" s="117"/>
      <c r="F59" s="117"/>
      <c r="G59" s="117"/>
      <c r="H59" s="117"/>
      <c r="I59" s="117"/>
      <c r="J59" s="117"/>
      <c r="K59" s="117"/>
      <c r="L59" s="117"/>
      <c r="M59" s="173"/>
      <c r="N59" s="1"/>
    </row>
    <row r="60" spans="1:14">
      <c r="A60" s="163"/>
      <c r="B60" s="117"/>
      <c r="C60" s="117"/>
      <c r="D60" s="117"/>
      <c r="E60" s="117"/>
      <c r="F60" s="117"/>
      <c r="G60" s="117"/>
      <c r="H60" s="117"/>
      <c r="I60" s="117"/>
      <c r="J60" s="117"/>
      <c r="K60" s="117"/>
      <c r="L60" s="117"/>
      <c r="M60" s="173"/>
      <c r="N60" s="1"/>
    </row>
    <row r="61" spans="1:14">
      <c r="A61" s="163"/>
      <c r="B61" s="163"/>
      <c r="C61" s="163"/>
      <c r="D61" s="163"/>
      <c r="E61" s="163"/>
      <c r="F61" s="163"/>
      <c r="G61" s="163"/>
      <c r="H61" s="163"/>
      <c r="I61" s="163"/>
      <c r="J61" s="163"/>
      <c r="K61" s="163"/>
      <c r="L61" s="163"/>
    </row>
    <row r="62" spans="1:14">
      <c r="A62" s="357"/>
      <c r="B62" s="163"/>
      <c r="C62" s="163"/>
      <c r="D62" s="163"/>
      <c r="E62" s="163"/>
      <c r="F62" s="163"/>
      <c r="G62" s="163"/>
      <c r="H62" s="163"/>
      <c r="I62" s="163"/>
      <c r="J62" s="163"/>
      <c r="K62" s="163"/>
      <c r="L62" s="163"/>
      <c r="M62" s="173"/>
      <c r="N62" s="1"/>
    </row>
    <row r="63" spans="1:14">
      <c r="A63" s="357"/>
      <c r="B63" s="117"/>
      <c r="C63" s="117"/>
      <c r="D63" s="117"/>
      <c r="E63" s="117"/>
      <c r="F63" s="117"/>
      <c r="G63" s="117"/>
      <c r="H63" s="117"/>
      <c r="I63" s="117"/>
      <c r="J63" s="117"/>
      <c r="K63" s="117"/>
      <c r="L63" s="117"/>
      <c r="M63" s="173"/>
      <c r="N63" s="1"/>
    </row>
    <row r="64" spans="1:14">
      <c r="A64" s="357"/>
      <c r="B64" s="358"/>
      <c r="C64" s="358"/>
      <c r="D64" s="358"/>
      <c r="E64" s="358"/>
      <c r="F64" s="358"/>
      <c r="G64" s="358"/>
      <c r="H64" s="358"/>
      <c r="I64" s="358"/>
      <c r="J64" s="358"/>
      <c r="K64" s="358"/>
      <c r="L64" s="358"/>
      <c r="M64" s="173"/>
      <c r="N64" s="1"/>
    </row>
    <row r="65" spans="1:14">
      <c r="A65" s="359"/>
      <c r="B65" s="360"/>
      <c r="C65" s="360"/>
      <c r="D65" s="360"/>
      <c r="E65" s="360"/>
      <c r="F65" s="360"/>
      <c r="G65" s="360"/>
      <c r="H65" s="360"/>
      <c r="I65" s="360"/>
      <c r="J65" s="360"/>
      <c r="K65" s="360"/>
      <c r="L65" s="360"/>
      <c r="M65" s="173"/>
      <c r="N65" s="1"/>
    </row>
    <row r="66" spans="1:14">
      <c r="A66" s="359"/>
      <c r="B66" s="360"/>
      <c r="C66" s="360"/>
      <c r="D66" s="360"/>
      <c r="E66" s="360"/>
      <c r="F66" s="360"/>
      <c r="G66" s="360"/>
      <c r="H66" s="360"/>
      <c r="I66" s="360"/>
      <c r="J66" s="360"/>
      <c r="K66" s="360"/>
      <c r="L66" s="360"/>
      <c r="M66" s="173"/>
      <c r="N66" s="1"/>
    </row>
    <row r="67" spans="1:14">
      <c r="A67" s="359"/>
      <c r="B67" s="360"/>
      <c r="C67" s="360"/>
      <c r="D67" s="360"/>
      <c r="E67" s="360"/>
      <c r="F67" s="360"/>
      <c r="G67" s="360"/>
      <c r="H67" s="360"/>
      <c r="I67" s="360"/>
      <c r="J67" s="360"/>
      <c r="K67" s="360"/>
      <c r="L67" s="360"/>
      <c r="M67" s="173"/>
      <c r="N67" s="1"/>
    </row>
    <row r="68" spans="1:14" s="17" customFormat="1">
      <c r="A68" s="359"/>
      <c r="B68" s="360"/>
      <c r="C68" s="360"/>
      <c r="D68" s="360"/>
      <c r="E68" s="360"/>
      <c r="F68" s="360"/>
      <c r="G68" s="360"/>
      <c r="H68" s="360"/>
      <c r="I68" s="360"/>
      <c r="J68" s="360"/>
      <c r="K68" s="360"/>
      <c r="L68" s="360"/>
      <c r="M68" s="197"/>
      <c r="N68" s="33"/>
    </row>
    <row r="69" spans="1:14">
      <c r="A69" s="361"/>
      <c r="B69" s="362"/>
      <c r="C69" s="362"/>
      <c r="D69" s="362"/>
      <c r="E69" s="362"/>
      <c r="F69" s="362"/>
      <c r="G69" s="362"/>
      <c r="H69" s="362"/>
      <c r="I69" s="362"/>
      <c r="J69" s="362"/>
      <c r="K69" s="362"/>
      <c r="L69" s="362"/>
      <c r="M69" s="173"/>
      <c r="N69" s="1"/>
    </row>
    <row r="70" spans="1:14">
      <c r="A70" s="363"/>
      <c r="B70" s="358"/>
      <c r="C70" s="237"/>
      <c r="D70" s="237"/>
      <c r="E70" s="237"/>
      <c r="F70" s="237"/>
      <c r="G70" s="237"/>
      <c r="H70" s="237"/>
      <c r="I70" s="237"/>
      <c r="J70" s="237"/>
      <c r="K70" s="237"/>
      <c r="L70" s="237"/>
      <c r="M70" s="173"/>
      <c r="N70" s="1"/>
    </row>
    <row r="71" spans="1:14">
      <c r="A71" s="242"/>
      <c r="B71" s="358"/>
      <c r="C71" s="237"/>
      <c r="D71" s="237"/>
      <c r="E71" s="237"/>
      <c r="F71" s="237"/>
      <c r="G71" s="237"/>
      <c r="H71" s="237"/>
      <c r="I71" s="237"/>
      <c r="J71" s="237"/>
      <c r="K71" s="237"/>
      <c r="L71" s="237"/>
      <c r="M71" s="173"/>
      <c r="N71" s="1"/>
    </row>
    <row r="72" spans="1:14">
      <c r="A72" s="163"/>
      <c r="B72" s="117"/>
      <c r="C72" s="117"/>
      <c r="D72" s="117"/>
      <c r="E72" s="117"/>
      <c r="F72" s="117"/>
      <c r="G72" s="117"/>
      <c r="H72" s="117"/>
      <c r="I72" s="117"/>
      <c r="J72" s="117"/>
      <c r="K72" s="117"/>
      <c r="L72" s="117"/>
      <c r="M72" s="173"/>
      <c r="N72" s="1"/>
    </row>
    <row r="73" spans="1:14" ht="18.75">
      <c r="A73" s="364"/>
      <c r="B73" s="165"/>
      <c r="C73" s="165"/>
      <c r="D73" s="165"/>
      <c r="E73" s="165"/>
      <c r="F73" s="165"/>
      <c r="G73" s="165"/>
      <c r="H73" s="165"/>
      <c r="I73" s="211"/>
      <c r="J73" s="211"/>
      <c r="K73" s="211"/>
      <c r="L73" s="211"/>
      <c r="M73" s="173"/>
      <c r="N73" s="1"/>
    </row>
    <row r="74" spans="1:14">
      <c r="A74" s="165"/>
      <c r="B74" s="365"/>
      <c r="C74" s="365"/>
      <c r="D74" s="365"/>
      <c r="E74" s="365"/>
      <c r="F74" s="365"/>
      <c r="G74" s="365"/>
      <c r="H74" s="365"/>
      <c r="I74" s="365"/>
      <c r="J74" s="365"/>
      <c r="K74" s="365"/>
      <c r="L74" s="365"/>
      <c r="M74" s="173"/>
      <c r="N74" s="1"/>
    </row>
    <row r="75" spans="1:14">
      <c r="A75" s="163"/>
      <c r="B75" s="117"/>
      <c r="C75" s="117"/>
      <c r="D75" s="117"/>
      <c r="E75" s="117"/>
      <c r="F75" s="117"/>
      <c r="G75" s="117"/>
      <c r="H75" s="117"/>
      <c r="I75" s="117"/>
      <c r="J75" s="117"/>
      <c r="K75" s="117"/>
      <c r="L75" s="117"/>
      <c r="M75" s="173"/>
      <c r="N75" s="1"/>
    </row>
    <row r="76" spans="1:14">
      <c r="A76" s="163"/>
      <c r="B76" s="117"/>
      <c r="C76" s="117"/>
      <c r="D76" s="117"/>
      <c r="E76" s="117"/>
      <c r="F76" s="117"/>
      <c r="G76" s="117"/>
      <c r="H76" s="117"/>
      <c r="I76" s="117"/>
      <c r="J76" s="117"/>
      <c r="K76" s="117"/>
      <c r="L76" s="117"/>
      <c r="M76" s="173"/>
      <c r="N76" s="1"/>
    </row>
    <row r="77" spans="1:14" hidden="1">
      <c r="A77" s="359"/>
      <c r="B77" s="117"/>
      <c r="C77" s="117"/>
      <c r="D77" s="117"/>
      <c r="E77" s="117"/>
      <c r="F77" s="117"/>
      <c r="G77" s="117"/>
      <c r="H77" s="117"/>
      <c r="I77" s="117"/>
      <c r="J77" s="117"/>
      <c r="K77" s="117"/>
      <c r="L77" s="117"/>
      <c r="M77" s="173"/>
      <c r="N77" s="1"/>
    </row>
    <row r="78" spans="1:14" hidden="1">
      <c r="A78" s="359"/>
      <c r="B78" s="117"/>
      <c r="C78" s="117"/>
      <c r="D78" s="117"/>
      <c r="E78" s="117"/>
      <c r="F78" s="117"/>
      <c r="G78" s="117"/>
      <c r="H78" s="117"/>
      <c r="I78" s="117"/>
      <c r="J78" s="117"/>
      <c r="K78" s="117"/>
      <c r="L78" s="117"/>
      <c r="M78" s="173"/>
      <c r="N78" s="1"/>
    </row>
    <row r="79" spans="1:14" hidden="1">
      <c r="A79" s="359"/>
      <c r="B79" s="117"/>
      <c r="C79" s="117"/>
      <c r="D79" s="117"/>
      <c r="E79" s="117"/>
      <c r="F79" s="117"/>
      <c r="G79" s="117"/>
      <c r="H79" s="117"/>
      <c r="I79" s="117"/>
      <c r="J79" s="117"/>
      <c r="K79" s="117"/>
      <c r="L79" s="117"/>
      <c r="M79" s="173"/>
      <c r="N79" s="1"/>
    </row>
    <row r="80" spans="1:14" hidden="1">
      <c r="A80" s="359"/>
      <c r="B80" s="117"/>
      <c r="C80" s="117"/>
      <c r="D80" s="117"/>
      <c r="E80" s="117"/>
      <c r="F80" s="117"/>
      <c r="G80" s="117"/>
      <c r="H80" s="117"/>
      <c r="I80" s="117"/>
      <c r="J80" s="117"/>
      <c r="K80" s="117"/>
      <c r="L80" s="117"/>
      <c r="M80" s="173"/>
      <c r="N80" s="1"/>
    </row>
    <row r="81" spans="1:14">
      <c r="A81" s="357"/>
      <c r="B81" s="117"/>
      <c r="C81" s="117"/>
      <c r="D81" s="117"/>
      <c r="E81" s="117"/>
      <c r="F81" s="117"/>
      <c r="G81" s="117"/>
      <c r="H81" s="117"/>
      <c r="I81" s="117"/>
      <c r="J81" s="117"/>
      <c r="K81" s="117"/>
      <c r="L81" s="117"/>
      <c r="M81" s="173"/>
      <c r="N81" s="1"/>
    </row>
    <row r="82" spans="1:14">
      <c r="A82" s="163"/>
      <c r="B82" s="117"/>
      <c r="C82" s="117"/>
      <c r="D82" s="117"/>
      <c r="E82" s="117"/>
      <c r="F82" s="117"/>
      <c r="G82" s="117"/>
      <c r="H82" s="117"/>
      <c r="I82" s="117"/>
      <c r="J82" s="117"/>
      <c r="K82" s="117"/>
      <c r="L82" s="117"/>
      <c r="M82" s="173"/>
      <c r="N82" s="1"/>
    </row>
    <row r="83" spans="1:14">
      <c r="A83" s="163"/>
      <c r="B83" s="117"/>
      <c r="C83" s="117"/>
      <c r="D83" s="117"/>
      <c r="E83" s="117"/>
      <c r="F83" s="117"/>
      <c r="G83" s="117"/>
      <c r="H83" s="117"/>
      <c r="I83" s="117"/>
      <c r="J83" s="117"/>
      <c r="K83" s="117"/>
      <c r="L83" s="117"/>
      <c r="M83" s="173"/>
      <c r="N83" s="1"/>
    </row>
    <row r="84" spans="1:14">
      <c r="A84" s="163"/>
      <c r="B84" s="159"/>
      <c r="C84" s="159"/>
      <c r="D84" s="159"/>
      <c r="E84" s="159"/>
      <c r="F84" s="159"/>
      <c r="G84" s="159"/>
      <c r="H84" s="159"/>
      <c r="I84" s="159"/>
      <c r="J84" s="159"/>
      <c r="K84" s="159"/>
      <c r="L84" s="159"/>
      <c r="M84" s="173"/>
      <c r="N84" s="1"/>
    </row>
    <row r="85" spans="1:14">
      <c r="A85" s="163"/>
      <c r="B85" s="159"/>
      <c r="C85" s="159"/>
      <c r="D85" s="159"/>
      <c r="E85" s="159"/>
      <c r="F85" s="159"/>
      <c r="G85" s="159"/>
      <c r="H85" s="159"/>
      <c r="I85" s="159"/>
      <c r="J85" s="159"/>
      <c r="K85" s="159"/>
      <c r="L85" s="159"/>
      <c r="M85" s="173"/>
      <c r="N85" s="1"/>
    </row>
    <row r="86" spans="1:14">
      <c r="A86" s="163"/>
      <c r="B86" s="117"/>
      <c r="C86" s="117"/>
      <c r="D86" s="117"/>
      <c r="E86" s="117"/>
      <c r="F86" s="117"/>
      <c r="G86" s="117"/>
      <c r="H86" s="117"/>
      <c r="I86" s="117"/>
      <c r="J86" s="117"/>
      <c r="K86" s="117"/>
      <c r="L86" s="117"/>
      <c r="M86" s="173"/>
      <c r="N86" s="1"/>
    </row>
    <row r="87" spans="1:14">
      <c r="A87" s="163"/>
      <c r="B87" s="117"/>
      <c r="C87" s="117"/>
      <c r="D87" s="117"/>
      <c r="E87" s="117"/>
      <c r="F87" s="117"/>
      <c r="G87" s="117"/>
      <c r="H87" s="117"/>
      <c r="I87" s="117"/>
      <c r="J87" s="117"/>
      <c r="K87" s="117"/>
      <c r="L87" s="117"/>
      <c r="M87" s="173"/>
      <c r="N87" s="1"/>
    </row>
    <row r="88" spans="1:14">
      <c r="A88" s="163"/>
      <c r="B88" s="117"/>
      <c r="C88" s="117"/>
      <c r="D88" s="117"/>
      <c r="E88" s="117"/>
      <c r="F88" s="117"/>
      <c r="G88" s="117"/>
      <c r="H88" s="117"/>
      <c r="I88" s="117"/>
      <c r="J88" s="117"/>
      <c r="K88" s="117"/>
      <c r="L88" s="117"/>
      <c r="M88" s="173"/>
      <c r="N88" s="1"/>
    </row>
    <row r="89" spans="1:14">
      <c r="A89" s="163"/>
      <c r="B89" s="163"/>
      <c r="C89" s="163"/>
      <c r="D89" s="163"/>
      <c r="E89" s="163"/>
      <c r="F89" s="163"/>
      <c r="G89" s="163"/>
      <c r="H89" s="163"/>
      <c r="I89" s="163"/>
      <c r="J89" s="163"/>
      <c r="K89" s="163"/>
      <c r="L89" s="163"/>
      <c r="M89" s="27"/>
      <c r="N89" s="1"/>
    </row>
    <row r="90" spans="1:14">
      <c r="A90" s="163"/>
      <c r="B90" s="163"/>
      <c r="C90" s="163"/>
      <c r="D90" s="163"/>
      <c r="E90" s="163"/>
      <c r="F90" s="163"/>
      <c r="G90" s="163"/>
      <c r="H90" s="163"/>
      <c r="I90" s="163"/>
      <c r="J90" s="163"/>
      <c r="K90" s="163"/>
      <c r="L90" s="163"/>
      <c r="M90" s="27"/>
      <c r="N90" s="1"/>
    </row>
    <row r="91" spans="1:14">
      <c r="A91" s="163"/>
      <c r="B91" s="163"/>
      <c r="C91" s="163"/>
      <c r="D91" s="163"/>
      <c r="E91" s="163"/>
      <c r="F91" s="163"/>
      <c r="G91" s="163"/>
      <c r="H91" s="163"/>
      <c r="I91" s="163"/>
      <c r="J91" s="163"/>
      <c r="K91" s="163"/>
      <c r="L91" s="163"/>
      <c r="M91" s="27"/>
      <c r="N91" s="1"/>
    </row>
    <row r="92" spans="1:14">
      <c r="A92" s="163"/>
      <c r="B92" s="163"/>
      <c r="C92" s="163"/>
      <c r="D92" s="163"/>
      <c r="E92" s="163"/>
      <c r="F92" s="163"/>
      <c r="G92" s="163"/>
      <c r="H92" s="163"/>
      <c r="I92" s="163"/>
      <c r="J92" s="163"/>
      <c r="K92" s="163"/>
      <c r="L92" s="163"/>
      <c r="M92" s="27"/>
      <c r="N92" s="1"/>
    </row>
    <row r="93" spans="1:14">
      <c r="A93" s="163"/>
      <c r="B93" s="117"/>
      <c r="C93" s="117"/>
      <c r="D93" s="117"/>
      <c r="E93" s="117"/>
      <c r="F93" s="117"/>
      <c r="G93" s="117"/>
      <c r="H93" s="117"/>
      <c r="I93" s="117"/>
      <c r="J93" s="117"/>
      <c r="K93" s="117"/>
      <c r="L93" s="117"/>
      <c r="M93" s="27"/>
      <c r="N93" s="1"/>
    </row>
    <row r="94" spans="1:14">
      <c r="A94" s="163"/>
      <c r="B94" s="117"/>
      <c r="C94" s="117"/>
      <c r="D94" s="117"/>
      <c r="E94" s="117"/>
      <c r="F94" s="117"/>
      <c r="G94" s="117"/>
      <c r="H94" s="117"/>
      <c r="I94" s="117"/>
      <c r="J94" s="117"/>
      <c r="K94" s="117"/>
      <c r="L94" s="117"/>
      <c r="M94" s="27"/>
      <c r="N94" s="1"/>
    </row>
    <row r="95" spans="1:14">
      <c r="A95" s="163"/>
      <c r="B95" s="117"/>
      <c r="C95" s="117"/>
      <c r="D95" s="117"/>
      <c r="E95" s="117"/>
      <c r="F95" s="117"/>
      <c r="G95" s="117"/>
      <c r="H95" s="117"/>
      <c r="I95" s="117"/>
      <c r="J95" s="117"/>
      <c r="K95" s="117"/>
      <c r="L95" s="117"/>
      <c r="M95" s="27"/>
      <c r="N95" s="1"/>
    </row>
    <row r="96" spans="1:14">
      <c r="A96" s="163"/>
      <c r="B96" s="117"/>
      <c r="C96" s="117"/>
      <c r="D96" s="117"/>
      <c r="E96" s="117"/>
      <c r="F96" s="117"/>
      <c r="G96" s="117"/>
      <c r="H96" s="117"/>
      <c r="I96" s="117"/>
      <c r="J96" s="117"/>
      <c r="K96" s="117"/>
      <c r="L96" s="117"/>
      <c r="M96" s="27"/>
      <c r="N96" s="1"/>
    </row>
    <row r="97" spans="1:14">
      <c r="A97" s="163"/>
      <c r="B97" s="117"/>
      <c r="C97" s="117"/>
      <c r="D97" s="117"/>
      <c r="E97" s="117"/>
      <c r="F97" s="117"/>
      <c r="G97" s="117"/>
      <c r="H97" s="117"/>
      <c r="I97" s="117"/>
      <c r="J97" s="117"/>
      <c r="K97" s="117"/>
      <c r="L97" s="117"/>
      <c r="M97" s="27"/>
      <c r="N97" s="1"/>
    </row>
    <row r="98" spans="1:14">
      <c r="A98" s="163"/>
      <c r="B98" s="117"/>
      <c r="C98" s="117"/>
      <c r="D98" s="117"/>
      <c r="E98" s="117"/>
      <c r="F98" s="117"/>
      <c r="G98" s="117"/>
      <c r="H98" s="117"/>
      <c r="I98" s="117"/>
      <c r="J98" s="117"/>
      <c r="K98" s="117"/>
      <c r="L98" s="117"/>
      <c r="M98" s="27"/>
      <c r="N98" s="1"/>
    </row>
    <row r="99" spans="1:14">
      <c r="A99" s="163"/>
      <c r="B99" s="117"/>
      <c r="C99" s="117"/>
      <c r="D99" s="117"/>
      <c r="E99" s="117"/>
      <c r="F99" s="117"/>
      <c r="G99" s="117"/>
      <c r="H99" s="117"/>
      <c r="I99" s="117"/>
      <c r="J99" s="117"/>
      <c r="K99" s="117"/>
      <c r="L99" s="117"/>
      <c r="M99" s="27"/>
      <c r="N99" s="1"/>
    </row>
    <row r="100" spans="1:14">
      <c r="A100" s="163"/>
      <c r="B100" s="117"/>
      <c r="C100" s="117"/>
      <c r="D100" s="117"/>
      <c r="E100" s="117"/>
      <c r="F100" s="117"/>
      <c r="G100" s="117"/>
      <c r="H100" s="117"/>
      <c r="I100" s="117"/>
      <c r="J100" s="117"/>
      <c r="K100" s="117"/>
      <c r="L100" s="117"/>
      <c r="M100" s="27"/>
      <c r="N100" s="1"/>
    </row>
    <row r="101" spans="1:14">
      <c r="A101" s="163"/>
      <c r="B101" s="117"/>
      <c r="C101" s="117"/>
      <c r="D101" s="117"/>
      <c r="E101" s="117"/>
      <c r="F101" s="117"/>
      <c r="G101" s="117"/>
      <c r="H101" s="117"/>
      <c r="I101" s="117"/>
      <c r="J101" s="117"/>
      <c r="K101" s="117"/>
      <c r="L101" s="117"/>
      <c r="M101" s="27"/>
      <c r="N101" s="1"/>
    </row>
    <row r="102" spans="1:14">
      <c r="A102" s="163"/>
      <c r="B102" s="117"/>
      <c r="C102" s="117"/>
      <c r="D102" s="117"/>
      <c r="E102" s="117"/>
      <c r="F102" s="117"/>
      <c r="G102" s="117"/>
      <c r="H102" s="117"/>
      <c r="I102" s="117"/>
      <c r="J102" s="117"/>
      <c r="K102" s="117"/>
      <c r="L102" s="117"/>
      <c r="M102" s="27"/>
      <c r="N102" s="1"/>
    </row>
    <row r="103" spans="1:14">
      <c r="A103" s="163"/>
      <c r="B103" s="117"/>
      <c r="C103" s="117"/>
      <c r="D103" s="117"/>
      <c r="E103" s="117"/>
      <c r="F103" s="117"/>
      <c r="G103" s="117"/>
      <c r="H103" s="117"/>
      <c r="I103" s="117"/>
      <c r="J103" s="117"/>
      <c r="K103" s="117"/>
      <c r="L103" s="117"/>
      <c r="M103" s="27"/>
      <c r="N103" s="1"/>
    </row>
    <row r="104" spans="1:14">
      <c r="A104" s="163"/>
      <c r="B104" s="117"/>
      <c r="C104" s="117"/>
      <c r="D104" s="117"/>
      <c r="E104" s="117"/>
      <c r="F104" s="117"/>
      <c r="G104" s="117"/>
      <c r="H104" s="117"/>
      <c r="I104" s="117"/>
      <c r="J104" s="117"/>
      <c r="K104" s="117"/>
      <c r="L104" s="117"/>
      <c r="M104" s="27"/>
      <c r="N104" s="1"/>
    </row>
    <row r="105" spans="1:14">
      <c r="A105" s="163"/>
      <c r="B105" s="117"/>
      <c r="C105" s="117"/>
      <c r="D105" s="117"/>
      <c r="E105" s="117"/>
      <c r="F105" s="117"/>
      <c r="G105" s="117"/>
      <c r="H105" s="117"/>
      <c r="I105" s="117"/>
      <c r="J105" s="117"/>
      <c r="K105" s="117"/>
      <c r="L105" s="117"/>
      <c r="M105" s="27"/>
      <c r="N105" s="1"/>
    </row>
    <row r="106" spans="1:14">
      <c r="A106" s="163"/>
      <c r="B106" s="117"/>
      <c r="C106" s="117"/>
      <c r="D106" s="117"/>
      <c r="E106" s="117"/>
      <c r="F106" s="117"/>
      <c r="G106" s="117"/>
      <c r="H106" s="117"/>
      <c r="I106" s="117"/>
      <c r="J106" s="117"/>
      <c r="K106" s="117"/>
      <c r="L106" s="117"/>
      <c r="M106" s="27"/>
      <c r="N106" s="1"/>
    </row>
    <row r="107" spans="1:14">
      <c r="A107" s="163"/>
      <c r="B107" s="117"/>
      <c r="C107" s="117"/>
      <c r="D107" s="117"/>
      <c r="E107" s="117"/>
      <c r="F107" s="117"/>
      <c r="G107" s="117"/>
      <c r="H107" s="117"/>
      <c r="I107" s="117"/>
      <c r="J107" s="117"/>
      <c r="K107" s="117"/>
      <c r="L107" s="117"/>
      <c r="M107" s="27"/>
      <c r="N107" s="1"/>
    </row>
    <row r="108" spans="1:14">
      <c r="A108" s="163"/>
      <c r="B108" s="117"/>
      <c r="C108" s="117"/>
      <c r="D108" s="117"/>
      <c r="E108" s="117"/>
      <c r="F108" s="117"/>
      <c r="G108" s="117"/>
      <c r="H108" s="117"/>
      <c r="I108" s="117"/>
      <c r="J108" s="117"/>
      <c r="K108" s="117"/>
      <c r="L108" s="117"/>
      <c r="M108" s="27"/>
      <c r="N108" s="1"/>
    </row>
    <row r="109" spans="1:14">
      <c r="A109" s="163"/>
      <c r="B109" s="117"/>
      <c r="C109" s="117"/>
      <c r="D109" s="117"/>
      <c r="E109" s="117"/>
      <c r="F109" s="117"/>
      <c r="G109" s="117"/>
      <c r="H109" s="117"/>
      <c r="I109" s="117"/>
      <c r="J109" s="117"/>
      <c r="K109" s="117"/>
      <c r="L109" s="117"/>
      <c r="M109" s="27"/>
      <c r="N109" s="1"/>
    </row>
    <row r="110" spans="1:14">
      <c r="A110" s="163"/>
      <c r="B110" s="117"/>
      <c r="C110" s="117"/>
      <c r="D110" s="117"/>
      <c r="E110" s="117"/>
      <c r="F110" s="117"/>
      <c r="G110" s="117"/>
      <c r="H110" s="117"/>
      <c r="I110" s="117"/>
      <c r="J110" s="117"/>
      <c r="K110" s="117"/>
      <c r="L110" s="117"/>
      <c r="M110" s="27"/>
      <c r="N110" s="1"/>
    </row>
    <row r="111" spans="1:14">
      <c r="A111" s="163"/>
      <c r="B111" s="117"/>
      <c r="C111" s="117"/>
      <c r="D111" s="117"/>
      <c r="E111" s="117"/>
      <c r="F111" s="117"/>
      <c r="G111" s="117"/>
      <c r="H111" s="117"/>
      <c r="I111" s="117"/>
      <c r="J111" s="117"/>
      <c r="K111" s="117"/>
      <c r="L111" s="117"/>
      <c r="M111" s="27"/>
      <c r="N111" s="1"/>
    </row>
    <row r="112" spans="1:14">
      <c r="A112" s="163"/>
      <c r="B112" s="163"/>
      <c r="C112" s="163"/>
      <c r="D112" s="163"/>
      <c r="E112" s="163"/>
      <c r="F112" s="163"/>
      <c r="G112" s="163"/>
      <c r="H112" s="163"/>
      <c r="I112" s="163"/>
      <c r="J112" s="163"/>
      <c r="K112" s="163"/>
      <c r="L112" s="163"/>
      <c r="M112" s="27"/>
      <c r="N112" s="1"/>
    </row>
    <row r="113" spans="1:14">
      <c r="A113" s="163"/>
      <c r="B113" s="163"/>
      <c r="C113" s="163"/>
      <c r="D113" s="163"/>
      <c r="E113" s="163"/>
      <c r="F113" s="163"/>
      <c r="G113" s="163"/>
      <c r="H113" s="163"/>
      <c r="I113" s="163"/>
      <c r="J113" s="163"/>
      <c r="K113" s="163"/>
      <c r="L113" s="163"/>
      <c r="M113" s="27"/>
      <c r="N113" s="1"/>
    </row>
    <row r="114" spans="1:14">
      <c r="M114" s="27"/>
      <c r="N114" s="1"/>
    </row>
    <row r="115" spans="1:14">
      <c r="M115" s="27"/>
      <c r="N115" s="1"/>
    </row>
    <row r="116" spans="1:14">
      <c r="M116" s="27"/>
      <c r="N116" s="1"/>
    </row>
    <row r="117" spans="1:14">
      <c r="M117" s="27"/>
      <c r="N117" s="1"/>
    </row>
    <row r="118" spans="1:14">
      <c r="B118" s="1"/>
      <c r="C118" s="1"/>
      <c r="D118" s="1"/>
      <c r="E118" s="1"/>
      <c r="F118" s="1"/>
      <c r="G118" s="1"/>
      <c r="H118" s="1"/>
      <c r="I118" s="1"/>
      <c r="J118" s="1"/>
      <c r="K118" s="1"/>
      <c r="L118" s="1"/>
      <c r="M118" s="27"/>
      <c r="N118" s="1"/>
    </row>
    <row r="119" spans="1:14">
      <c r="B119" s="1"/>
      <c r="C119" s="1"/>
      <c r="D119" s="1"/>
      <c r="E119" s="1"/>
      <c r="F119" s="1"/>
      <c r="G119" s="1"/>
      <c r="H119" s="1"/>
      <c r="I119" s="1"/>
      <c r="J119" s="1"/>
      <c r="K119" s="1"/>
      <c r="L119" s="1"/>
      <c r="M119" s="27"/>
      <c r="N119" s="1"/>
    </row>
    <row r="120" spans="1:14">
      <c r="B120" s="1"/>
      <c r="C120" s="1"/>
      <c r="D120" s="1"/>
      <c r="E120" s="1"/>
      <c r="F120" s="1"/>
      <c r="G120" s="1"/>
      <c r="H120" s="1"/>
      <c r="I120" s="1"/>
      <c r="J120" s="1"/>
      <c r="K120" s="1"/>
      <c r="L120" s="1"/>
      <c r="M120" s="27"/>
      <c r="N120" s="1"/>
    </row>
    <row r="121" spans="1:14">
      <c r="B121" s="1"/>
      <c r="C121" s="1"/>
      <c r="D121" s="1"/>
      <c r="E121" s="1"/>
      <c r="F121" s="1"/>
      <c r="G121" s="1"/>
      <c r="H121" s="1"/>
      <c r="I121" s="1"/>
      <c r="J121" s="1"/>
      <c r="K121" s="1"/>
      <c r="L121" s="1"/>
      <c r="M121" s="27"/>
      <c r="N121" s="1"/>
    </row>
    <row r="122" spans="1:14">
      <c r="B122" s="1"/>
      <c r="C122" s="1"/>
      <c r="D122" s="1"/>
      <c r="E122" s="1"/>
      <c r="F122" s="1"/>
      <c r="G122" s="1"/>
      <c r="H122" s="1"/>
      <c r="I122" s="1"/>
      <c r="J122" s="1"/>
      <c r="K122" s="1"/>
      <c r="L122" s="1"/>
      <c r="M122" s="27"/>
      <c r="N122" s="1"/>
    </row>
    <row r="123" spans="1:14">
      <c r="B123" s="1"/>
      <c r="C123" s="1"/>
      <c r="D123" s="1"/>
      <c r="E123" s="1"/>
      <c r="F123" s="1"/>
      <c r="G123" s="1"/>
      <c r="H123" s="1"/>
      <c r="I123" s="1"/>
      <c r="J123" s="1"/>
      <c r="K123" s="1"/>
      <c r="L123" s="1"/>
      <c r="M123" s="27"/>
      <c r="N123" s="1"/>
    </row>
    <row r="124" spans="1:14">
      <c r="B124" s="1"/>
      <c r="C124" s="1"/>
      <c r="D124" s="1"/>
      <c r="E124" s="1"/>
      <c r="F124" s="1"/>
      <c r="G124" s="1"/>
      <c r="H124" s="1"/>
      <c r="I124" s="1"/>
      <c r="J124" s="1"/>
      <c r="K124" s="1"/>
      <c r="L124" s="1"/>
      <c r="M124" s="27"/>
      <c r="N124" s="1"/>
    </row>
    <row r="125" spans="1:14">
      <c r="B125" s="1"/>
      <c r="C125" s="1"/>
      <c r="D125" s="1"/>
      <c r="E125" s="1"/>
      <c r="F125" s="1"/>
      <c r="G125" s="1"/>
      <c r="H125" s="1"/>
      <c r="I125" s="1"/>
      <c r="J125" s="1"/>
      <c r="K125" s="1"/>
      <c r="L125" s="1"/>
      <c r="M125" s="27"/>
      <c r="N125" s="1"/>
    </row>
    <row r="126" spans="1:14">
      <c r="B126" s="1"/>
      <c r="C126" s="1"/>
      <c r="D126" s="1"/>
      <c r="E126" s="1"/>
      <c r="F126" s="1"/>
      <c r="G126" s="1"/>
      <c r="H126" s="1"/>
      <c r="I126" s="1"/>
      <c r="J126" s="1"/>
      <c r="K126" s="1"/>
      <c r="L126" s="1"/>
      <c r="M126" s="27"/>
      <c r="N126" s="1"/>
    </row>
    <row r="127" spans="1:14">
      <c r="B127" s="1"/>
      <c r="C127" s="1"/>
      <c r="D127" s="1"/>
      <c r="E127" s="1"/>
      <c r="F127" s="1"/>
      <c r="G127" s="1"/>
      <c r="H127" s="1"/>
      <c r="I127" s="1"/>
      <c r="J127" s="1"/>
      <c r="K127" s="1"/>
      <c r="L127" s="1"/>
      <c r="M127" s="27"/>
      <c r="N127" s="1"/>
    </row>
    <row r="128" spans="1:14">
      <c r="B128" s="1"/>
      <c r="C128" s="1"/>
      <c r="D128" s="1"/>
      <c r="E128" s="1"/>
      <c r="F128" s="1"/>
      <c r="G128" s="1"/>
      <c r="H128" s="1"/>
      <c r="I128" s="1"/>
      <c r="J128" s="1"/>
      <c r="K128" s="1"/>
      <c r="L128" s="1"/>
      <c r="M128" s="27"/>
      <c r="N128" s="1"/>
    </row>
    <row r="129" spans="2:14">
      <c r="B129" s="1"/>
      <c r="C129" s="1"/>
      <c r="D129" s="1"/>
      <c r="E129" s="1"/>
      <c r="F129" s="1"/>
      <c r="G129" s="1"/>
      <c r="H129" s="1"/>
      <c r="I129" s="1"/>
      <c r="J129" s="1"/>
      <c r="K129" s="1"/>
      <c r="L129" s="1"/>
      <c r="M129" s="27"/>
      <c r="N129" s="1"/>
    </row>
    <row r="130" spans="2:14">
      <c r="B130" s="1"/>
      <c r="C130" s="1"/>
      <c r="D130" s="1"/>
      <c r="E130" s="1"/>
      <c r="F130" s="1"/>
      <c r="G130" s="1"/>
      <c r="H130" s="1"/>
      <c r="I130" s="1"/>
      <c r="J130" s="1"/>
      <c r="K130" s="1"/>
      <c r="L130" s="1"/>
      <c r="M130" s="27"/>
      <c r="N130" s="1"/>
    </row>
    <row r="131" spans="2:14">
      <c r="B131" s="1"/>
      <c r="C131" s="1"/>
      <c r="D131" s="1"/>
      <c r="E131" s="1"/>
      <c r="F131" s="1"/>
      <c r="G131" s="1"/>
      <c r="H131" s="1"/>
      <c r="I131" s="1"/>
      <c r="J131" s="1"/>
      <c r="K131" s="1"/>
      <c r="L131" s="1"/>
      <c r="M131" s="27"/>
      <c r="N131" s="1"/>
    </row>
    <row r="132" spans="2:14">
      <c r="B132" s="1"/>
      <c r="C132" s="1"/>
      <c r="D132" s="1"/>
      <c r="E132" s="1"/>
      <c r="F132" s="1"/>
      <c r="G132" s="1"/>
      <c r="H132" s="1"/>
      <c r="I132" s="1"/>
      <c r="J132" s="1"/>
      <c r="K132" s="1"/>
      <c r="L132" s="1"/>
      <c r="M132" s="27"/>
      <c r="N132" s="1"/>
    </row>
    <row r="133" spans="2:14">
      <c r="B133" s="1"/>
      <c r="C133" s="1"/>
      <c r="D133" s="1"/>
      <c r="E133" s="1"/>
      <c r="F133" s="1"/>
      <c r="G133" s="1"/>
      <c r="H133" s="1"/>
      <c r="I133" s="1"/>
      <c r="J133" s="1"/>
      <c r="K133" s="1"/>
      <c r="L133" s="1"/>
      <c r="M133" s="27"/>
      <c r="N133" s="1"/>
    </row>
    <row r="134" spans="2:14">
      <c r="B134" s="1"/>
      <c r="C134" s="1"/>
      <c r="D134" s="1"/>
      <c r="E134" s="1"/>
      <c r="F134" s="1"/>
      <c r="G134" s="1"/>
      <c r="H134" s="1"/>
      <c r="I134" s="1"/>
      <c r="J134" s="1"/>
      <c r="K134" s="1"/>
      <c r="L134" s="1"/>
      <c r="M134" s="27"/>
      <c r="N134" s="1"/>
    </row>
    <row r="135" spans="2:14">
      <c r="B135" s="1"/>
      <c r="C135" s="1"/>
      <c r="D135" s="1"/>
      <c r="E135" s="1"/>
      <c r="F135" s="1"/>
      <c r="G135" s="1"/>
      <c r="H135" s="1"/>
      <c r="I135" s="1"/>
      <c r="J135" s="1"/>
      <c r="K135" s="1"/>
      <c r="L135" s="1"/>
      <c r="M135" s="27"/>
      <c r="N135" s="1"/>
    </row>
    <row r="136" spans="2:14">
      <c r="B136" s="1"/>
      <c r="C136" s="1"/>
      <c r="D136" s="1"/>
      <c r="E136" s="1"/>
      <c r="F136" s="1"/>
      <c r="G136" s="1"/>
      <c r="H136" s="1"/>
      <c r="I136" s="1"/>
      <c r="J136" s="1"/>
      <c r="K136" s="1"/>
      <c r="L136" s="1"/>
      <c r="M136" s="27"/>
      <c r="N136" s="1"/>
    </row>
    <row r="137" spans="2:14">
      <c r="B137" s="1"/>
      <c r="C137" s="1"/>
      <c r="D137" s="1"/>
      <c r="E137" s="1"/>
      <c r="F137" s="1"/>
      <c r="G137" s="1"/>
      <c r="H137" s="1"/>
      <c r="I137" s="1"/>
      <c r="J137" s="1"/>
      <c r="K137" s="1"/>
      <c r="L137" s="1"/>
      <c r="M137" s="27"/>
      <c r="N137" s="1"/>
    </row>
    <row r="138" spans="2:14">
      <c r="B138" s="1"/>
      <c r="C138" s="1"/>
      <c r="D138" s="1"/>
      <c r="E138" s="1"/>
      <c r="F138" s="1"/>
      <c r="G138" s="1"/>
      <c r="H138" s="1"/>
      <c r="I138" s="1"/>
      <c r="J138" s="1"/>
      <c r="K138" s="1"/>
      <c r="L138" s="1"/>
      <c r="M138" s="27"/>
      <c r="N138" s="1"/>
    </row>
    <row r="139" spans="2:14">
      <c r="B139" s="1"/>
      <c r="C139" s="1"/>
      <c r="D139" s="1"/>
      <c r="E139" s="1"/>
      <c r="F139" s="1"/>
      <c r="G139" s="1"/>
      <c r="H139" s="1"/>
      <c r="I139" s="1"/>
      <c r="J139" s="1"/>
      <c r="K139" s="1"/>
      <c r="L139" s="1"/>
      <c r="M139" s="27"/>
      <c r="N139" s="1"/>
    </row>
    <row r="140" spans="2:14">
      <c r="B140" s="1"/>
      <c r="C140" s="1"/>
      <c r="D140" s="1"/>
      <c r="E140" s="1"/>
      <c r="F140" s="1"/>
      <c r="G140" s="1"/>
      <c r="H140" s="1"/>
      <c r="I140" s="1"/>
      <c r="J140" s="1"/>
      <c r="K140" s="1"/>
      <c r="L140" s="1"/>
      <c r="M140" s="27"/>
      <c r="N140" s="1"/>
    </row>
    <row r="141" spans="2:14">
      <c r="B141" s="1"/>
      <c r="C141" s="1"/>
      <c r="D141" s="1"/>
      <c r="E141" s="1"/>
      <c r="F141" s="1"/>
      <c r="G141" s="1"/>
      <c r="H141" s="1"/>
      <c r="I141" s="1"/>
      <c r="J141" s="1"/>
      <c r="K141" s="1"/>
      <c r="L141" s="1"/>
      <c r="M141" s="27"/>
      <c r="N141" s="1"/>
    </row>
    <row r="142" spans="2:14">
      <c r="B142" s="1"/>
      <c r="C142" s="1"/>
      <c r="D142" s="1"/>
      <c r="E142" s="1"/>
      <c r="F142" s="1"/>
      <c r="G142" s="1"/>
      <c r="H142" s="1"/>
      <c r="I142" s="1"/>
      <c r="J142" s="1"/>
      <c r="K142" s="1"/>
      <c r="L142" s="1"/>
      <c r="M142" s="27"/>
      <c r="N142" s="1"/>
    </row>
    <row r="143" spans="2:14">
      <c r="B143" s="1"/>
      <c r="C143" s="1"/>
      <c r="D143" s="1"/>
      <c r="E143" s="1"/>
      <c r="F143" s="1"/>
      <c r="G143" s="1"/>
      <c r="H143" s="1"/>
      <c r="I143" s="1"/>
      <c r="J143" s="1"/>
      <c r="K143" s="1"/>
      <c r="L143" s="1"/>
      <c r="M143" s="27"/>
      <c r="N143" s="1"/>
    </row>
    <row r="144" spans="2:14">
      <c r="B144" s="1"/>
      <c r="C144" s="1"/>
      <c r="D144" s="1"/>
      <c r="E144" s="1"/>
      <c r="F144" s="1"/>
      <c r="G144" s="1"/>
      <c r="H144" s="1"/>
      <c r="I144" s="1"/>
      <c r="J144" s="1"/>
      <c r="K144" s="1"/>
      <c r="L144" s="1"/>
      <c r="M144" s="27"/>
      <c r="N144" s="1"/>
    </row>
    <row r="145" spans="2:14">
      <c r="B145" s="1"/>
      <c r="C145" s="1"/>
      <c r="D145" s="1"/>
      <c r="E145" s="1"/>
      <c r="F145" s="1"/>
      <c r="G145" s="1"/>
      <c r="H145" s="1"/>
      <c r="I145" s="1"/>
      <c r="J145" s="1"/>
      <c r="K145" s="1"/>
      <c r="L145" s="1"/>
      <c r="M145" s="27"/>
      <c r="N145" s="1"/>
    </row>
    <row r="146" spans="2:14">
      <c r="B146" s="1"/>
      <c r="C146" s="1"/>
      <c r="D146" s="1"/>
      <c r="E146" s="1"/>
      <c r="F146" s="1"/>
      <c r="G146" s="1"/>
      <c r="H146" s="1"/>
      <c r="I146" s="1"/>
      <c r="J146" s="1"/>
      <c r="K146" s="1"/>
      <c r="L146" s="1"/>
      <c r="M146" s="27"/>
      <c r="N146" s="1"/>
    </row>
    <row r="147" spans="2:14">
      <c r="B147" s="1"/>
      <c r="C147" s="1"/>
      <c r="D147" s="1"/>
      <c r="E147" s="1"/>
      <c r="F147" s="1"/>
      <c r="G147" s="1"/>
      <c r="H147" s="1"/>
      <c r="I147" s="1"/>
      <c r="J147" s="1"/>
      <c r="K147" s="1"/>
      <c r="L147" s="1"/>
      <c r="M147" s="27"/>
      <c r="N147" s="1"/>
    </row>
    <row r="148" spans="2:14">
      <c r="B148" s="1"/>
      <c r="C148" s="1"/>
      <c r="D148" s="1"/>
      <c r="E148" s="1"/>
      <c r="F148" s="1"/>
      <c r="G148" s="1"/>
      <c r="H148" s="1"/>
      <c r="I148" s="1"/>
      <c r="J148" s="1"/>
      <c r="K148" s="1"/>
      <c r="L148" s="1"/>
      <c r="M148" s="27"/>
      <c r="N148" s="1"/>
    </row>
    <row r="149" spans="2:14">
      <c r="B149" s="1"/>
      <c r="C149" s="1"/>
      <c r="D149" s="1"/>
      <c r="E149" s="1"/>
      <c r="F149" s="1"/>
      <c r="G149" s="1"/>
      <c r="H149" s="1"/>
      <c r="I149" s="1"/>
      <c r="J149" s="1"/>
      <c r="K149" s="1"/>
      <c r="L149" s="1"/>
      <c r="M149" s="27"/>
      <c r="N149" s="1"/>
    </row>
    <row r="150" spans="2:14">
      <c r="B150" s="1"/>
      <c r="C150" s="1"/>
      <c r="D150" s="1"/>
      <c r="E150" s="1"/>
      <c r="F150" s="1"/>
      <c r="G150" s="1"/>
      <c r="H150" s="1"/>
      <c r="I150" s="1"/>
      <c r="J150" s="1"/>
      <c r="K150" s="1"/>
      <c r="L150" s="1"/>
      <c r="M150" s="27"/>
      <c r="N150" s="1"/>
    </row>
    <row r="151" spans="2:14">
      <c r="B151" s="1"/>
      <c r="C151" s="1"/>
      <c r="D151" s="1"/>
      <c r="E151" s="1"/>
      <c r="F151" s="1"/>
      <c r="G151" s="1"/>
      <c r="H151" s="1"/>
      <c r="I151" s="1"/>
      <c r="J151" s="1"/>
      <c r="K151" s="1"/>
      <c r="L151" s="1"/>
      <c r="M151" s="27"/>
      <c r="N151" s="1"/>
    </row>
    <row r="152" spans="2:14">
      <c r="B152" s="1"/>
      <c r="C152" s="1"/>
      <c r="D152" s="1"/>
      <c r="E152" s="1"/>
      <c r="F152" s="1"/>
      <c r="G152" s="1"/>
      <c r="H152" s="1"/>
      <c r="I152" s="1"/>
      <c r="J152" s="1"/>
      <c r="K152" s="1"/>
      <c r="L152" s="1"/>
      <c r="M152" s="27"/>
      <c r="N152" s="1"/>
    </row>
    <row r="153" spans="2:14">
      <c r="B153" s="1"/>
      <c r="C153" s="1"/>
      <c r="D153" s="1"/>
      <c r="E153" s="1"/>
      <c r="F153" s="1"/>
      <c r="G153" s="1"/>
      <c r="H153" s="1"/>
      <c r="I153" s="1"/>
      <c r="J153" s="1"/>
      <c r="K153" s="1"/>
      <c r="L153" s="1"/>
      <c r="M153" s="27"/>
      <c r="N153" s="1"/>
    </row>
    <row r="154" spans="2:14">
      <c r="B154" s="1"/>
      <c r="C154" s="1"/>
      <c r="D154" s="1"/>
      <c r="E154" s="1"/>
      <c r="F154" s="1"/>
      <c r="G154" s="1"/>
      <c r="H154" s="1"/>
      <c r="I154" s="1"/>
      <c r="J154" s="1"/>
      <c r="K154" s="1"/>
      <c r="L154" s="1"/>
      <c r="M154" s="27"/>
      <c r="N154" s="1"/>
    </row>
    <row r="155" spans="2:14">
      <c r="B155" s="1"/>
      <c r="C155" s="1"/>
      <c r="D155" s="1"/>
      <c r="E155" s="1"/>
      <c r="F155" s="1"/>
      <c r="G155" s="1"/>
      <c r="H155" s="1"/>
      <c r="I155" s="1"/>
      <c r="J155" s="1"/>
      <c r="K155" s="1"/>
      <c r="L155" s="1"/>
      <c r="M155" s="27"/>
      <c r="N155" s="1"/>
    </row>
    <row r="156" spans="2:14">
      <c r="B156" s="1"/>
      <c r="C156" s="1"/>
      <c r="D156" s="1"/>
      <c r="E156" s="1"/>
      <c r="F156" s="1"/>
      <c r="G156" s="1"/>
      <c r="H156" s="1"/>
      <c r="I156" s="1"/>
      <c r="J156" s="1"/>
      <c r="K156" s="1"/>
      <c r="L156" s="1"/>
      <c r="M156" s="27"/>
      <c r="N156" s="1"/>
    </row>
    <row r="157" spans="2:14">
      <c r="B157" s="1"/>
      <c r="C157" s="1"/>
      <c r="D157" s="1"/>
      <c r="E157" s="1"/>
      <c r="F157" s="1"/>
      <c r="G157" s="1"/>
      <c r="H157" s="1"/>
      <c r="I157" s="1"/>
      <c r="J157" s="1"/>
      <c r="K157" s="1"/>
      <c r="L157" s="1"/>
      <c r="M157" s="27"/>
      <c r="N157" s="1"/>
    </row>
    <row r="158" spans="2:14">
      <c r="B158" s="1"/>
      <c r="C158" s="1"/>
      <c r="D158" s="1"/>
      <c r="E158" s="1"/>
      <c r="F158" s="1"/>
      <c r="G158" s="1"/>
      <c r="H158" s="1"/>
      <c r="I158" s="1"/>
      <c r="J158" s="1"/>
      <c r="K158" s="1"/>
      <c r="L158" s="1"/>
      <c r="M158" s="27"/>
      <c r="N158" s="1"/>
    </row>
    <row r="159" spans="2:14">
      <c r="B159" s="1"/>
      <c r="C159" s="1"/>
      <c r="D159" s="1"/>
      <c r="E159" s="1"/>
      <c r="F159" s="1"/>
      <c r="G159" s="1"/>
      <c r="H159" s="1"/>
      <c r="I159" s="1"/>
      <c r="J159" s="1"/>
      <c r="K159" s="1"/>
      <c r="L159" s="1"/>
      <c r="M159" s="27"/>
      <c r="N159" s="1"/>
    </row>
    <row r="160" spans="2:14">
      <c r="B160" s="1"/>
      <c r="C160" s="1"/>
      <c r="D160" s="1"/>
      <c r="E160" s="1"/>
      <c r="F160" s="1"/>
      <c r="G160" s="1"/>
      <c r="H160" s="1"/>
      <c r="I160" s="1"/>
      <c r="J160" s="1"/>
      <c r="K160" s="1"/>
      <c r="L160" s="1"/>
      <c r="M160" s="27"/>
      <c r="N160" s="1"/>
    </row>
    <row r="161" spans="2:14">
      <c r="B161" s="1"/>
      <c r="C161" s="1"/>
      <c r="D161" s="1"/>
      <c r="E161" s="1"/>
      <c r="F161" s="1"/>
      <c r="G161" s="1"/>
      <c r="H161" s="1"/>
      <c r="I161" s="1"/>
      <c r="J161" s="1"/>
      <c r="K161" s="1"/>
      <c r="L161" s="1"/>
      <c r="M161" s="27"/>
      <c r="N161" s="1"/>
    </row>
    <row r="162" spans="2:14">
      <c r="B162" s="1"/>
      <c r="C162" s="1"/>
      <c r="D162" s="1"/>
      <c r="E162" s="1"/>
      <c r="F162" s="1"/>
      <c r="G162" s="1"/>
      <c r="H162" s="1"/>
      <c r="I162" s="1"/>
      <c r="J162" s="1"/>
      <c r="K162" s="1"/>
      <c r="L162" s="1"/>
      <c r="M162" s="27"/>
      <c r="N162" s="1"/>
    </row>
    <row r="163" spans="2:14">
      <c r="B163" s="1"/>
      <c r="C163" s="1"/>
      <c r="D163" s="1"/>
      <c r="E163" s="1"/>
      <c r="F163" s="1"/>
      <c r="G163" s="1"/>
      <c r="H163" s="1"/>
      <c r="I163" s="1"/>
      <c r="J163" s="1"/>
      <c r="K163" s="1"/>
      <c r="L163" s="1"/>
      <c r="M163" s="27"/>
      <c r="N163" s="1"/>
    </row>
    <row r="164" spans="2:14">
      <c r="B164" s="1"/>
      <c r="C164" s="1"/>
      <c r="D164" s="1"/>
      <c r="E164" s="1"/>
      <c r="F164" s="1"/>
      <c r="G164" s="1"/>
      <c r="H164" s="1"/>
      <c r="I164" s="1"/>
      <c r="J164" s="1"/>
      <c r="K164" s="1"/>
      <c r="L164" s="1"/>
      <c r="M164" s="27"/>
      <c r="N164" s="1"/>
    </row>
    <row r="165" spans="2:14">
      <c r="B165" s="1"/>
      <c r="C165" s="1"/>
      <c r="D165" s="1"/>
      <c r="E165" s="1"/>
      <c r="F165" s="1"/>
      <c r="G165" s="1"/>
      <c r="H165" s="1"/>
      <c r="I165" s="1"/>
      <c r="J165" s="1"/>
      <c r="K165" s="1"/>
      <c r="L165" s="1"/>
      <c r="M165" s="27"/>
      <c r="N165" s="1"/>
    </row>
    <row r="166" spans="2:14">
      <c r="B166" s="1"/>
      <c r="C166" s="1"/>
      <c r="D166" s="1"/>
      <c r="E166" s="1"/>
      <c r="F166" s="1"/>
      <c r="G166" s="1"/>
      <c r="H166" s="1"/>
      <c r="I166" s="1"/>
      <c r="J166" s="1"/>
      <c r="K166" s="1"/>
      <c r="L166" s="1"/>
      <c r="M166" s="27"/>
      <c r="N166" s="1"/>
    </row>
    <row r="167" spans="2:14">
      <c r="B167" s="1"/>
      <c r="C167" s="1"/>
      <c r="D167" s="1"/>
      <c r="E167" s="1"/>
      <c r="F167" s="1"/>
      <c r="G167" s="1"/>
      <c r="H167" s="1"/>
      <c r="I167" s="1"/>
      <c r="J167" s="1"/>
      <c r="K167" s="1"/>
      <c r="L167" s="1"/>
      <c r="M167" s="27"/>
      <c r="N167" s="1"/>
    </row>
    <row r="168" spans="2:14">
      <c r="B168" s="1"/>
      <c r="C168" s="1"/>
      <c r="D168" s="1"/>
      <c r="E168" s="1"/>
      <c r="F168" s="1"/>
      <c r="G168" s="1"/>
      <c r="H168" s="1"/>
      <c r="I168" s="1"/>
      <c r="J168" s="1"/>
      <c r="K168" s="1"/>
      <c r="L168" s="1"/>
      <c r="M168" s="27"/>
      <c r="N168" s="1"/>
    </row>
    <row r="169" spans="2:14">
      <c r="B169" s="1"/>
      <c r="C169" s="1"/>
      <c r="D169" s="1"/>
      <c r="E169" s="1"/>
      <c r="F169" s="1"/>
      <c r="G169" s="1"/>
      <c r="H169" s="1"/>
      <c r="I169" s="1"/>
      <c r="J169" s="1"/>
      <c r="K169" s="1"/>
      <c r="L169" s="1"/>
      <c r="M169" s="27"/>
      <c r="N169" s="1"/>
    </row>
    <row r="170" spans="2:14">
      <c r="B170" s="1"/>
      <c r="C170" s="1"/>
      <c r="D170" s="1"/>
      <c r="E170" s="1"/>
      <c r="F170" s="1"/>
      <c r="G170" s="1"/>
      <c r="H170" s="1"/>
      <c r="I170" s="1"/>
      <c r="J170" s="1"/>
      <c r="K170" s="1"/>
      <c r="L170" s="1"/>
      <c r="M170" s="27"/>
      <c r="N170" s="1"/>
    </row>
    <row r="171" spans="2:14">
      <c r="B171" s="1"/>
      <c r="C171" s="1"/>
      <c r="D171" s="1"/>
      <c r="E171" s="1"/>
      <c r="F171" s="1"/>
      <c r="G171" s="1"/>
      <c r="H171" s="1"/>
      <c r="I171" s="1"/>
      <c r="J171" s="1"/>
      <c r="K171" s="1"/>
      <c r="L171" s="1"/>
      <c r="M171" s="27"/>
      <c r="N171" s="1"/>
    </row>
    <row r="172" spans="2:14">
      <c r="B172" s="1"/>
      <c r="C172" s="1"/>
      <c r="D172" s="1"/>
      <c r="E172" s="1"/>
      <c r="F172" s="1"/>
      <c r="G172" s="1"/>
      <c r="H172" s="1"/>
      <c r="I172" s="1"/>
      <c r="J172" s="1"/>
      <c r="K172" s="1"/>
      <c r="L172" s="1"/>
      <c r="M172" s="27"/>
      <c r="N172" s="1"/>
    </row>
    <row r="173" spans="2:14">
      <c r="B173" s="1"/>
      <c r="C173" s="1"/>
      <c r="D173" s="1"/>
      <c r="E173" s="1"/>
      <c r="F173" s="1"/>
      <c r="G173" s="1"/>
      <c r="H173" s="1"/>
      <c r="I173" s="1"/>
      <c r="J173" s="1"/>
      <c r="K173" s="1"/>
      <c r="L173" s="1"/>
      <c r="M173" s="27"/>
      <c r="N173" s="1"/>
    </row>
    <row r="174" spans="2:14">
      <c r="B174" s="1"/>
      <c r="C174" s="1"/>
      <c r="D174" s="1"/>
      <c r="E174" s="1"/>
      <c r="F174" s="1"/>
      <c r="G174" s="1"/>
      <c r="H174" s="1"/>
      <c r="I174" s="1"/>
      <c r="J174" s="1"/>
      <c r="K174" s="1"/>
      <c r="L174" s="1"/>
      <c r="M174" s="27"/>
      <c r="N174" s="1"/>
    </row>
    <row r="175" spans="2:14">
      <c r="B175" s="1"/>
      <c r="C175" s="1"/>
      <c r="D175" s="1"/>
      <c r="E175" s="1"/>
      <c r="F175" s="1"/>
      <c r="G175" s="1"/>
      <c r="H175" s="1"/>
      <c r="I175" s="1"/>
      <c r="J175" s="1"/>
      <c r="K175" s="1"/>
      <c r="L175" s="1"/>
      <c r="M175" s="27"/>
      <c r="N175" s="1"/>
    </row>
    <row r="176" spans="2:14">
      <c r="M176" s="19"/>
    </row>
    <row r="177" spans="13:13">
      <c r="M177" s="19"/>
    </row>
    <row r="178" spans="13:13">
      <c r="M178" s="19"/>
    </row>
    <row r="179" spans="13:13">
      <c r="M179" s="19"/>
    </row>
    <row r="180" spans="13:13">
      <c r="M180" s="19"/>
    </row>
    <row r="181" spans="13:13">
      <c r="M181" s="19"/>
    </row>
    <row r="182" spans="13:13">
      <c r="M182" s="19"/>
    </row>
    <row r="183" spans="13:13">
      <c r="M183" s="19"/>
    </row>
    <row r="184" spans="13:13">
      <c r="M184" s="19"/>
    </row>
    <row r="185" spans="13:13">
      <c r="M185" s="19"/>
    </row>
    <row r="186" spans="13:13">
      <c r="M186" s="19"/>
    </row>
    <row r="187" spans="13:13">
      <c r="M187" s="19"/>
    </row>
    <row r="188" spans="13:13">
      <c r="M188" s="19"/>
    </row>
    <row r="189" spans="13:13">
      <c r="M189" s="19"/>
    </row>
    <row r="190" spans="13:13">
      <c r="M190" s="19"/>
    </row>
    <row r="191" spans="13:13">
      <c r="M191" s="19"/>
    </row>
    <row r="192" spans="13:13">
      <c r="M192" s="19"/>
    </row>
    <row r="193" spans="13:13">
      <c r="M193" s="19"/>
    </row>
    <row r="194" spans="13:13">
      <c r="M194" s="19"/>
    </row>
    <row r="195" spans="13:13">
      <c r="M195" s="19"/>
    </row>
    <row r="196" spans="13:13">
      <c r="M196" s="19"/>
    </row>
    <row r="197" spans="13:13">
      <c r="M197" s="19"/>
    </row>
    <row r="198" spans="13:13">
      <c r="M198" s="19"/>
    </row>
    <row r="199" spans="13:13">
      <c r="M199" s="19"/>
    </row>
    <row r="200" spans="13:13">
      <c r="M200" s="19"/>
    </row>
    <row r="201" spans="13:13">
      <c r="M201" s="19"/>
    </row>
    <row r="202" spans="13:13">
      <c r="M202" s="19"/>
    </row>
    <row r="203" spans="13:13">
      <c r="M203" s="19"/>
    </row>
    <row r="204" spans="13:13">
      <c r="M204" s="19"/>
    </row>
    <row r="205" spans="13:13">
      <c r="M205" s="19"/>
    </row>
    <row r="206" spans="13:13">
      <c r="M206" s="19"/>
    </row>
    <row r="207" spans="13:13">
      <c r="M207" s="19"/>
    </row>
    <row r="208" spans="13:13">
      <c r="M208" s="19"/>
    </row>
    <row r="209" spans="13:13">
      <c r="M209" s="19"/>
    </row>
    <row r="210" spans="13:13">
      <c r="M210" s="19"/>
    </row>
    <row r="211" spans="13:13">
      <c r="M211" s="19"/>
    </row>
    <row r="212" spans="13:13">
      <c r="M212" s="19"/>
    </row>
    <row r="213" spans="13:13">
      <c r="M213" s="19"/>
    </row>
    <row r="214" spans="13:13">
      <c r="M214" s="19"/>
    </row>
    <row r="215" spans="13:13">
      <c r="M215" s="19"/>
    </row>
    <row r="216" spans="13:13">
      <c r="M216" s="19"/>
    </row>
    <row r="217" spans="13:13">
      <c r="M217" s="19"/>
    </row>
    <row r="218" spans="13:13">
      <c r="M218" s="19"/>
    </row>
    <row r="219" spans="13:13">
      <c r="M219" s="19"/>
    </row>
    <row r="220" spans="13:13">
      <c r="M220" s="19"/>
    </row>
    <row r="221" spans="13:13">
      <c r="M221" s="19"/>
    </row>
    <row r="222" spans="13:13">
      <c r="M222" s="19"/>
    </row>
    <row r="223" spans="13:13">
      <c r="M223" s="19"/>
    </row>
    <row r="224" spans="13:13">
      <c r="M224" s="19"/>
    </row>
    <row r="225" spans="13:13">
      <c r="M225" s="19"/>
    </row>
    <row r="226" spans="13:13">
      <c r="M226" s="19"/>
    </row>
    <row r="227" spans="13:13">
      <c r="M227" s="19"/>
    </row>
    <row r="228" spans="13:13">
      <c r="M228" s="19"/>
    </row>
    <row r="229" spans="13:13">
      <c r="M229" s="19"/>
    </row>
    <row r="230" spans="13:13">
      <c r="M230" s="19"/>
    </row>
    <row r="231" spans="13:13">
      <c r="M231" s="19"/>
    </row>
    <row r="232" spans="13:13">
      <c r="M232" s="19"/>
    </row>
    <row r="233" spans="13:13">
      <c r="M233" s="19"/>
    </row>
    <row r="234" spans="13:13">
      <c r="M234" s="19"/>
    </row>
    <row r="235" spans="13:13">
      <c r="M235" s="19"/>
    </row>
    <row r="236" spans="13:13">
      <c r="M236" s="19"/>
    </row>
    <row r="237" spans="13:13">
      <c r="M237" s="19"/>
    </row>
    <row r="238" spans="13:13">
      <c r="M238" s="19"/>
    </row>
    <row r="239" spans="13:13">
      <c r="M239" s="19"/>
    </row>
    <row r="240" spans="13:13">
      <c r="M240" s="19"/>
    </row>
    <row r="241" spans="13:13">
      <c r="M241" s="19"/>
    </row>
    <row r="242" spans="13:13">
      <c r="M242" s="19"/>
    </row>
    <row r="243" spans="13:13">
      <c r="M243" s="19"/>
    </row>
    <row r="244" spans="13:13">
      <c r="M244" s="19"/>
    </row>
    <row r="245" spans="13:13">
      <c r="M245" s="19"/>
    </row>
    <row r="246" spans="13:13">
      <c r="M246" s="19"/>
    </row>
    <row r="247" spans="13:13">
      <c r="M247" s="19"/>
    </row>
    <row r="248" spans="13:13">
      <c r="M248" s="19"/>
    </row>
    <row r="249" spans="13:13">
      <c r="M249" s="19"/>
    </row>
    <row r="250" spans="13:13">
      <c r="M250" s="19"/>
    </row>
    <row r="251" spans="13:13">
      <c r="M251" s="19"/>
    </row>
    <row r="252" spans="13:13">
      <c r="M252" s="19"/>
    </row>
    <row r="253" spans="13:13">
      <c r="M253" s="19"/>
    </row>
    <row r="254" spans="13:13">
      <c r="M254" s="19"/>
    </row>
    <row r="255" spans="13:13">
      <c r="M255" s="19"/>
    </row>
    <row r="256" spans="13:13">
      <c r="M256" s="19"/>
    </row>
    <row r="257" spans="13:13">
      <c r="M257" s="19"/>
    </row>
    <row r="258" spans="13:13">
      <c r="M258" s="19"/>
    </row>
    <row r="259" spans="13:13">
      <c r="M259" s="19"/>
    </row>
    <row r="260" spans="13:13">
      <c r="M260" s="19"/>
    </row>
    <row r="261" spans="13:13">
      <c r="M261" s="19"/>
    </row>
    <row r="262" spans="13:13">
      <c r="M262" s="19"/>
    </row>
    <row r="263" spans="13:13">
      <c r="M263" s="19"/>
    </row>
    <row r="264" spans="13:13">
      <c r="M264" s="19"/>
    </row>
    <row r="265" spans="13:13">
      <c r="M265" s="19"/>
    </row>
    <row r="266" spans="13:13">
      <c r="M266" s="19"/>
    </row>
    <row r="267" spans="13:13">
      <c r="M267" s="19"/>
    </row>
    <row r="268" spans="13:13">
      <c r="M268" s="19"/>
    </row>
    <row r="269" spans="13:13">
      <c r="M269" s="19"/>
    </row>
    <row r="270" spans="13:13">
      <c r="M270" s="19"/>
    </row>
    <row r="271" spans="13:13">
      <c r="M271" s="19"/>
    </row>
    <row r="272" spans="13:13">
      <c r="M272" s="19"/>
    </row>
    <row r="273" spans="13:13">
      <c r="M273" s="19"/>
    </row>
    <row r="274" spans="13:13">
      <c r="M274" s="19"/>
    </row>
    <row r="275" spans="13:13">
      <c r="M275" s="19"/>
    </row>
    <row r="276" spans="13:13">
      <c r="M276" s="19"/>
    </row>
    <row r="277" spans="13:13">
      <c r="M277" s="19"/>
    </row>
    <row r="278" spans="13:13">
      <c r="M278" s="19"/>
    </row>
    <row r="279" spans="13:13">
      <c r="M279" s="19"/>
    </row>
    <row r="280" spans="13:13">
      <c r="M280" s="19"/>
    </row>
    <row r="281" spans="13:13">
      <c r="M281" s="19"/>
    </row>
    <row r="282" spans="13:13">
      <c r="M282" s="19"/>
    </row>
    <row r="283" spans="13:13">
      <c r="M283" s="19"/>
    </row>
    <row r="284" spans="13:13">
      <c r="M284" s="19"/>
    </row>
    <row r="285" spans="13:13">
      <c r="M285" s="19"/>
    </row>
    <row r="286" spans="13:13">
      <c r="M286" s="19"/>
    </row>
    <row r="287" spans="13:13">
      <c r="M287" s="19"/>
    </row>
    <row r="288" spans="13:13">
      <c r="M288" s="19"/>
    </row>
    <row r="289" spans="13:13">
      <c r="M289" s="19"/>
    </row>
    <row r="290" spans="13:13">
      <c r="M290" s="19"/>
    </row>
    <row r="291" spans="13:13">
      <c r="M291" s="19"/>
    </row>
    <row r="292" spans="13:13">
      <c r="M292" s="19"/>
    </row>
    <row r="293" spans="13:13">
      <c r="M293" s="19"/>
    </row>
    <row r="294" spans="13:13">
      <c r="M294" s="19"/>
    </row>
    <row r="295" spans="13:13">
      <c r="M295" s="19"/>
    </row>
    <row r="296" spans="13:13">
      <c r="M296" s="19"/>
    </row>
    <row r="297" spans="13:13">
      <c r="M297" s="19"/>
    </row>
    <row r="298" spans="13:13">
      <c r="M298" s="19"/>
    </row>
    <row r="299" spans="13:13">
      <c r="M299" s="19"/>
    </row>
    <row r="300" spans="13:13">
      <c r="M300" s="19"/>
    </row>
    <row r="301" spans="13:13">
      <c r="M301" s="19"/>
    </row>
    <row r="302" spans="13:13">
      <c r="M302" s="19"/>
    </row>
    <row r="303" spans="13:13">
      <c r="M303" s="19"/>
    </row>
    <row r="304" spans="13:13">
      <c r="M304" s="19"/>
    </row>
    <row r="305" spans="13:13">
      <c r="M305" s="19"/>
    </row>
    <row r="306" spans="13:13">
      <c r="M306" s="19"/>
    </row>
    <row r="307" spans="13:13">
      <c r="M307" s="19"/>
    </row>
    <row r="308" spans="13:13">
      <c r="M308" s="19"/>
    </row>
    <row r="309" spans="13:13">
      <c r="M309" s="19"/>
    </row>
    <row r="310" spans="13:13">
      <c r="M310" s="19"/>
    </row>
    <row r="311" spans="13:13">
      <c r="M311" s="19"/>
    </row>
    <row r="312" spans="13:13">
      <c r="M312" s="19"/>
    </row>
    <row r="313" spans="13:13">
      <c r="M313" s="19"/>
    </row>
    <row r="314" spans="13:13">
      <c r="M314" s="19"/>
    </row>
    <row r="315" spans="13:13">
      <c r="M315" s="19"/>
    </row>
    <row r="316" spans="13:13">
      <c r="M316" s="19"/>
    </row>
    <row r="317" spans="13:13">
      <c r="M317" s="19"/>
    </row>
    <row r="318" spans="13:13">
      <c r="M318" s="19"/>
    </row>
    <row r="319" spans="13:13">
      <c r="M319" s="19"/>
    </row>
    <row r="320" spans="13:13">
      <c r="M320" s="19"/>
    </row>
    <row r="321" spans="2:13">
      <c r="M321" s="19"/>
    </row>
    <row r="322" spans="2:13">
      <c r="M322" s="19"/>
    </row>
    <row r="323" spans="2:13">
      <c r="M323" s="19"/>
    </row>
    <row r="324" spans="2:13">
      <c r="M324" s="19"/>
    </row>
    <row r="325" spans="2:13">
      <c r="M325" s="19"/>
    </row>
    <row r="326" spans="2:13">
      <c r="B326" s="1"/>
      <c r="C326" s="1"/>
      <c r="D326" s="1"/>
      <c r="E326" s="1"/>
      <c r="F326" s="1"/>
      <c r="G326" s="1"/>
      <c r="H326" s="1"/>
      <c r="I326" s="1"/>
      <c r="J326" s="1"/>
      <c r="K326" s="1"/>
      <c r="L326" s="1"/>
      <c r="M326" s="19"/>
    </row>
    <row r="327" spans="2:13">
      <c r="B327" s="1"/>
      <c r="C327" s="1"/>
      <c r="D327" s="1"/>
      <c r="E327" s="1"/>
      <c r="F327" s="1"/>
      <c r="G327" s="1"/>
      <c r="H327" s="1"/>
      <c r="I327" s="1"/>
      <c r="J327" s="1"/>
      <c r="K327" s="1"/>
      <c r="L327" s="1"/>
      <c r="M327" s="19"/>
    </row>
    <row r="328" spans="2:13">
      <c r="B328" s="1"/>
      <c r="C328" s="1"/>
      <c r="D328" s="1"/>
      <c r="E328" s="1"/>
      <c r="F328" s="1"/>
      <c r="G328" s="1"/>
      <c r="H328" s="1"/>
      <c r="I328" s="1"/>
      <c r="J328" s="1"/>
      <c r="K328" s="1"/>
      <c r="L328" s="1"/>
      <c r="M328" s="19"/>
    </row>
    <row r="329" spans="2:13">
      <c r="B329" s="1"/>
      <c r="C329" s="1"/>
      <c r="D329" s="1"/>
      <c r="E329" s="1"/>
      <c r="F329" s="1"/>
      <c r="G329" s="1"/>
      <c r="H329" s="1"/>
      <c r="I329" s="1"/>
      <c r="J329" s="1"/>
      <c r="K329" s="1"/>
      <c r="L329" s="1"/>
      <c r="M329" s="19"/>
    </row>
    <row r="330" spans="2:13">
      <c r="B330" s="1"/>
      <c r="C330" s="1"/>
      <c r="D330" s="1"/>
      <c r="E330" s="1"/>
      <c r="F330" s="1"/>
      <c r="G330" s="1"/>
      <c r="H330" s="1"/>
      <c r="I330" s="1"/>
      <c r="J330" s="1"/>
      <c r="K330" s="1"/>
      <c r="L330" s="1"/>
      <c r="M330" s="19"/>
    </row>
    <row r="331" spans="2:13">
      <c r="B331" s="1"/>
      <c r="C331" s="1"/>
      <c r="D331" s="1"/>
      <c r="E331" s="1"/>
      <c r="F331" s="1"/>
      <c r="G331" s="1"/>
      <c r="H331" s="1"/>
      <c r="I331" s="1"/>
      <c r="J331" s="1"/>
      <c r="K331" s="1"/>
      <c r="L331" s="1"/>
      <c r="M331" s="19"/>
    </row>
    <row r="332" spans="2:13">
      <c r="B332" s="1"/>
      <c r="C332" s="1"/>
      <c r="D332" s="1"/>
      <c r="E332" s="1"/>
      <c r="F332" s="1"/>
      <c r="G332" s="1"/>
      <c r="H332" s="1"/>
      <c r="I332" s="1"/>
      <c r="J332" s="1"/>
      <c r="K332" s="1"/>
      <c r="L332" s="1"/>
      <c r="M332" s="19"/>
    </row>
    <row r="333" spans="2:13">
      <c r="B333" s="1"/>
      <c r="C333" s="1"/>
      <c r="D333" s="1"/>
      <c r="E333" s="1"/>
      <c r="F333" s="1"/>
      <c r="G333" s="1"/>
      <c r="H333" s="1"/>
      <c r="I333" s="1"/>
      <c r="J333" s="1"/>
      <c r="K333" s="1"/>
      <c r="L333" s="1"/>
    </row>
    <row r="334" spans="2:13">
      <c r="B334" s="1"/>
      <c r="C334" s="1"/>
      <c r="D334" s="1"/>
      <c r="E334" s="1"/>
      <c r="F334" s="1"/>
      <c r="G334" s="1"/>
      <c r="H334" s="1"/>
      <c r="I334" s="1"/>
      <c r="J334" s="1"/>
      <c r="K334" s="1"/>
      <c r="L334" s="1"/>
    </row>
    <row r="335" spans="2:13">
      <c r="B335" s="1"/>
      <c r="C335" s="1"/>
      <c r="D335" s="1"/>
      <c r="E335" s="1"/>
      <c r="F335" s="1"/>
      <c r="G335" s="1"/>
      <c r="H335" s="1"/>
      <c r="I335" s="1"/>
      <c r="J335" s="1"/>
      <c r="K335" s="1"/>
      <c r="L335" s="1"/>
    </row>
    <row r="336" spans="2:13">
      <c r="B336" s="1"/>
      <c r="C336" s="1"/>
      <c r="D336" s="1"/>
      <c r="E336" s="1"/>
      <c r="F336" s="1"/>
      <c r="G336" s="1"/>
      <c r="H336" s="1"/>
      <c r="I336" s="1"/>
      <c r="J336" s="1"/>
      <c r="K336" s="1"/>
      <c r="L336" s="1"/>
    </row>
  </sheetData>
  <mergeCells count="1">
    <mergeCell ref="J1:L1"/>
  </mergeCells>
  <pageMargins left="0.75" right="0.75" top="1" bottom="1" header="0.5" footer="0.5"/>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08040"/>
  </sheetPr>
  <dimension ref="A1:N534"/>
  <sheetViews>
    <sheetView topLeftCell="A10" workbookViewId="0">
      <selection activeCell="B6" sqref="B6:H10"/>
    </sheetView>
  </sheetViews>
  <sheetFormatPr defaultColWidth="11" defaultRowHeight="15.75"/>
  <cols>
    <col min="1" max="1" width="25.625" customWidth="1"/>
    <col min="2" max="2" width="15.125" bestFit="1" customWidth="1"/>
    <col min="3" max="9" width="12.5" bestFit="1" customWidth="1"/>
    <col min="10" max="12" width="13.875" customWidth="1"/>
    <col min="13" max="13" width="11" style="190"/>
  </cols>
  <sheetData>
    <row r="1" spans="1:14" ht="18.75">
      <c r="J1" s="494" t="s">
        <v>215</v>
      </c>
      <c r="K1" s="494"/>
      <c r="L1" s="494"/>
    </row>
    <row r="2" spans="1:14">
      <c r="A2" s="2"/>
    </row>
    <row r="3" spans="1:14">
      <c r="A3" s="2"/>
      <c r="B3" s="19"/>
      <c r="C3" s="19"/>
      <c r="D3" s="19"/>
      <c r="E3" s="19"/>
      <c r="F3" s="19"/>
      <c r="G3" s="19"/>
      <c r="H3" s="19"/>
      <c r="I3" s="19"/>
      <c r="J3" s="82" t="s">
        <v>61</v>
      </c>
      <c r="K3" s="82" t="s">
        <v>61</v>
      </c>
      <c r="L3" s="82" t="s">
        <v>61</v>
      </c>
    </row>
    <row r="4" spans="1:14">
      <c r="A4" s="2"/>
      <c r="B4" s="31"/>
      <c r="C4" s="31"/>
      <c r="D4" s="31"/>
      <c r="E4" s="31"/>
      <c r="F4" s="31"/>
      <c r="G4" s="31"/>
      <c r="H4" s="31"/>
      <c r="I4" s="31"/>
      <c r="J4" s="30" t="s">
        <v>57</v>
      </c>
      <c r="K4" s="30" t="s">
        <v>202</v>
      </c>
      <c r="L4" s="30" t="s">
        <v>58</v>
      </c>
    </row>
    <row r="5" spans="1:14" s="70" customFormat="1" ht="18.75">
      <c r="A5" s="93" t="s">
        <v>98</v>
      </c>
      <c r="B5" s="254">
        <v>2009</v>
      </c>
      <c r="C5" s="254">
        <v>2010</v>
      </c>
      <c r="D5" s="254">
        <v>2011</v>
      </c>
      <c r="E5" s="254">
        <v>2012</v>
      </c>
      <c r="F5" s="254">
        <v>2013</v>
      </c>
      <c r="G5" s="254">
        <v>2014</v>
      </c>
      <c r="H5" s="254">
        <v>2015</v>
      </c>
      <c r="I5" s="254">
        <v>2016</v>
      </c>
      <c r="J5" s="254">
        <v>2017</v>
      </c>
      <c r="K5" s="254">
        <v>2018</v>
      </c>
      <c r="L5" s="254">
        <v>2019</v>
      </c>
      <c r="M5" s="195"/>
      <c r="N5" s="2"/>
    </row>
    <row r="6" spans="1:14">
      <c r="A6" s="10" t="s">
        <v>100</v>
      </c>
      <c r="B6" s="32"/>
      <c r="C6" s="32"/>
      <c r="D6" s="32"/>
      <c r="E6" s="32"/>
      <c r="F6" s="32"/>
      <c r="G6" s="32"/>
      <c r="H6" s="32"/>
      <c r="I6" s="32">
        <v>2044984</v>
      </c>
      <c r="J6" s="32">
        <v>2081331</v>
      </c>
      <c r="K6" s="32">
        <v>1253321</v>
      </c>
      <c r="L6" s="32">
        <v>2004250</v>
      </c>
      <c r="M6" s="174"/>
      <c r="N6" s="3"/>
    </row>
    <row r="7" spans="1:14">
      <c r="A7" s="96" t="s">
        <v>93</v>
      </c>
      <c r="B7" s="32"/>
      <c r="C7" s="32"/>
      <c r="D7" s="32"/>
      <c r="E7" s="32"/>
      <c r="F7" s="32"/>
      <c r="G7" s="32"/>
      <c r="H7" s="32"/>
      <c r="I7" s="32"/>
      <c r="J7" s="32"/>
      <c r="K7" s="32"/>
      <c r="L7" s="32"/>
      <c r="M7" s="174"/>
      <c r="N7" s="3"/>
    </row>
    <row r="8" spans="1:14" s="19" customFormat="1">
      <c r="A8" s="94" t="s">
        <v>101</v>
      </c>
      <c r="B8" s="32"/>
      <c r="C8" s="32"/>
      <c r="D8" s="32"/>
      <c r="E8" s="32"/>
      <c r="F8" s="32"/>
      <c r="G8" s="32"/>
      <c r="H8" s="32"/>
      <c r="I8" s="32"/>
      <c r="J8" s="32"/>
      <c r="K8" s="32"/>
      <c r="L8" s="32"/>
      <c r="M8" s="174"/>
      <c r="N8" s="3"/>
    </row>
    <row r="9" spans="1:14" s="19" customFormat="1">
      <c r="A9" s="73" t="s">
        <v>83</v>
      </c>
      <c r="B9" s="32"/>
      <c r="C9" s="32"/>
      <c r="D9" s="32"/>
      <c r="E9" s="32"/>
      <c r="F9" s="32"/>
      <c r="G9" s="32"/>
      <c r="H9" s="32"/>
      <c r="I9" s="32"/>
      <c r="J9" s="32"/>
      <c r="K9" s="32"/>
      <c r="L9" s="32"/>
      <c r="M9" s="174"/>
      <c r="N9" s="3"/>
    </row>
    <row r="10" spans="1:14" s="19" customFormat="1" ht="16.5" thickBot="1">
      <c r="A10" s="39"/>
      <c r="B10" s="125"/>
      <c r="C10" s="125"/>
      <c r="D10" s="125"/>
      <c r="E10" s="125"/>
      <c r="F10" s="125"/>
      <c r="G10" s="125"/>
      <c r="H10" s="125"/>
      <c r="I10" s="125"/>
      <c r="J10" s="125"/>
      <c r="K10" s="125"/>
      <c r="L10" s="125"/>
      <c r="M10" s="195"/>
      <c r="N10" s="2"/>
    </row>
    <row r="11" spans="1:14">
      <c r="A11" s="95" t="s">
        <v>108</v>
      </c>
      <c r="B11" s="32" t="s">
        <v>103</v>
      </c>
      <c r="C11" s="32" t="s">
        <v>103</v>
      </c>
      <c r="D11" s="32" t="s">
        <v>103</v>
      </c>
      <c r="E11" s="32" t="s">
        <v>103</v>
      </c>
      <c r="F11" s="32" t="s">
        <v>103</v>
      </c>
      <c r="G11" s="32" t="s">
        <v>103</v>
      </c>
      <c r="H11" s="32" t="s">
        <v>103</v>
      </c>
      <c r="I11" s="32" t="s">
        <v>103</v>
      </c>
      <c r="J11" s="32" t="s">
        <v>103</v>
      </c>
      <c r="K11" s="32" t="s">
        <v>103</v>
      </c>
      <c r="L11" s="32" t="s">
        <v>103</v>
      </c>
      <c r="M11" s="195"/>
      <c r="N11" s="2"/>
    </row>
    <row r="12" spans="1:14">
      <c r="A12" s="2"/>
      <c r="B12" s="31"/>
      <c r="C12" s="31"/>
      <c r="D12" s="31"/>
      <c r="E12" s="31"/>
      <c r="F12" s="31"/>
      <c r="G12" s="31"/>
      <c r="H12" s="31"/>
      <c r="I12" s="31"/>
      <c r="J12" s="31"/>
      <c r="K12" s="31"/>
      <c r="L12" s="31"/>
      <c r="M12" s="195"/>
      <c r="N12" s="2"/>
    </row>
    <row r="13" spans="1:14">
      <c r="A13" s="88"/>
      <c r="B13" s="32"/>
      <c r="C13" s="32"/>
      <c r="D13" s="32"/>
      <c r="E13" s="32"/>
      <c r="F13" s="32"/>
      <c r="G13" s="32"/>
      <c r="H13" s="32"/>
      <c r="I13" s="32"/>
      <c r="J13" s="32"/>
      <c r="K13" s="32"/>
      <c r="L13" s="32"/>
      <c r="M13" s="195"/>
      <c r="N13" s="2"/>
    </row>
    <row r="14" spans="1:14" ht="18.75">
      <c r="A14" s="93" t="s">
        <v>73</v>
      </c>
      <c r="B14" s="27"/>
      <c r="C14" s="27"/>
      <c r="D14" s="27"/>
      <c r="E14" s="27"/>
      <c r="F14" s="27"/>
      <c r="G14" s="27"/>
      <c r="H14" s="27"/>
      <c r="I14" s="27"/>
      <c r="J14" s="27"/>
      <c r="K14" s="27"/>
      <c r="L14" s="27"/>
    </row>
    <row r="15" spans="1:14">
      <c r="A15" s="10" t="s">
        <v>100</v>
      </c>
      <c r="B15" s="1">
        <v>0</v>
      </c>
      <c r="C15" s="1">
        <v>0</v>
      </c>
      <c r="D15" s="1">
        <v>0</v>
      </c>
      <c r="E15" s="1">
        <v>0</v>
      </c>
      <c r="F15" s="1">
        <v>0</v>
      </c>
      <c r="G15" s="1">
        <v>0</v>
      </c>
      <c r="H15" s="1">
        <v>0</v>
      </c>
      <c r="I15" s="1">
        <v>0</v>
      </c>
      <c r="J15" s="1">
        <v>0</v>
      </c>
      <c r="K15" s="1">
        <v>0</v>
      </c>
      <c r="L15" s="1">
        <v>0</v>
      </c>
    </row>
    <row r="16" spans="1:14">
      <c r="A16" s="96" t="s">
        <v>93</v>
      </c>
      <c r="B16" s="1"/>
      <c r="C16" s="1"/>
      <c r="D16" s="1"/>
      <c r="E16" s="1"/>
      <c r="F16" s="1"/>
      <c r="G16" s="1"/>
      <c r="H16" s="1"/>
      <c r="I16" s="1"/>
      <c r="J16" s="1"/>
      <c r="K16" s="1"/>
      <c r="L16" s="1"/>
    </row>
    <row r="17" spans="1:14">
      <c r="A17" s="94" t="s">
        <v>101</v>
      </c>
      <c r="B17" s="1"/>
      <c r="C17" s="1"/>
      <c r="D17" s="1"/>
      <c r="E17" s="1"/>
      <c r="F17" s="1"/>
      <c r="G17" s="1"/>
      <c r="H17" s="1"/>
      <c r="I17" s="1"/>
      <c r="J17" s="1"/>
      <c r="K17" s="1"/>
      <c r="L17" s="1"/>
    </row>
    <row r="18" spans="1:14">
      <c r="A18" s="73" t="s">
        <v>83</v>
      </c>
      <c r="B18" s="1"/>
      <c r="C18" s="1"/>
      <c r="D18" s="1"/>
      <c r="E18" s="1"/>
      <c r="F18" s="1"/>
      <c r="G18" s="1"/>
      <c r="H18" s="1"/>
      <c r="I18" s="1"/>
      <c r="J18" s="1"/>
      <c r="K18" s="1"/>
      <c r="L18" s="1"/>
    </row>
    <row r="19" spans="1:14">
      <c r="A19" s="153" t="s">
        <v>157</v>
      </c>
      <c r="B19" s="1">
        <v>0</v>
      </c>
      <c r="C19" s="1">
        <v>0</v>
      </c>
      <c r="D19" s="1">
        <v>0</v>
      </c>
      <c r="E19" s="1">
        <v>0</v>
      </c>
      <c r="F19" s="1">
        <v>0</v>
      </c>
      <c r="G19" s="1">
        <v>0</v>
      </c>
      <c r="H19" s="1">
        <v>0</v>
      </c>
      <c r="I19" s="1">
        <v>3538650</v>
      </c>
      <c r="J19" s="1">
        <v>3332538</v>
      </c>
      <c r="K19" s="1">
        <v>2287956</v>
      </c>
      <c r="L19" s="1">
        <v>2246915</v>
      </c>
    </row>
    <row r="20" spans="1:14">
      <c r="A20" s="95" t="s">
        <v>119</v>
      </c>
      <c r="B20" s="1">
        <f t="shared" ref="B20:L20" si="0">SUM(B15:B19)</f>
        <v>0</v>
      </c>
      <c r="C20" s="1">
        <f t="shared" si="0"/>
        <v>0</v>
      </c>
      <c r="D20" s="1">
        <f t="shared" si="0"/>
        <v>0</v>
      </c>
      <c r="E20" s="1">
        <f t="shared" si="0"/>
        <v>0</v>
      </c>
      <c r="F20" s="1">
        <f t="shared" si="0"/>
        <v>0</v>
      </c>
      <c r="G20" s="1">
        <f t="shared" si="0"/>
        <v>0</v>
      </c>
      <c r="H20" s="1">
        <f t="shared" si="0"/>
        <v>0</v>
      </c>
      <c r="I20" s="1">
        <f t="shared" si="0"/>
        <v>3538650</v>
      </c>
      <c r="J20" s="1">
        <f t="shared" si="0"/>
        <v>3332538</v>
      </c>
      <c r="K20" s="1">
        <f t="shared" si="0"/>
        <v>2287956</v>
      </c>
      <c r="L20" s="1">
        <f t="shared" si="0"/>
        <v>2246915</v>
      </c>
    </row>
    <row r="21" spans="1:14">
      <c r="A21" s="190"/>
      <c r="B21" s="190"/>
      <c r="C21" s="190"/>
      <c r="D21" s="190"/>
      <c r="E21" s="190"/>
      <c r="F21" s="190"/>
      <c r="G21" s="190"/>
      <c r="H21" s="190"/>
      <c r="I21" s="190"/>
      <c r="J21" s="190"/>
      <c r="K21" s="190"/>
      <c r="L21" s="190"/>
    </row>
    <row r="24" spans="1:14">
      <c r="B24" s="1"/>
      <c r="C24" s="1"/>
      <c r="D24" s="1"/>
      <c r="E24" s="1"/>
      <c r="F24" s="1"/>
      <c r="G24" s="1"/>
      <c r="H24" s="1"/>
      <c r="I24" s="1"/>
      <c r="J24" s="1"/>
      <c r="K24" s="1"/>
      <c r="L24" s="1"/>
      <c r="M24" s="173"/>
      <c r="N24" s="1"/>
    </row>
    <row r="25" spans="1:14">
      <c r="A25" s="366"/>
      <c r="B25" s="117"/>
      <c r="C25" s="117"/>
      <c r="D25" s="117"/>
      <c r="E25" s="117"/>
      <c r="F25" s="117"/>
      <c r="G25" s="117"/>
      <c r="H25" s="117"/>
      <c r="I25" s="117"/>
      <c r="J25" s="117"/>
      <c r="K25" s="117"/>
      <c r="L25" s="117"/>
      <c r="M25" s="173"/>
      <c r="N25" s="1"/>
    </row>
    <row r="26" spans="1:14">
      <c r="A26" s="359"/>
      <c r="B26" s="117"/>
      <c r="C26" s="117"/>
      <c r="D26" s="117"/>
      <c r="E26" s="117"/>
      <c r="F26" s="117"/>
      <c r="G26" s="117"/>
      <c r="H26" s="117"/>
      <c r="I26" s="117"/>
      <c r="J26" s="117"/>
      <c r="K26" s="117"/>
      <c r="L26" s="117"/>
      <c r="M26" s="173"/>
      <c r="N26" s="1"/>
    </row>
    <row r="27" spans="1:14">
      <c r="A27" s="359"/>
      <c r="B27" s="117"/>
      <c r="C27" s="117"/>
      <c r="D27" s="117"/>
      <c r="E27" s="117"/>
      <c r="F27" s="117"/>
      <c r="G27" s="117"/>
      <c r="H27" s="117"/>
      <c r="I27" s="117"/>
      <c r="J27" s="117"/>
      <c r="K27" s="117"/>
      <c r="L27" s="117"/>
      <c r="M27" s="173"/>
      <c r="N27" s="1"/>
    </row>
    <row r="28" spans="1:14">
      <c r="A28" s="359"/>
      <c r="B28" s="117"/>
      <c r="C28" s="117"/>
      <c r="D28" s="117"/>
      <c r="E28" s="117"/>
      <c r="F28" s="117"/>
      <c r="G28" s="117"/>
      <c r="H28" s="117"/>
      <c r="I28" s="117"/>
      <c r="J28" s="117"/>
      <c r="K28" s="117"/>
      <c r="L28" s="117"/>
      <c r="M28" s="173"/>
      <c r="N28" s="1"/>
    </row>
    <row r="29" spans="1:14">
      <c r="A29" s="359"/>
      <c r="B29" s="117"/>
      <c r="C29" s="117"/>
      <c r="D29" s="117"/>
      <c r="E29" s="117"/>
      <c r="F29" s="117"/>
      <c r="G29" s="117"/>
      <c r="H29" s="117"/>
      <c r="I29" s="117"/>
      <c r="J29" s="117"/>
      <c r="K29" s="117"/>
      <c r="L29" s="117"/>
      <c r="M29" s="173"/>
      <c r="N29" s="1"/>
    </row>
    <row r="30" spans="1:14">
      <c r="A30" s="163"/>
      <c r="B30" s="117"/>
      <c r="C30" s="117"/>
      <c r="D30" s="117"/>
      <c r="E30" s="117"/>
      <c r="F30" s="117"/>
      <c r="G30" s="117"/>
      <c r="H30" s="117"/>
      <c r="I30" s="117"/>
      <c r="J30" s="117"/>
      <c r="K30" s="117"/>
      <c r="L30" s="117"/>
      <c r="M30" s="173"/>
      <c r="N30" s="1"/>
    </row>
    <row r="31" spans="1:14">
      <c r="A31" s="357"/>
      <c r="B31" s="117"/>
      <c r="C31" s="117"/>
      <c r="D31" s="117"/>
      <c r="E31" s="117"/>
      <c r="F31" s="117"/>
      <c r="G31" s="117"/>
      <c r="H31" s="117"/>
      <c r="I31" s="117"/>
      <c r="J31" s="117"/>
      <c r="K31" s="117"/>
      <c r="L31" s="117"/>
      <c r="M31" s="173"/>
      <c r="N31" s="1"/>
    </row>
    <row r="32" spans="1:14">
      <c r="A32" s="363"/>
      <c r="B32" s="117"/>
      <c r="C32" s="339"/>
      <c r="D32" s="339"/>
      <c r="E32" s="339"/>
      <c r="F32" s="339"/>
      <c r="G32" s="339"/>
      <c r="H32" s="339"/>
      <c r="I32" s="339"/>
      <c r="J32" s="339"/>
      <c r="K32" s="339"/>
      <c r="L32" s="339"/>
      <c r="M32" s="173"/>
      <c r="N32" s="1"/>
    </row>
    <row r="33" spans="1:14">
      <c r="A33" s="368"/>
      <c r="B33" s="117"/>
      <c r="C33" s="117"/>
      <c r="D33" s="117"/>
      <c r="E33" s="117"/>
      <c r="F33" s="117"/>
      <c r="G33" s="117"/>
      <c r="H33" s="117"/>
      <c r="I33" s="117"/>
      <c r="J33" s="117"/>
      <c r="K33" s="117"/>
      <c r="L33" s="339"/>
      <c r="M33" s="173"/>
      <c r="N33" s="1"/>
    </row>
    <row r="34" spans="1:14">
      <c r="A34" s="163"/>
      <c r="B34" s="117"/>
      <c r="C34" s="117"/>
      <c r="D34" s="117"/>
      <c r="E34" s="117"/>
      <c r="F34" s="117"/>
      <c r="G34" s="117"/>
      <c r="H34" s="117"/>
      <c r="I34" s="117"/>
      <c r="J34" s="117"/>
      <c r="K34" s="117"/>
      <c r="L34" s="117"/>
      <c r="M34" s="173"/>
      <c r="N34" s="1"/>
    </row>
    <row r="35" spans="1:14">
      <c r="A35" s="357"/>
      <c r="B35" s="117"/>
      <c r="C35" s="117"/>
      <c r="D35" s="117"/>
      <c r="E35" s="117"/>
      <c r="F35" s="117"/>
      <c r="G35" s="117"/>
      <c r="H35" s="117"/>
      <c r="I35" s="117"/>
      <c r="J35" s="117"/>
      <c r="K35" s="117"/>
      <c r="L35" s="117"/>
      <c r="M35" s="173"/>
      <c r="N35" s="1"/>
    </row>
    <row r="36" spans="1:14">
      <c r="A36" s="357"/>
      <c r="B36" s="117"/>
      <c r="C36" s="117"/>
      <c r="D36" s="117"/>
      <c r="E36" s="117"/>
      <c r="F36" s="117"/>
      <c r="G36" s="117"/>
      <c r="H36" s="117"/>
      <c r="I36" s="117"/>
      <c r="J36" s="117"/>
      <c r="K36" s="117"/>
      <c r="L36" s="117"/>
      <c r="M36" s="173"/>
      <c r="N36" s="1"/>
    </row>
    <row r="37" spans="1:14">
      <c r="A37" s="357"/>
      <c r="B37" s="117"/>
      <c r="C37" s="117"/>
      <c r="D37" s="117"/>
      <c r="E37" s="117"/>
      <c r="F37" s="117"/>
      <c r="G37" s="117"/>
      <c r="H37" s="117"/>
      <c r="I37" s="117"/>
      <c r="J37" s="117"/>
      <c r="K37" s="117"/>
      <c r="L37" s="117"/>
      <c r="M37" s="173"/>
      <c r="N37" s="1"/>
    </row>
    <row r="38" spans="1:14">
      <c r="A38" s="163"/>
      <c r="B38" s="163"/>
      <c r="C38" s="163"/>
      <c r="D38" s="163"/>
      <c r="E38" s="163"/>
      <c r="F38" s="163"/>
      <c r="G38" s="163"/>
      <c r="H38" s="163"/>
      <c r="I38" s="163"/>
      <c r="J38" s="163"/>
      <c r="K38" s="163"/>
      <c r="L38" s="163"/>
      <c r="M38" s="173"/>
      <c r="N38" s="1"/>
    </row>
    <row r="39" spans="1:14">
      <c r="A39" s="163"/>
      <c r="B39" s="163"/>
      <c r="C39" s="163"/>
      <c r="D39" s="163"/>
      <c r="E39" s="163"/>
      <c r="F39" s="163"/>
      <c r="G39" s="163"/>
      <c r="H39" s="163"/>
      <c r="I39" s="163"/>
      <c r="J39" s="163"/>
      <c r="K39" s="163"/>
      <c r="L39" s="163"/>
      <c r="M39" s="173"/>
      <c r="N39" s="1"/>
    </row>
    <row r="40" spans="1:14">
      <c r="A40" s="163"/>
      <c r="B40" s="163"/>
      <c r="C40" s="163"/>
      <c r="D40" s="163"/>
      <c r="E40" s="163"/>
      <c r="F40" s="163"/>
      <c r="G40" s="163"/>
      <c r="H40" s="163"/>
      <c r="I40" s="163"/>
      <c r="J40" s="163"/>
      <c r="K40" s="163"/>
      <c r="L40" s="163"/>
      <c r="M40" s="173"/>
      <c r="N40" s="1"/>
    </row>
    <row r="41" spans="1:14">
      <c r="A41" s="163"/>
      <c r="B41" s="163"/>
      <c r="C41" s="163"/>
      <c r="D41" s="163"/>
      <c r="E41" s="163"/>
      <c r="F41" s="163"/>
      <c r="G41" s="163"/>
      <c r="H41" s="163"/>
      <c r="I41" s="163"/>
      <c r="J41" s="163"/>
      <c r="K41" s="163"/>
      <c r="L41" s="163"/>
      <c r="M41" s="173"/>
      <c r="N41" s="1"/>
    </row>
    <row r="42" spans="1:14">
      <c r="A42" s="163"/>
      <c r="B42" s="163"/>
      <c r="C42" s="163"/>
      <c r="D42" s="163"/>
      <c r="E42" s="163"/>
      <c r="F42" s="163"/>
      <c r="G42" s="163"/>
      <c r="H42" s="163"/>
      <c r="I42" s="163"/>
      <c r="J42" s="163"/>
      <c r="K42" s="163"/>
      <c r="L42" s="163"/>
      <c r="M42" s="173"/>
      <c r="N42" s="1"/>
    </row>
    <row r="43" spans="1:14">
      <c r="A43" s="163"/>
      <c r="B43" s="163"/>
      <c r="C43" s="163"/>
      <c r="D43" s="163"/>
      <c r="E43" s="163"/>
      <c r="F43" s="163"/>
      <c r="G43" s="163"/>
      <c r="H43" s="163"/>
      <c r="I43" s="163"/>
      <c r="J43" s="163"/>
      <c r="K43" s="163"/>
      <c r="L43" s="163"/>
      <c r="M43" s="173"/>
      <c r="N43" s="1"/>
    </row>
    <row r="44" spans="1:14">
      <c r="A44" s="163"/>
      <c r="B44" s="163"/>
      <c r="C44" s="163"/>
      <c r="D44" s="163"/>
      <c r="E44" s="163"/>
      <c r="F44" s="163"/>
      <c r="G44" s="163"/>
      <c r="H44" s="163"/>
      <c r="I44" s="163"/>
      <c r="J44" s="163"/>
      <c r="K44" s="163"/>
      <c r="L44" s="163"/>
      <c r="M44" s="173"/>
      <c r="N44" s="1"/>
    </row>
    <row r="45" spans="1:14">
      <c r="A45" s="357"/>
      <c r="B45" s="117"/>
      <c r="C45" s="117"/>
      <c r="D45" s="117"/>
      <c r="E45" s="117"/>
      <c r="F45" s="117"/>
      <c r="G45" s="117"/>
      <c r="H45" s="117"/>
      <c r="I45" s="117"/>
      <c r="J45" s="117"/>
      <c r="K45" s="117"/>
      <c r="L45" s="117"/>
      <c r="M45" s="173"/>
      <c r="N45" s="1"/>
    </row>
    <row r="46" spans="1:14">
      <c r="A46" s="357"/>
      <c r="B46" s="117"/>
      <c r="C46" s="117"/>
      <c r="D46" s="117"/>
      <c r="E46" s="117"/>
      <c r="F46" s="117"/>
      <c r="G46" s="117"/>
      <c r="H46" s="117"/>
      <c r="I46" s="117"/>
      <c r="J46" s="117"/>
      <c r="K46" s="117"/>
      <c r="L46" s="117"/>
      <c r="M46" s="173"/>
      <c r="N46" s="1"/>
    </row>
    <row r="47" spans="1:14">
      <c r="A47" s="357"/>
      <c r="B47" s="117"/>
      <c r="C47" s="117"/>
      <c r="D47" s="117"/>
      <c r="E47" s="117"/>
      <c r="F47" s="117"/>
      <c r="G47" s="117"/>
      <c r="H47" s="117"/>
      <c r="I47" s="117"/>
      <c r="J47" s="117"/>
      <c r="K47" s="117"/>
      <c r="L47" s="117"/>
      <c r="M47" s="173"/>
      <c r="N47" s="1"/>
    </row>
    <row r="48" spans="1:14">
      <c r="A48" s="357"/>
      <c r="B48" s="117"/>
      <c r="C48" s="117"/>
      <c r="D48" s="117"/>
      <c r="E48" s="117"/>
      <c r="F48" s="117"/>
      <c r="G48" s="117"/>
      <c r="H48" s="117"/>
      <c r="I48" s="117"/>
      <c r="J48" s="117"/>
      <c r="K48" s="117"/>
      <c r="L48" s="117"/>
      <c r="M48" s="173"/>
      <c r="N48" s="1"/>
    </row>
    <row r="49" spans="1:14">
      <c r="A49" s="163"/>
      <c r="B49" s="117"/>
      <c r="C49" s="117"/>
      <c r="D49" s="117"/>
      <c r="E49" s="117"/>
      <c r="F49" s="117"/>
      <c r="G49" s="117"/>
      <c r="H49" s="117"/>
      <c r="I49" s="117"/>
      <c r="J49" s="117"/>
      <c r="K49" s="117"/>
      <c r="L49" s="117"/>
      <c r="M49" s="173"/>
      <c r="N49" s="1"/>
    </row>
    <row r="50" spans="1:14">
      <c r="A50" s="163"/>
      <c r="B50" s="117"/>
      <c r="C50" s="117"/>
      <c r="D50" s="117"/>
      <c r="E50" s="117"/>
      <c r="F50" s="117"/>
      <c r="G50" s="117"/>
      <c r="H50" s="117"/>
      <c r="I50" s="117"/>
      <c r="J50" s="117"/>
      <c r="K50" s="117"/>
      <c r="L50" s="117"/>
      <c r="M50" s="173"/>
      <c r="N50" s="1"/>
    </row>
    <row r="51" spans="1:14">
      <c r="A51" s="375"/>
      <c r="B51" s="117"/>
      <c r="C51" s="117"/>
      <c r="D51" s="117"/>
      <c r="E51" s="117"/>
      <c r="F51" s="117"/>
      <c r="G51" s="117"/>
      <c r="H51" s="117"/>
      <c r="I51" s="117"/>
      <c r="J51" s="117"/>
      <c r="K51" s="117"/>
      <c r="L51" s="117"/>
      <c r="M51" s="173"/>
      <c r="N51" s="1"/>
    </row>
    <row r="52" spans="1:14">
      <c r="A52" s="163"/>
      <c r="B52" s="117"/>
      <c r="C52" s="117"/>
      <c r="D52" s="117"/>
      <c r="E52" s="117"/>
      <c r="F52" s="117"/>
      <c r="G52" s="117"/>
      <c r="H52" s="117"/>
      <c r="I52" s="117"/>
      <c r="J52" s="117"/>
      <c r="K52" s="117"/>
      <c r="L52" s="117"/>
      <c r="M52" s="173"/>
      <c r="N52" s="1"/>
    </row>
    <row r="53" spans="1:14">
      <c r="A53" s="357"/>
      <c r="B53" s="117"/>
      <c r="C53" s="117"/>
      <c r="D53" s="117"/>
      <c r="E53" s="117"/>
      <c r="F53" s="117"/>
      <c r="G53" s="117"/>
      <c r="H53" s="117"/>
      <c r="I53" s="117"/>
      <c r="J53" s="117"/>
      <c r="K53" s="117"/>
      <c r="L53" s="117"/>
      <c r="M53" s="173"/>
      <c r="N53" s="1"/>
    </row>
    <row r="54" spans="1:14">
      <c r="A54" s="163"/>
      <c r="B54" s="117"/>
      <c r="C54" s="117"/>
      <c r="D54" s="117"/>
      <c r="E54" s="117"/>
      <c r="F54" s="117"/>
      <c r="G54" s="117"/>
      <c r="H54" s="117"/>
      <c r="I54" s="117"/>
      <c r="J54" s="117"/>
      <c r="K54" s="117"/>
      <c r="L54" s="117"/>
      <c r="M54" s="173"/>
      <c r="N54" s="1"/>
    </row>
    <row r="55" spans="1:14">
      <c r="A55" s="357"/>
      <c r="B55" s="117"/>
      <c r="C55" s="117"/>
      <c r="D55" s="117"/>
      <c r="E55" s="117"/>
      <c r="F55" s="117"/>
      <c r="G55" s="117"/>
      <c r="H55" s="117"/>
      <c r="I55" s="117"/>
      <c r="J55" s="117"/>
      <c r="K55" s="117"/>
      <c r="L55" s="117"/>
      <c r="M55" s="173"/>
      <c r="N55" s="1"/>
    </row>
    <row r="56" spans="1:14">
      <c r="A56" s="163"/>
      <c r="B56" s="117"/>
      <c r="C56" s="117"/>
      <c r="D56" s="117"/>
      <c r="E56" s="117"/>
      <c r="F56" s="117"/>
      <c r="G56" s="117"/>
      <c r="H56" s="117"/>
      <c r="I56" s="117"/>
      <c r="J56" s="117"/>
      <c r="K56" s="117"/>
      <c r="L56" s="117"/>
      <c r="M56" s="173"/>
      <c r="N56" s="1"/>
    </row>
    <row r="57" spans="1:14">
      <c r="A57" s="163"/>
      <c r="B57" s="117"/>
      <c r="C57" s="117"/>
      <c r="D57" s="117"/>
      <c r="E57" s="117"/>
      <c r="F57" s="117"/>
      <c r="G57" s="117"/>
      <c r="H57" s="117"/>
      <c r="I57" s="117"/>
      <c r="J57" s="117"/>
      <c r="K57" s="117"/>
      <c r="L57" s="117"/>
      <c r="M57" s="173"/>
      <c r="N57" s="1"/>
    </row>
    <row r="58" spans="1:14">
      <c r="A58" s="163"/>
      <c r="B58" s="117"/>
      <c r="C58" s="117"/>
      <c r="D58" s="117"/>
      <c r="E58" s="117"/>
      <c r="F58" s="117"/>
      <c r="G58" s="117"/>
      <c r="H58" s="117"/>
      <c r="I58" s="117"/>
      <c r="J58" s="117"/>
      <c r="K58" s="117"/>
      <c r="L58" s="117"/>
      <c r="M58" s="173"/>
      <c r="N58" s="1"/>
    </row>
    <row r="59" spans="1:14">
      <c r="A59" s="357"/>
      <c r="B59" s="193"/>
      <c r="C59" s="193"/>
      <c r="D59" s="193"/>
      <c r="E59" s="193"/>
      <c r="F59" s="193"/>
      <c r="G59" s="193"/>
      <c r="H59" s="193"/>
      <c r="I59" s="193"/>
      <c r="J59" s="193"/>
      <c r="K59" s="193"/>
      <c r="L59" s="193"/>
      <c r="M59" s="173"/>
      <c r="N59" s="1"/>
    </row>
    <row r="60" spans="1:14">
      <c r="A60" s="357"/>
      <c r="B60" s="163"/>
      <c r="C60" s="163"/>
      <c r="D60" s="163"/>
      <c r="E60" s="163"/>
      <c r="F60" s="163"/>
      <c r="G60" s="163"/>
      <c r="H60" s="163"/>
      <c r="I60" s="163"/>
      <c r="J60" s="163"/>
      <c r="K60" s="163"/>
      <c r="L60" s="163"/>
    </row>
    <row r="61" spans="1:14">
      <c r="A61" s="357"/>
      <c r="B61" s="117"/>
      <c r="C61" s="117"/>
      <c r="D61" s="117"/>
      <c r="E61" s="117"/>
      <c r="F61" s="117"/>
      <c r="G61" s="117"/>
      <c r="H61" s="117"/>
      <c r="I61" s="117"/>
      <c r="J61" s="117"/>
      <c r="K61" s="117"/>
      <c r="L61" s="117"/>
      <c r="M61" s="173"/>
      <c r="N61" s="1"/>
    </row>
    <row r="62" spans="1:14">
      <c r="A62" s="357"/>
      <c r="B62" s="358"/>
      <c r="C62" s="358"/>
      <c r="D62" s="358"/>
      <c r="E62" s="358"/>
      <c r="F62" s="358"/>
      <c r="G62" s="358"/>
      <c r="H62" s="358"/>
      <c r="I62" s="358"/>
      <c r="J62" s="358"/>
      <c r="K62" s="358"/>
      <c r="L62" s="358"/>
      <c r="M62" s="173"/>
      <c r="N62" s="1"/>
    </row>
    <row r="63" spans="1:14">
      <c r="A63" s="359"/>
      <c r="B63" s="360"/>
      <c r="C63" s="360"/>
      <c r="D63" s="360"/>
      <c r="E63" s="360"/>
      <c r="F63" s="360"/>
      <c r="G63" s="360"/>
      <c r="H63" s="360"/>
      <c r="I63" s="360"/>
      <c r="J63" s="360"/>
      <c r="K63" s="360"/>
      <c r="L63" s="360"/>
      <c r="M63" s="173"/>
      <c r="N63" s="1"/>
    </row>
    <row r="64" spans="1:14">
      <c r="A64" s="359"/>
      <c r="B64" s="360"/>
      <c r="C64" s="360"/>
      <c r="D64" s="360"/>
      <c r="E64" s="360"/>
      <c r="F64" s="360"/>
      <c r="G64" s="360"/>
      <c r="H64" s="360"/>
      <c r="I64" s="360"/>
      <c r="J64" s="360"/>
      <c r="K64" s="360"/>
      <c r="L64" s="360"/>
      <c r="M64" s="173"/>
      <c r="N64" s="1"/>
    </row>
    <row r="65" spans="1:14">
      <c r="A65" s="359"/>
      <c r="B65" s="360"/>
      <c r="C65" s="360"/>
      <c r="D65" s="360"/>
      <c r="E65" s="360"/>
      <c r="F65" s="360"/>
      <c r="G65" s="360"/>
      <c r="H65" s="360"/>
      <c r="I65" s="360"/>
      <c r="J65" s="360"/>
      <c r="K65" s="360"/>
      <c r="L65" s="360"/>
      <c r="M65" s="173"/>
      <c r="N65" s="1"/>
    </row>
    <row r="66" spans="1:14">
      <c r="A66" s="359"/>
      <c r="B66" s="360"/>
      <c r="C66" s="360"/>
      <c r="D66" s="360"/>
      <c r="E66" s="360"/>
      <c r="F66" s="360"/>
      <c r="G66" s="360"/>
      <c r="H66" s="360"/>
      <c r="I66" s="360"/>
      <c r="J66" s="360"/>
      <c r="K66" s="360"/>
      <c r="L66" s="360"/>
      <c r="M66" s="173"/>
      <c r="N66" s="1"/>
    </row>
    <row r="67" spans="1:14" s="17" customFormat="1">
      <c r="A67" s="361"/>
      <c r="B67" s="362"/>
      <c r="C67" s="362"/>
      <c r="D67" s="362"/>
      <c r="E67" s="362"/>
      <c r="F67" s="362"/>
      <c r="G67" s="362"/>
      <c r="H67" s="362"/>
      <c r="I67" s="362"/>
      <c r="J67" s="362"/>
      <c r="K67" s="362"/>
      <c r="L67" s="362"/>
      <c r="M67" s="197"/>
      <c r="N67" s="33"/>
    </row>
    <row r="68" spans="1:14">
      <c r="A68" s="363"/>
      <c r="B68" s="358"/>
      <c r="C68" s="237"/>
      <c r="D68" s="237"/>
      <c r="E68" s="237"/>
      <c r="F68" s="237"/>
      <c r="G68" s="237"/>
      <c r="H68" s="237"/>
      <c r="I68" s="237"/>
      <c r="J68" s="237"/>
      <c r="K68" s="237"/>
      <c r="L68" s="237"/>
      <c r="M68" s="173"/>
      <c r="N68" s="1"/>
    </row>
    <row r="69" spans="1:14">
      <c r="A69" s="242"/>
      <c r="B69" s="358"/>
      <c r="C69" s="237"/>
      <c r="D69" s="237"/>
      <c r="E69" s="237"/>
      <c r="F69" s="237"/>
      <c r="G69" s="237"/>
      <c r="H69" s="237"/>
      <c r="I69" s="237"/>
      <c r="J69" s="237"/>
      <c r="K69" s="237"/>
      <c r="L69" s="237"/>
      <c r="M69" s="173"/>
      <c r="N69" s="1"/>
    </row>
    <row r="70" spans="1:14">
      <c r="A70" s="163"/>
      <c r="B70" s="117"/>
      <c r="C70" s="117"/>
      <c r="D70" s="117"/>
      <c r="E70" s="117"/>
      <c r="F70" s="117"/>
      <c r="G70" s="117"/>
      <c r="H70" s="117"/>
      <c r="I70" s="117"/>
      <c r="J70" s="117"/>
      <c r="K70" s="117"/>
      <c r="L70" s="117"/>
      <c r="M70" s="173"/>
      <c r="N70" s="1"/>
    </row>
    <row r="71" spans="1:14" ht="18.75">
      <c r="A71" s="364"/>
      <c r="B71" s="117"/>
      <c r="C71" s="117"/>
      <c r="D71" s="117"/>
      <c r="E71" s="117"/>
      <c r="F71" s="117"/>
      <c r="G71" s="117"/>
      <c r="H71" s="117"/>
      <c r="I71" s="117"/>
      <c r="J71" s="117"/>
      <c r="K71" s="117"/>
      <c r="L71" s="117"/>
      <c r="M71" s="173"/>
      <c r="N71" s="1"/>
    </row>
    <row r="72" spans="1:14">
      <c r="A72" s="165"/>
      <c r="B72" s="365"/>
      <c r="C72" s="365"/>
      <c r="D72" s="365"/>
      <c r="E72" s="365"/>
      <c r="F72" s="365"/>
      <c r="G72" s="365"/>
      <c r="H72" s="365"/>
      <c r="I72" s="365"/>
      <c r="J72" s="365"/>
      <c r="K72" s="365"/>
      <c r="L72" s="365"/>
      <c r="M72" s="173"/>
      <c r="N72" s="1"/>
    </row>
    <row r="73" spans="1:14">
      <c r="A73" s="163"/>
      <c r="B73" s="117"/>
      <c r="C73" s="117"/>
      <c r="D73" s="117"/>
      <c r="E73" s="117"/>
      <c r="F73" s="117"/>
      <c r="G73" s="117"/>
      <c r="H73" s="117"/>
      <c r="I73" s="117"/>
      <c r="J73" s="117"/>
      <c r="K73" s="117"/>
      <c r="L73" s="117"/>
      <c r="M73" s="173"/>
      <c r="N73" s="1"/>
    </row>
    <row r="74" spans="1:14">
      <c r="A74" s="163"/>
      <c r="B74" s="117"/>
      <c r="C74" s="117"/>
      <c r="D74" s="117"/>
      <c r="E74" s="117"/>
      <c r="F74" s="117"/>
      <c r="G74" s="117"/>
      <c r="H74" s="117"/>
      <c r="I74" s="117"/>
      <c r="J74" s="117"/>
      <c r="K74" s="117"/>
      <c r="L74" s="117"/>
      <c r="M74" s="173"/>
      <c r="N74" s="1"/>
    </row>
    <row r="75" spans="1:14">
      <c r="A75" s="359"/>
      <c r="B75" s="117"/>
      <c r="C75" s="117"/>
      <c r="D75" s="117"/>
      <c r="E75" s="117"/>
      <c r="F75" s="117"/>
      <c r="G75" s="117"/>
      <c r="H75" s="117"/>
      <c r="I75" s="117"/>
      <c r="J75" s="117"/>
      <c r="K75" s="117"/>
      <c r="L75" s="117"/>
      <c r="M75" s="173"/>
      <c r="N75" s="1"/>
    </row>
    <row r="76" spans="1:14">
      <c r="A76" s="359"/>
      <c r="B76" s="117"/>
      <c r="C76" s="117"/>
      <c r="D76" s="117"/>
      <c r="E76" s="117"/>
      <c r="F76" s="117"/>
      <c r="G76" s="117"/>
      <c r="H76" s="117"/>
      <c r="I76" s="117"/>
      <c r="J76" s="117"/>
      <c r="K76" s="117"/>
      <c r="L76" s="117"/>
      <c r="M76" s="173"/>
      <c r="N76" s="1"/>
    </row>
    <row r="77" spans="1:14">
      <c r="A77" s="359"/>
      <c r="B77" s="117"/>
      <c r="C77" s="117"/>
      <c r="D77" s="117"/>
      <c r="E77" s="117"/>
      <c r="F77" s="117"/>
      <c r="G77" s="117"/>
      <c r="H77" s="117"/>
      <c r="I77" s="117"/>
      <c r="J77" s="117"/>
      <c r="K77" s="117"/>
      <c r="L77" s="117"/>
      <c r="M77" s="173"/>
      <c r="N77" s="1"/>
    </row>
    <row r="78" spans="1:14">
      <c r="A78" s="359"/>
      <c r="B78" s="117"/>
      <c r="C78" s="117"/>
      <c r="D78" s="117"/>
      <c r="E78" s="117"/>
      <c r="F78" s="117"/>
      <c r="G78" s="117"/>
      <c r="H78" s="117"/>
      <c r="I78" s="117"/>
      <c r="J78" s="117"/>
      <c r="K78" s="117"/>
      <c r="L78" s="117"/>
      <c r="M78" s="173"/>
      <c r="N78" s="1"/>
    </row>
    <row r="79" spans="1:14">
      <c r="A79" s="357"/>
      <c r="B79" s="117"/>
      <c r="C79" s="117"/>
      <c r="D79" s="117"/>
      <c r="E79" s="117"/>
      <c r="F79" s="117"/>
      <c r="G79" s="117"/>
      <c r="H79" s="117"/>
      <c r="I79" s="117"/>
      <c r="J79" s="117"/>
      <c r="K79" s="117"/>
      <c r="L79" s="117"/>
      <c r="M79" s="173"/>
      <c r="N79" s="1"/>
    </row>
    <row r="80" spans="1:14">
      <c r="A80" s="163"/>
      <c r="B80" s="117"/>
      <c r="C80" s="117"/>
      <c r="D80" s="117"/>
      <c r="E80" s="117"/>
      <c r="F80" s="117"/>
      <c r="G80" s="117"/>
      <c r="H80" s="117"/>
      <c r="I80" s="117"/>
      <c r="J80" s="117"/>
      <c r="K80" s="117"/>
      <c r="L80" s="117"/>
      <c r="M80" s="173"/>
      <c r="N80" s="1"/>
    </row>
    <row r="81" spans="1:14">
      <c r="A81" s="163"/>
      <c r="B81" s="117"/>
      <c r="C81" s="117"/>
      <c r="D81" s="117"/>
      <c r="E81" s="117"/>
      <c r="F81" s="117"/>
      <c r="G81" s="117"/>
      <c r="H81" s="117"/>
      <c r="I81" s="117"/>
      <c r="J81" s="117"/>
      <c r="K81" s="117"/>
      <c r="L81" s="117"/>
      <c r="M81" s="173"/>
      <c r="N81" s="1"/>
    </row>
    <row r="82" spans="1:14">
      <c r="A82" s="163"/>
      <c r="B82" s="159"/>
      <c r="C82" s="159"/>
      <c r="D82" s="159"/>
      <c r="E82" s="159"/>
      <c r="F82" s="159"/>
      <c r="G82" s="159"/>
      <c r="H82" s="159"/>
      <c r="I82" s="159"/>
      <c r="J82" s="159"/>
      <c r="K82" s="159"/>
      <c r="L82" s="159"/>
      <c r="M82" s="173"/>
      <c r="N82" s="1"/>
    </row>
    <row r="83" spans="1:14">
      <c r="A83" s="163"/>
      <c r="B83" s="159"/>
      <c r="C83" s="159"/>
      <c r="D83" s="159"/>
      <c r="E83" s="159"/>
      <c r="F83" s="159"/>
      <c r="G83" s="159"/>
      <c r="H83" s="159"/>
      <c r="I83" s="159"/>
      <c r="J83" s="159"/>
      <c r="K83" s="159"/>
      <c r="L83" s="159"/>
      <c r="M83" s="173"/>
      <c r="N83" s="1"/>
    </row>
    <row r="84" spans="1:14">
      <c r="A84" s="163"/>
      <c r="B84" s="117"/>
      <c r="C84" s="117"/>
      <c r="D84" s="117"/>
      <c r="E84" s="117"/>
      <c r="F84" s="117"/>
      <c r="G84" s="117"/>
      <c r="H84" s="117"/>
      <c r="I84" s="117"/>
      <c r="J84" s="117"/>
      <c r="K84" s="117"/>
      <c r="L84" s="117"/>
      <c r="M84" s="173"/>
      <c r="N84" s="1"/>
    </row>
    <row r="85" spans="1:14">
      <c r="A85" s="163"/>
      <c r="B85" s="117"/>
      <c r="C85" s="117"/>
      <c r="D85" s="117"/>
      <c r="E85" s="117"/>
      <c r="F85" s="117"/>
      <c r="G85" s="117"/>
      <c r="H85" s="117"/>
      <c r="I85" s="117"/>
      <c r="J85" s="117"/>
      <c r="K85" s="117"/>
      <c r="L85" s="117"/>
      <c r="M85" s="173"/>
      <c r="N85" s="1"/>
    </row>
    <row r="86" spans="1:14">
      <c r="A86" s="163"/>
      <c r="B86" s="117"/>
      <c r="C86" s="117"/>
      <c r="D86" s="117"/>
      <c r="E86" s="117"/>
      <c r="F86" s="117"/>
      <c r="G86" s="117"/>
      <c r="H86" s="117"/>
      <c r="I86" s="117"/>
      <c r="J86" s="117"/>
      <c r="K86" s="117"/>
      <c r="L86" s="117"/>
      <c r="M86" s="173"/>
      <c r="N86" s="1"/>
    </row>
    <row r="87" spans="1:14">
      <c r="A87" s="163"/>
      <c r="B87" s="117"/>
      <c r="C87" s="117"/>
      <c r="D87" s="117"/>
      <c r="E87" s="117"/>
      <c r="F87" s="117"/>
      <c r="G87" s="117"/>
      <c r="H87" s="117"/>
      <c r="I87" s="117"/>
      <c r="J87" s="117"/>
      <c r="K87" s="117"/>
      <c r="L87" s="117"/>
      <c r="M87" s="173"/>
      <c r="N87" s="1"/>
    </row>
    <row r="88" spans="1:14">
      <c r="A88" s="163"/>
      <c r="B88" s="117"/>
      <c r="C88" s="117"/>
      <c r="D88" s="117"/>
      <c r="E88" s="117"/>
      <c r="F88" s="117"/>
      <c r="G88" s="117"/>
      <c r="H88" s="117"/>
      <c r="I88" s="117"/>
      <c r="J88" s="117"/>
      <c r="K88" s="117"/>
      <c r="L88" s="117"/>
      <c r="M88" s="173"/>
      <c r="N88" s="1"/>
    </row>
    <row r="89" spans="1:14">
      <c r="A89" s="163"/>
      <c r="B89" s="117"/>
      <c r="C89" s="117"/>
      <c r="D89" s="117"/>
      <c r="E89" s="117"/>
      <c r="F89" s="117"/>
      <c r="G89" s="117"/>
      <c r="H89" s="117"/>
      <c r="I89" s="117"/>
      <c r="J89" s="117"/>
      <c r="K89" s="117"/>
      <c r="L89" s="117"/>
      <c r="M89" s="173"/>
      <c r="N89" s="1"/>
    </row>
    <row r="90" spans="1:14">
      <c r="A90" s="163"/>
      <c r="B90" s="117"/>
      <c r="C90" s="117"/>
      <c r="D90" s="117"/>
      <c r="E90" s="117"/>
      <c r="F90" s="117"/>
      <c r="G90" s="117"/>
      <c r="H90" s="117"/>
      <c r="I90" s="117"/>
      <c r="J90" s="117"/>
      <c r="K90" s="117"/>
      <c r="L90" s="117"/>
      <c r="M90" s="173"/>
      <c r="N90" s="1"/>
    </row>
    <row r="91" spans="1:14">
      <c r="A91" s="163"/>
      <c r="B91" s="117"/>
      <c r="C91" s="117"/>
      <c r="D91" s="117"/>
      <c r="E91" s="117"/>
      <c r="F91" s="117"/>
      <c r="G91" s="117"/>
      <c r="H91" s="117"/>
      <c r="I91" s="117"/>
      <c r="J91" s="117"/>
      <c r="K91" s="117"/>
      <c r="L91" s="117"/>
      <c r="M91" s="173"/>
      <c r="N91" s="1"/>
    </row>
    <row r="92" spans="1:14">
      <c r="A92" s="163"/>
      <c r="B92" s="117"/>
      <c r="C92" s="117"/>
      <c r="D92" s="117"/>
      <c r="E92" s="117"/>
      <c r="F92" s="117"/>
      <c r="G92" s="117"/>
      <c r="H92" s="117"/>
      <c r="I92" s="117"/>
      <c r="J92" s="117"/>
      <c r="K92" s="117"/>
      <c r="L92" s="117"/>
      <c r="M92" s="173"/>
      <c r="N92" s="1"/>
    </row>
    <row r="93" spans="1:14">
      <c r="A93" s="163"/>
      <c r="B93" s="117"/>
      <c r="C93" s="117"/>
      <c r="D93" s="117"/>
      <c r="E93" s="117"/>
      <c r="F93" s="117"/>
      <c r="G93" s="117"/>
      <c r="H93" s="117"/>
      <c r="I93" s="117"/>
      <c r="J93" s="117"/>
      <c r="K93" s="117"/>
      <c r="L93" s="117"/>
      <c r="M93" s="173"/>
      <c r="N93" s="1"/>
    </row>
    <row r="94" spans="1:14">
      <c r="A94" s="163"/>
      <c r="B94" s="117"/>
      <c r="C94" s="117"/>
      <c r="D94" s="117"/>
      <c r="E94" s="117"/>
      <c r="F94" s="117"/>
      <c r="G94" s="117"/>
      <c r="H94" s="117"/>
      <c r="I94" s="117"/>
      <c r="J94" s="117"/>
      <c r="K94" s="117"/>
      <c r="L94" s="117"/>
      <c r="M94" s="173"/>
      <c r="N94" s="1"/>
    </row>
    <row r="95" spans="1:14">
      <c r="A95" s="163"/>
      <c r="B95" s="117"/>
      <c r="C95" s="117"/>
      <c r="D95" s="117"/>
      <c r="E95" s="117"/>
      <c r="F95" s="117"/>
      <c r="G95" s="117"/>
      <c r="H95" s="117"/>
      <c r="I95" s="117"/>
      <c r="J95" s="117"/>
      <c r="K95" s="117"/>
      <c r="L95" s="117"/>
      <c r="M95" s="173"/>
      <c r="N95" s="1"/>
    </row>
    <row r="96" spans="1:14">
      <c r="A96" s="163"/>
      <c r="B96" s="117"/>
      <c r="C96" s="117"/>
      <c r="D96" s="117"/>
      <c r="E96" s="117"/>
      <c r="F96" s="117"/>
      <c r="G96" s="117"/>
      <c r="H96" s="117"/>
      <c r="I96" s="117"/>
      <c r="J96" s="117"/>
      <c r="K96" s="117"/>
      <c r="L96" s="117"/>
      <c r="M96" s="173"/>
      <c r="N96" s="1"/>
    </row>
    <row r="97" spans="1:14">
      <c r="A97" s="163"/>
      <c r="B97" s="117"/>
      <c r="C97" s="117"/>
      <c r="D97" s="117"/>
      <c r="E97" s="117"/>
      <c r="F97" s="117"/>
      <c r="G97" s="117"/>
      <c r="H97" s="117"/>
      <c r="I97" s="117"/>
      <c r="J97" s="117"/>
      <c r="K97" s="117"/>
      <c r="L97" s="117"/>
      <c r="M97" s="173"/>
      <c r="N97" s="1"/>
    </row>
    <row r="98" spans="1:14">
      <c r="A98" s="163"/>
      <c r="B98" s="117"/>
      <c r="C98" s="117"/>
      <c r="D98" s="117"/>
      <c r="E98" s="117"/>
      <c r="F98" s="117"/>
      <c r="G98" s="117"/>
      <c r="H98" s="117"/>
      <c r="I98" s="117"/>
      <c r="J98" s="117"/>
      <c r="K98" s="117"/>
      <c r="L98" s="117"/>
      <c r="M98" s="173"/>
      <c r="N98" s="1"/>
    </row>
    <row r="99" spans="1:14">
      <c r="A99" s="163"/>
      <c r="B99" s="117"/>
      <c r="C99" s="117"/>
      <c r="D99" s="117"/>
      <c r="E99" s="117"/>
      <c r="F99" s="117"/>
      <c r="G99" s="117"/>
      <c r="H99" s="117"/>
      <c r="I99" s="117"/>
      <c r="J99" s="117"/>
      <c r="K99" s="117"/>
      <c r="L99" s="117"/>
      <c r="M99" s="173"/>
      <c r="N99" s="1"/>
    </row>
    <row r="100" spans="1:14">
      <c r="A100" s="163"/>
      <c r="B100" s="117"/>
      <c r="C100" s="117"/>
      <c r="D100" s="117"/>
      <c r="E100" s="117"/>
      <c r="F100" s="117"/>
      <c r="G100" s="117"/>
      <c r="H100" s="117"/>
      <c r="I100" s="117"/>
      <c r="J100" s="117"/>
      <c r="K100" s="117"/>
      <c r="L100" s="117"/>
      <c r="M100" s="173"/>
      <c r="N100" s="1"/>
    </row>
    <row r="101" spans="1:14">
      <c r="A101" s="163"/>
      <c r="B101" s="117"/>
      <c r="C101" s="117"/>
      <c r="D101" s="117"/>
      <c r="E101" s="117"/>
      <c r="F101" s="117"/>
      <c r="G101" s="117"/>
      <c r="H101" s="117"/>
      <c r="I101" s="117"/>
      <c r="J101" s="117"/>
      <c r="K101" s="117"/>
      <c r="L101" s="117"/>
      <c r="M101" s="173"/>
      <c r="N101" s="1"/>
    </row>
    <row r="102" spans="1:14">
      <c r="A102" s="163"/>
      <c r="B102" s="117"/>
      <c r="C102" s="117"/>
      <c r="D102" s="117"/>
      <c r="E102" s="117"/>
      <c r="F102" s="117"/>
      <c r="G102" s="117"/>
      <c r="H102" s="117"/>
      <c r="I102" s="117"/>
      <c r="J102" s="117"/>
      <c r="K102" s="117"/>
      <c r="L102" s="117"/>
      <c r="M102" s="173"/>
      <c r="N102" s="1"/>
    </row>
    <row r="103" spans="1:14">
      <c r="A103" s="163"/>
      <c r="B103" s="117"/>
      <c r="C103" s="117"/>
      <c r="D103" s="117"/>
      <c r="E103" s="117"/>
      <c r="F103" s="117"/>
      <c r="G103" s="117"/>
      <c r="H103" s="117"/>
      <c r="I103" s="117"/>
      <c r="J103" s="117"/>
      <c r="K103" s="117"/>
      <c r="L103" s="117"/>
      <c r="M103" s="173"/>
      <c r="N103" s="1"/>
    </row>
    <row r="104" spans="1:14">
      <c r="A104" s="163"/>
      <c r="B104" s="117"/>
      <c r="C104" s="117"/>
      <c r="D104" s="117"/>
      <c r="E104" s="117"/>
      <c r="F104" s="117"/>
      <c r="G104" s="117"/>
      <c r="H104" s="117"/>
      <c r="I104" s="117"/>
      <c r="J104" s="117"/>
      <c r="K104" s="117"/>
      <c r="L104" s="117"/>
      <c r="M104" s="173"/>
      <c r="N104" s="1"/>
    </row>
    <row r="105" spans="1:14">
      <c r="A105" s="163"/>
      <c r="B105" s="117"/>
      <c r="C105" s="117"/>
      <c r="D105" s="117"/>
      <c r="E105" s="117"/>
      <c r="F105" s="117"/>
      <c r="G105" s="117"/>
      <c r="H105" s="117"/>
      <c r="I105" s="117"/>
      <c r="J105" s="117"/>
      <c r="K105" s="117"/>
      <c r="L105" s="117"/>
      <c r="M105" s="173"/>
      <c r="N105" s="1"/>
    </row>
    <row r="106" spans="1:14">
      <c r="A106" s="163"/>
      <c r="B106" s="117"/>
      <c r="C106" s="117"/>
      <c r="D106" s="117"/>
      <c r="E106" s="117"/>
      <c r="F106" s="117"/>
      <c r="G106" s="117"/>
      <c r="H106" s="117"/>
      <c r="I106" s="117"/>
      <c r="J106" s="117"/>
      <c r="K106" s="117"/>
      <c r="L106" s="117"/>
      <c r="M106" s="173"/>
      <c r="N106" s="1"/>
    </row>
    <row r="107" spans="1:14">
      <c r="A107" s="163"/>
      <c r="B107" s="117"/>
      <c r="C107" s="117"/>
      <c r="D107" s="117"/>
      <c r="E107" s="117"/>
      <c r="F107" s="117"/>
      <c r="G107" s="117"/>
      <c r="H107" s="117"/>
      <c r="I107" s="117"/>
      <c r="J107" s="117"/>
      <c r="K107" s="117"/>
      <c r="L107" s="117"/>
      <c r="M107" s="173"/>
      <c r="N107" s="1"/>
    </row>
    <row r="108" spans="1:14">
      <c r="A108" s="163"/>
      <c r="B108" s="117"/>
      <c r="C108" s="117"/>
      <c r="D108" s="117"/>
      <c r="E108" s="117"/>
      <c r="F108" s="117"/>
      <c r="G108" s="117"/>
      <c r="H108" s="117"/>
      <c r="I108" s="117"/>
      <c r="J108" s="117"/>
      <c r="K108" s="117"/>
      <c r="L108" s="117"/>
      <c r="M108" s="173"/>
      <c r="N108" s="1"/>
    </row>
    <row r="109" spans="1:14">
      <c r="A109" s="163"/>
      <c r="B109" s="117"/>
      <c r="C109" s="117"/>
      <c r="D109" s="117"/>
      <c r="E109" s="117"/>
      <c r="F109" s="117"/>
      <c r="G109" s="117"/>
      <c r="H109" s="117"/>
      <c r="I109" s="117"/>
      <c r="J109" s="117"/>
      <c r="K109" s="117"/>
      <c r="L109" s="117"/>
      <c r="M109" s="173"/>
      <c r="N109" s="1"/>
    </row>
    <row r="110" spans="1:14">
      <c r="A110" s="163"/>
      <c r="B110" s="117"/>
      <c r="C110" s="117"/>
      <c r="D110" s="117"/>
      <c r="E110" s="117"/>
      <c r="F110" s="117"/>
      <c r="G110" s="117"/>
      <c r="H110" s="117"/>
      <c r="I110" s="117"/>
      <c r="J110" s="117"/>
      <c r="K110" s="117"/>
      <c r="L110" s="117"/>
      <c r="M110" s="173"/>
      <c r="N110" s="1"/>
    </row>
    <row r="111" spans="1:14">
      <c r="A111" s="163"/>
      <c r="B111" s="117"/>
      <c r="C111" s="117"/>
      <c r="D111" s="117"/>
      <c r="E111" s="117"/>
      <c r="F111" s="117"/>
      <c r="G111" s="117"/>
      <c r="H111" s="117"/>
      <c r="I111" s="117"/>
      <c r="J111" s="117"/>
      <c r="K111" s="117"/>
      <c r="L111" s="117"/>
      <c r="M111" s="173"/>
      <c r="N111" s="1"/>
    </row>
    <row r="112" spans="1:14">
      <c r="A112" s="163"/>
      <c r="B112" s="117"/>
      <c r="C112" s="117"/>
      <c r="D112" s="117"/>
      <c r="E112" s="117"/>
      <c r="F112" s="117"/>
      <c r="G112" s="117"/>
      <c r="H112" s="117"/>
      <c r="I112" s="117"/>
      <c r="J112" s="117"/>
      <c r="K112" s="117"/>
      <c r="L112" s="117"/>
      <c r="M112" s="173"/>
      <c r="N112" s="1"/>
    </row>
    <row r="113" spans="1:14">
      <c r="A113" s="163"/>
      <c r="B113" s="117"/>
      <c r="C113" s="117"/>
      <c r="D113" s="117"/>
      <c r="E113" s="117"/>
      <c r="F113" s="117"/>
      <c r="G113" s="117"/>
      <c r="H113" s="117"/>
      <c r="I113" s="117"/>
      <c r="J113" s="117"/>
      <c r="K113" s="117"/>
      <c r="L113" s="117"/>
      <c r="M113" s="173"/>
      <c r="N113" s="1"/>
    </row>
    <row r="114" spans="1:14">
      <c r="A114" s="163"/>
      <c r="B114" s="117"/>
      <c r="C114" s="117"/>
      <c r="D114" s="117"/>
      <c r="E114" s="117"/>
      <c r="F114" s="117"/>
      <c r="G114" s="117"/>
      <c r="H114" s="117"/>
      <c r="I114" s="117"/>
      <c r="J114" s="117"/>
      <c r="K114" s="117"/>
      <c r="L114" s="117"/>
      <c r="M114" s="173"/>
      <c r="N114" s="1"/>
    </row>
    <row r="115" spans="1:14">
      <c r="A115" s="163"/>
      <c r="B115" s="117"/>
      <c r="C115" s="117"/>
      <c r="D115" s="117"/>
      <c r="E115" s="117"/>
      <c r="F115" s="117"/>
      <c r="G115" s="117"/>
      <c r="H115" s="117"/>
      <c r="I115" s="117"/>
      <c r="J115" s="117"/>
      <c r="K115" s="117"/>
      <c r="L115" s="117"/>
      <c r="M115" s="173"/>
      <c r="N115" s="1"/>
    </row>
    <row r="116" spans="1:14">
      <c r="A116" s="163"/>
      <c r="B116" s="117"/>
      <c r="C116" s="117"/>
      <c r="D116" s="117"/>
      <c r="E116" s="117"/>
      <c r="F116" s="117"/>
      <c r="G116" s="117"/>
      <c r="H116" s="117"/>
      <c r="I116" s="117"/>
      <c r="J116" s="117"/>
      <c r="K116" s="117"/>
      <c r="L116" s="117"/>
      <c r="M116" s="173"/>
      <c r="N116" s="1"/>
    </row>
    <row r="117" spans="1:14">
      <c r="A117" s="163"/>
      <c r="B117" s="117"/>
      <c r="C117" s="117"/>
      <c r="D117" s="117"/>
      <c r="E117" s="117"/>
      <c r="F117" s="117"/>
      <c r="G117" s="117"/>
      <c r="H117" s="117"/>
      <c r="I117" s="117"/>
      <c r="J117" s="117"/>
      <c r="K117" s="117"/>
      <c r="L117" s="117"/>
      <c r="M117" s="173"/>
      <c r="N117" s="1"/>
    </row>
    <row r="118" spans="1:14">
      <c r="A118" s="163"/>
      <c r="B118" s="117"/>
      <c r="C118" s="117"/>
      <c r="D118" s="117"/>
      <c r="E118" s="117"/>
      <c r="F118" s="117"/>
      <c r="G118" s="117"/>
      <c r="H118" s="117"/>
      <c r="I118" s="117"/>
      <c r="J118" s="117"/>
      <c r="K118" s="117"/>
      <c r="L118" s="117"/>
      <c r="M118" s="173"/>
      <c r="N118" s="1"/>
    </row>
    <row r="119" spans="1:14">
      <c r="A119" s="163"/>
      <c r="B119" s="117"/>
      <c r="C119" s="117"/>
      <c r="D119" s="117"/>
      <c r="E119" s="117"/>
      <c r="F119" s="117"/>
      <c r="G119" s="117"/>
      <c r="H119" s="117"/>
      <c r="I119" s="117"/>
      <c r="J119" s="117"/>
      <c r="K119" s="117"/>
      <c r="L119" s="117"/>
      <c r="M119" s="173"/>
      <c r="N119" s="1"/>
    </row>
    <row r="120" spans="1:14">
      <c r="A120" s="163"/>
      <c r="B120" s="117"/>
      <c r="C120" s="117"/>
      <c r="D120" s="117"/>
      <c r="E120" s="117"/>
      <c r="F120" s="117"/>
      <c r="G120" s="117"/>
      <c r="H120" s="117"/>
      <c r="I120" s="117"/>
      <c r="J120" s="117"/>
      <c r="K120" s="117"/>
      <c r="L120" s="117"/>
      <c r="M120" s="173"/>
      <c r="N120" s="1"/>
    </row>
    <row r="121" spans="1:14">
      <c r="A121" s="163"/>
      <c r="B121" s="117"/>
      <c r="C121" s="117"/>
      <c r="D121" s="117"/>
      <c r="E121" s="117"/>
      <c r="F121" s="117"/>
      <c r="G121" s="117"/>
      <c r="H121" s="117"/>
      <c r="I121" s="117"/>
      <c r="J121" s="117"/>
      <c r="K121" s="117"/>
      <c r="L121" s="117"/>
      <c r="M121" s="173"/>
      <c r="N121" s="1"/>
    </row>
    <row r="122" spans="1:14">
      <c r="A122" s="163"/>
      <c r="B122" s="117"/>
      <c r="C122" s="117"/>
      <c r="D122" s="117"/>
      <c r="E122" s="117"/>
      <c r="F122" s="117"/>
      <c r="G122" s="117"/>
      <c r="H122" s="117"/>
      <c r="I122" s="117"/>
      <c r="J122" s="117"/>
      <c r="K122" s="117"/>
      <c r="L122" s="117"/>
      <c r="M122" s="173"/>
      <c r="N122" s="1"/>
    </row>
    <row r="123" spans="1:14">
      <c r="A123" s="163"/>
      <c r="B123" s="117"/>
      <c r="C123" s="117"/>
      <c r="D123" s="117"/>
      <c r="E123" s="117"/>
      <c r="F123" s="117"/>
      <c r="G123" s="117"/>
      <c r="H123" s="117"/>
      <c r="I123" s="117"/>
      <c r="J123" s="117"/>
      <c r="K123" s="117"/>
      <c r="L123" s="117"/>
      <c r="M123" s="173"/>
      <c r="N123" s="1"/>
    </row>
    <row r="124" spans="1:14">
      <c r="A124" s="163"/>
      <c r="B124" s="117"/>
      <c r="C124" s="117"/>
      <c r="D124" s="117"/>
      <c r="E124" s="117"/>
      <c r="F124" s="117"/>
      <c r="G124" s="117"/>
      <c r="H124" s="117"/>
      <c r="I124" s="117"/>
      <c r="J124" s="117"/>
      <c r="K124" s="117"/>
      <c r="L124" s="117"/>
      <c r="M124" s="173"/>
      <c r="N124" s="1"/>
    </row>
    <row r="125" spans="1:14">
      <c r="A125" s="163"/>
      <c r="B125" s="117"/>
      <c r="C125" s="117"/>
      <c r="D125" s="117"/>
      <c r="E125" s="117"/>
      <c r="F125" s="117"/>
      <c r="G125" s="117"/>
      <c r="H125" s="117"/>
      <c r="I125" s="117"/>
      <c r="J125" s="117"/>
      <c r="K125" s="117"/>
      <c r="L125" s="117"/>
      <c r="M125" s="173"/>
      <c r="N125" s="1"/>
    </row>
    <row r="126" spans="1:14">
      <c r="A126" s="163"/>
      <c r="B126" s="117"/>
      <c r="C126" s="117"/>
      <c r="D126" s="117"/>
      <c r="E126" s="117"/>
      <c r="F126" s="117"/>
      <c r="G126" s="117"/>
      <c r="H126" s="117"/>
      <c r="I126" s="117"/>
      <c r="J126" s="117"/>
      <c r="K126" s="117"/>
      <c r="L126" s="117"/>
      <c r="M126" s="173"/>
      <c r="N126" s="1"/>
    </row>
    <row r="127" spans="1:14">
      <c r="A127" s="163"/>
      <c r="B127" s="117"/>
      <c r="C127" s="117"/>
      <c r="D127" s="117"/>
      <c r="E127" s="117"/>
      <c r="F127" s="117"/>
      <c r="G127" s="117"/>
      <c r="H127" s="117"/>
      <c r="I127" s="117"/>
      <c r="J127" s="117"/>
      <c r="K127" s="117"/>
      <c r="L127" s="117"/>
      <c r="M127" s="173"/>
      <c r="N127" s="1"/>
    </row>
    <row r="128" spans="1:14">
      <c r="A128" s="163"/>
      <c r="B128" s="117"/>
      <c r="C128" s="117"/>
      <c r="D128" s="117"/>
      <c r="E128" s="117"/>
      <c r="F128" s="117"/>
      <c r="G128" s="117"/>
      <c r="H128" s="117"/>
      <c r="I128" s="117"/>
      <c r="J128" s="117"/>
      <c r="K128" s="117"/>
      <c r="L128" s="117"/>
      <c r="M128" s="173"/>
      <c r="N128" s="1"/>
    </row>
    <row r="129" spans="1:14">
      <c r="A129" s="163"/>
      <c r="B129" s="117"/>
      <c r="C129" s="117"/>
      <c r="D129" s="117"/>
      <c r="E129" s="117"/>
      <c r="F129" s="117"/>
      <c r="G129" s="117"/>
      <c r="H129" s="117"/>
      <c r="I129" s="117"/>
      <c r="J129" s="117"/>
      <c r="K129" s="117"/>
      <c r="L129" s="117"/>
      <c r="M129" s="173"/>
      <c r="N129" s="1"/>
    </row>
    <row r="130" spans="1:14">
      <c r="A130" s="163"/>
      <c r="B130" s="117"/>
      <c r="C130" s="117"/>
      <c r="D130" s="117"/>
      <c r="E130" s="117"/>
      <c r="F130" s="117"/>
      <c r="G130" s="117"/>
      <c r="H130" s="117"/>
      <c r="I130" s="117"/>
      <c r="J130" s="117"/>
      <c r="K130" s="117"/>
      <c r="L130" s="117"/>
      <c r="M130" s="173"/>
      <c r="N130" s="1"/>
    </row>
    <row r="131" spans="1:14">
      <c r="A131" s="163"/>
      <c r="B131" s="117"/>
      <c r="C131" s="117"/>
      <c r="D131" s="117"/>
      <c r="E131" s="117"/>
      <c r="F131" s="117"/>
      <c r="G131" s="117"/>
      <c r="H131" s="117"/>
      <c r="I131" s="117"/>
      <c r="J131" s="117"/>
      <c r="K131" s="117"/>
      <c r="L131" s="117"/>
      <c r="M131" s="173"/>
      <c r="N131" s="1"/>
    </row>
    <row r="132" spans="1:14">
      <c r="A132" s="163"/>
      <c r="B132" s="117"/>
      <c r="C132" s="117"/>
      <c r="D132" s="117"/>
      <c r="E132" s="117"/>
      <c r="F132" s="117"/>
      <c r="G132" s="117"/>
      <c r="H132" s="117"/>
      <c r="I132" s="117"/>
      <c r="J132" s="117"/>
      <c r="K132" s="117"/>
      <c r="L132" s="117"/>
      <c r="M132" s="173"/>
      <c r="N132" s="1"/>
    </row>
    <row r="133" spans="1:14">
      <c r="A133" s="163"/>
      <c r="B133" s="117"/>
      <c r="C133" s="117"/>
      <c r="D133" s="117"/>
      <c r="E133" s="117"/>
      <c r="F133" s="117"/>
      <c r="G133" s="117"/>
      <c r="H133" s="117"/>
      <c r="I133" s="117"/>
      <c r="J133" s="117"/>
      <c r="K133" s="117"/>
      <c r="L133" s="117"/>
      <c r="M133" s="173"/>
      <c r="N133" s="1"/>
    </row>
    <row r="134" spans="1:14">
      <c r="A134" s="163"/>
      <c r="B134" s="117"/>
      <c r="C134" s="117"/>
      <c r="D134" s="117"/>
      <c r="E134" s="117"/>
      <c r="F134" s="117"/>
      <c r="G134" s="117"/>
      <c r="H134" s="117"/>
      <c r="I134" s="117"/>
      <c r="J134" s="117"/>
      <c r="K134" s="117"/>
      <c r="L134" s="117"/>
      <c r="M134" s="173"/>
      <c r="N134" s="1"/>
    </row>
    <row r="135" spans="1:14">
      <c r="A135" s="163"/>
      <c r="B135" s="117"/>
      <c r="C135" s="117"/>
      <c r="D135" s="117"/>
      <c r="E135" s="117"/>
      <c r="F135" s="117"/>
      <c r="G135" s="117"/>
      <c r="H135" s="117"/>
      <c r="I135" s="117"/>
      <c r="J135" s="117"/>
      <c r="K135" s="117"/>
      <c r="L135" s="117"/>
      <c r="M135" s="173"/>
      <c r="N135" s="1"/>
    </row>
    <row r="136" spans="1:14">
      <c r="A136" s="163"/>
      <c r="B136" s="117"/>
      <c r="C136" s="117"/>
      <c r="D136" s="117"/>
      <c r="E136" s="117"/>
      <c r="F136" s="117"/>
      <c r="G136" s="117"/>
      <c r="H136" s="117"/>
      <c r="I136" s="117"/>
      <c r="J136" s="117"/>
      <c r="K136" s="117"/>
      <c r="L136" s="117"/>
      <c r="M136" s="173"/>
      <c r="N136" s="1"/>
    </row>
    <row r="137" spans="1:14">
      <c r="A137" s="163"/>
      <c r="B137" s="117"/>
      <c r="C137" s="117"/>
      <c r="D137" s="117"/>
      <c r="E137" s="117"/>
      <c r="F137" s="117"/>
      <c r="G137" s="117"/>
      <c r="H137" s="117"/>
      <c r="I137" s="117"/>
      <c r="J137" s="117"/>
      <c r="K137" s="117"/>
      <c r="L137" s="117"/>
      <c r="M137" s="173"/>
      <c r="N137" s="1"/>
    </row>
    <row r="138" spans="1:14">
      <c r="A138" s="163"/>
      <c r="B138" s="117"/>
      <c r="C138" s="117"/>
      <c r="D138" s="117"/>
      <c r="E138" s="117"/>
      <c r="F138" s="117"/>
      <c r="G138" s="117"/>
      <c r="H138" s="117"/>
      <c r="I138" s="117"/>
      <c r="J138" s="117"/>
      <c r="K138" s="117"/>
      <c r="L138" s="117"/>
      <c r="M138" s="173"/>
      <c r="N138" s="1"/>
    </row>
    <row r="139" spans="1:14">
      <c r="A139" s="163"/>
      <c r="B139" s="117"/>
      <c r="C139" s="117"/>
      <c r="D139" s="117"/>
      <c r="E139" s="117"/>
      <c r="F139" s="117"/>
      <c r="G139" s="117"/>
      <c r="H139" s="117"/>
      <c r="I139" s="117"/>
      <c r="J139" s="117"/>
      <c r="K139" s="117"/>
      <c r="L139" s="117"/>
      <c r="M139" s="173"/>
      <c r="N139" s="1"/>
    </row>
    <row r="140" spans="1:14">
      <c r="A140" s="163"/>
      <c r="B140" s="117"/>
      <c r="C140" s="117"/>
      <c r="D140" s="117"/>
      <c r="E140" s="117"/>
      <c r="F140" s="117"/>
      <c r="G140" s="117"/>
      <c r="H140" s="117"/>
      <c r="I140" s="117"/>
      <c r="J140" s="117"/>
      <c r="K140" s="117"/>
      <c r="L140" s="117"/>
      <c r="M140" s="173"/>
      <c r="N140" s="1"/>
    </row>
    <row r="141" spans="1:14">
      <c r="A141" s="163"/>
      <c r="B141" s="117"/>
      <c r="C141" s="117"/>
      <c r="D141" s="117"/>
      <c r="E141" s="117"/>
      <c r="F141" s="117"/>
      <c r="G141" s="117"/>
      <c r="H141" s="117"/>
      <c r="I141" s="117"/>
      <c r="J141" s="117"/>
      <c r="K141" s="117"/>
      <c r="L141" s="117"/>
      <c r="M141" s="173"/>
      <c r="N141" s="1"/>
    </row>
    <row r="142" spans="1:14">
      <c r="A142" s="163"/>
      <c r="B142" s="117"/>
      <c r="C142" s="117"/>
      <c r="D142" s="117"/>
      <c r="E142" s="117"/>
      <c r="F142" s="117"/>
      <c r="G142" s="117"/>
      <c r="H142" s="117"/>
      <c r="I142" s="117"/>
      <c r="J142" s="117"/>
      <c r="K142" s="117"/>
      <c r="L142" s="117"/>
      <c r="M142" s="173"/>
      <c r="N142" s="1"/>
    </row>
    <row r="143" spans="1:14">
      <c r="A143" s="163"/>
      <c r="B143" s="117"/>
      <c r="C143" s="117"/>
      <c r="D143" s="117"/>
      <c r="E143" s="117"/>
      <c r="F143" s="117"/>
      <c r="G143" s="117"/>
      <c r="H143" s="117"/>
      <c r="I143" s="117"/>
      <c r="J143" s="117"/>
      <c r="K143" s="117"/>
      <c r="L143" s="117"/>
      <c r="M143" s="173"/>
      <c r="N143" s="1"/>
    </row>
    <row r="144" spans="1:14">
      <c r="A144" s="163"/>
      <c r="B144" s="117"/>
      <c r="C144" s="117"/>
      <c r="D144" s="117"/>
      <c r="E144" s="117"/>
      <c r="F144" s="117"/>
      <c r="G144" s="117"/>
      <c r="H144" s="117"/>
      <c r="I144" s="117"/>
      <c r="J144" s="117"/>
      <c r="K144" s="117"/>
      <c r="L144" s="117"/>
      <c r="M144" s="173"/>
      <c r="N144" s="1"/>
    </row>
    <row r="145" spans="1:14">
      <c r="A145" s="163"/>
      <c r="B145" s="117"/>
      <c r="C145" s="117"/>
      <c r="D145" s="117"/>
      <c r="E145" s="117"/>
      <c r="F145" s="117"/>
      <c r="G145" s="117"/>
      <c r="H145" s="117"/>
      <c r="I145" s="117"/>
      <c r="J145" s="117"/>
      <c r="K145" s="117"/>
      <c r="L145" s="117"/>
      <c r="M145" s="173"/>
      <c r="N145" s="1"/>
    </row>
    <row r="146" spans="1:14">
      <c r="A146" s="163"/>
      <c r="B146" s="117"/>
      <c r="C146" s="117"/>
      <c r="D146" s="117"/>
      <c r="E146" s="117"/>
      <c r="F146" s="117"/>
      <c r="G146" s="117"/>
      <c r="H146" s="117"/>
      <c r="I146" s="117"/>
      <c r="J146" s="117"/>
      <c r="K146" s="117"/>
      <c r="L146" s="117"/>
      <c r="M146" s="173"/>
      <c r="N146" s="1"/>
    </row>
    <row r="147" spans="1:14">
      <c r="A147" s="163"/>
      <c r="B147" s="117"/>
      <c r="C147" s="117"/>
      <c r="D147" s="117"/>
      <c r="E147" s="117"/>
      <c r="F147" s="117"/>
      <c r="G147" s="117"/>
      <c r="H147" s="117"/>
      <c r="I147" s="117"/>
      <c r="J147" s="117"/>
      <c r="K147" s="117"/>
      <c r="L147" s="117"/>
      <c r="M147" s="173"/>
      <c r="N147" s="1"/>
    </row>
    <row r="148" spans="1:14">
      <c r="A148" s="163"/>
      <c r="B148" s="117"/>
      <c r="C148" s="117"/>
      <c r="D148" s="117"/>
      <c r="E148" s="117"/>
      <c r="F148" s="117"/>
      <c r="G148" s="117"/>
      <c r="H148" s="117"/>
      <c r="I148" s="117"/>
      <c r="J148" s="117"/>
      <c r="K148" s="117"/>
      <c r="L148" s="117"/>
      <c r="M148" s="173"/>
      <c r="N148" s="1"/>
    </row>
    <row r="149" spans="1:14">
      <c r="A149" s="163"/>
      <c r="B149" s="117"/>
      <c r="C149" s="117"/>
      <c r="D149" s="117"/>
      <c r="E149" s="117"/>
      <c r="F149" s="117"/>
      <c r="G149" s="117"/>
      <c r="H149" s="117"/>
      <c r="I149" s="117"/>
      <c r="J149" s="117"/>
      <c r="K149" s="117"/>
      <c r="L149" s="117"/>
      <c r="M149" s="173"/>
      <c r="N149" s="1"/>
    </row>
    <row r="150" spans="1:14">
      <c r="A150" s="163"/>
      <c r="B150" s="117"/>
      <c r="C150" s="117"/>
      <c r="D150" s="117"/>
      <c r="E150" s="117"/>
      <c r="F150" s="117"/>
      <c r="G150" s="117"/>
      <c r="H150" s="117"/>
      <c r="I150" s="117"/>
      <c r="J150" s="117"/>
      <c r="K150" s="117"/>
      <c r="L150" s="117"/>
      <c r="M150" s="173"/>
      <c r="N150" s="1"/>
    </row>
    <row r="151" spans="1:14">
      <c r="A151" s="163"/>
      <c r="B151" s="117"/>
      <c r="C151" s="117"/>
      <c r="D151" s="117"/>
      <c r="E151" s="117"/>
      <c r="F151" s="117"/>
      <c r="G151" s="117"/>
      <c r="H151" s="117"/>
      <c r="I151" s="117"/>
      <c r="J151" s="117"/>
      <c r="K151" s="117"/>
      <c r="L151" s="117"/>
      <c r="M151" s="173"/>
      <c r="N151" s="1"/>
    </row>
    <row r="152" spans="1:14">
      <c r="A152" s="163"/>
      <c r="B152" s="117"/>
      <c r="C152" s="117"/>
      <c r="D152" s="117"/>
      <c r="E152" s="117"/>
      <c r="F152" s="117"/>
      <c r="G152" s="117"/>
      <c r="H152" s="117"/>
      <c r="I152" s="117"/>
      <c r="J152" s="117"/>
      <c r="K152" s="117"/>
      <c r="L152" s="117"/>
      <c r="M152" s="173"/>
      <c r="N152" s="1"/>
    </row>
    <row r="153" spans="1:14">
      <c r="A153" s="163"/>
      <c r="B153" s="117"/>
      <c r="C153" s="117"/>
      <c r="D153" s="117"/>
      <c r="E153" s="117"/>
      <c r="F153" s="117"/>
      <c r="G153" s="117"/>
      <c r="H153" s="117"/>
      <c r="I153" s="117"/>
      <c r="J153" s="117"/>
      <c r="K153" s="117"/>
      <c r="L153" s="117"/>
      <c r="M153" s="173"/>
      <c r="N153" s="1"/>
    </row>
    <row r="154" spans="1:14">
      <c r="A154" s="163"/>
      <c r="B154" s="117"/>
      <c r="C154" s="117"/>
      <c r="D154" s="117"/>
      <c r="E154" s="117"/>
      <c r="F154" s="117"/>
      <c r="G154" s="117"/>
      <c r="H154" s="117"/>
      <c r="I154" s="117"/>
      <c r="J154" s="117"/>
      <c r="K154" s="117"/>
      <c r="L154" s="117"/>
      <c r="M154" s="173"/>
      <c r="N154" s="1"/>
    </row>
    <row r="155" spans="1:14">
      <c r="A155" s="163"/>
      <c r="B155" s="117"/>
      <c r="C155" s="117"/>
      <c r="D155" s="117"/>
      <c r="E155" s="117"/>
      <c r="F155" s="117"/>
      <c r="G155" s="117"/>
      <c r="H155" s="117"/>
      <c r="I155" s="117"/>
      <c r="J155" s="117"/>
      <c r="K155" s="117"/>
      <c r="L155" s="117"/>
      <c r="M155" s="173"/>
      <c r="N155" s="1"/>
    </row>
    <row r="156" spans="1:14">
      <c r="A156" s="163"/>
      <c r="B156" s="117"/>
      <c r="C156" s="117"/>
      <c r="D156" s="117"/>
      <c r="E156" s="117"/>
      <c r="F156" s="117"/>
      <c r="G156" s="117"/>
      <c r="H156" s="117"/>
      <c r="I156" s="117"/>
      <c r="J156" s="117"/>
      <c r="K156" s="117"/>
      <c r="L156" s="117"/>
      <c r="M156" s="173"/>
      <c r="N156" s="1"/>
    </row>
    <row r="157" spans="1:14">
      <c r="A157" s="163"/>
      <c r="B157" s="117"/>
      <c r="C157" s="117"/>
      <c r="D157" s="117"/>
      <c r="E157" s="117"/>
      <c r="F157" s="117"/>
      <c r="G157" s="117"/>
      <c r="H157" s="117"/>
      <c r="I157" s="117"/>
      <c r="J157" s="117"/>
      <c r="K157" s="117"/>
      <c r="L157" s="117"/>
      <c r="M157" s="173"/>
      <c r="N157" s="1"/>
    </row>
    <row r="158" spans="1:14">
      <c r="A158" s="163"/>
      <c r="B158" s="117"/>
      <c r="C158" s="117"/>
      <c r="D158" s="117"/>
      <c r="E158" s="117"/>
      <c r="F158" s="117"/>
      <c r="G158" s="117"/>
      <c r="H158" s="117"/>
      <c r="I158" s="117"/>
      <c r="J158" s="117"/>
      <c r="K158" s="117"/>
      <c r="L158" s="117"/>
      <c r="M158" s="173"/>
      <c r="N158" s="1"/>
    </row>
    <row r="159" spans="1:14">
      <c r="A159" s="163"/>
      <c r="B159" s="117"/>
      <c r="C159" s="117"/>
      <c r="D159" s="117"/>
      <c r="E159" s="117"/>
      <c r="F159" s="117"/>
      <c r="G159" s="117"/>
      <c r="H159" s="117"/>
      <c r="I159" s="117"/>
      <c r="J159" s="117"/>
      <c r="K159" s="117"/>
      <c r="L159" s="117"/>
      <c r="M159" s="173"/>
      <c r="N159" s="1"/>
    </row>
    <row r="160" spans="1:14">
      <c r="A160" s="163"/>
      <c r="B160" s="117"/>
      <c r="C160" s="117"/>
      <c r="D160" s="117"/>
      <c r="E160" s="117"/>
      <c r="F160" s="117"/>
      <c r="G160" s="117"/>
      <c r="H160" s="117"/>
      <c r="I160" s="117"/>
      <c r="J160" s="117"/>
      <c r="K160" s="117"/>
      <c r="L160" s="117"/>
      <c r="M160" s="173"/>
      <c r="N160" s="1"/>
    </row>
    <row r="161" spans="1:14">
      <c r="A161" s="163"/>
      <c r="B161" s="117"/>
      <c r="C161" s="117"/>
      <c r="D161" s="117"/>
      <c r="E161" s="117"/>
      <c r="F161" s="117"/>
      <c r="G161" s="117"/>
      <c r="H161" s="117"/>
      <c r="I161" s="117"/>
      <c r="J161" s="117"/>
      <c r="K161" s="117"/>
      <c r="L161" s="117"/>
      <c r="M161" s="173"/>
      <c r="N161" s="1"/>
    </row>
    <row r="162" spans="1:14">
      <c r="A162" s="163"/>
      <c r="B162" s="117"/>
      <c r="C162" s="117"/>
      <c r="D162" s="117"/>
      <c r="E162" s="117"/>
      <c r="F162" s="117"/>
      <c r="G162" s="117"/>
      <c r="H162" s="117"/>
      <c r="I162" s="117"/>
      <c r="J162" s="117"/>
      <c r="K162" s="117"/>
      <c r="L162" s="117"/>
      <c r="M162" s="173"/>
      <c r="N162" s="1"/>
    </row>
    <row r="163" spans="1:14">
      <c r="A163" s="163"/>
      <c r="B163" s="117"/>
      <c r="C163" s="117"/>
      <c r="D163" s="117"/>
      <c r="E163" s="117"/>
      <c r="F163" s="117"/>
      <c r="G163" s="117"/>
      <c r="H163" s="117"/>
      <c r="I163" s="117"/>
      <c r="J163" s="117"/>
      <c r="K163" s="117"/>
      <c r="L163" s="117"/>
      <c r="M163" s="173"/>
      <c r="N163" s="1"/>
    </row>
    <row r="164" spans="1:14">
      <c r="A164" s="163"/>
      <c r="B164" s="117"/>
      <c r="C164" s="117"/>
      <c r="D164" s="117"/>
      <c r="E164" s="117"/>
      <c r="F164" s="117"/>
      <c r="G164" s="117"/>
      <c r="H164" s="117"/>
      <c r="I164" s="117"/>
      <c r="J164" s="117"/>
      <c r="K164" s="117"/>
      <c r="L164" s="117"/>
      <c r="M164" s="173"/>
      <c r="N164" s="1"/>
    </row>
    <row r="165" spans="1:14">
      <c r="A165" s="163"/>
      <c r="B165" s="117"/>
      <c r="C165" s="117"/>
      <c r="D165" s="117"/>
      <c r="E165" s="117"/>
      <c r="F165" s="117"/>
      <c r="G165" s="117"/>
      <c r="H165" s="117"/>
      <c r="I165" s="117"/>
      <c r="J165" s="117"/>
      <c r="K165" s="117"/>
      <c r="L165" s="117"/>
      <c r="M165" s="173"/>
      <c r="N165" s="1"/>
    </row>
    <row r="166" spans="1:14">
      <c r="A166" s="163"/>
      <c r="B166" s="117"/>
      <c r="C166" s="117"/>
      <c r="D166" s="117"/>
      <c r="E166" s="117"/>
      <c r="F166" s="117"/>
      <c r="G166" s="117"/>
      <c r="H166" s="117"/>
      <c r="I166" s="117"/>
      <c r="J166" s="117"/>
      <c r="K166" s="117"/>
      <c r="L166" s="117"/>
      <c r="M166" s="173"/>
      <c r="N166" s="1"/>
    </row>
    <row r="167" spans="1:14">
      <c r="A167" s="163"/>
      <c r="B167" s="117"/>
      <c r="C167" s="117"/>
      <c r="D167" s="117"/>
      <c r="E167" s="117"/>
      <c r="F167" s="117"/>
      <c r="G167" s="117"/>
      <c r="H167" s="117"/>
      <c r="I167" s="117"/>
      <c r="J167" s="117"/>
      <c r="K167" s="117"/>
      <c r="L167" s="117"/>
      <c r="M167" s="173"/>
      <c r="N167" s="1"/>
    </row>
    <row r="168" spans="1:14">
      <c r="A168" s="163"/>
      <c r="B168" s="117"/>
      <c r="C168" s="117"/>
      <c r="D168" s="117"/>
      <c r="E168" s="117"/>
      <c r="F168" s="117"/>
      <c r="G168" s="117"/>
      <c r="H168" s="117"/>
      <c r="I168" s="117"/>
      <c r="J168" s="117"/>
      <c r="K168" s="117"/>
      <c r="L168" s="117"/>
      <c r="M168" s="173"/>
      <c r="N168" s="1"/>
    </row>
    <row r="169" spans="1:14">
      <c r="A169" s="163"/>
      <c r="B169" s="117"/>
      <c r="C169" s="117"/>
      <c r="D169" s="117"/>
      <c r="E169" s="117"/>
      <c r="F169" s="117"/>
      <c r="G169" s="117"/>
      <c r="H169" s="117"/>
      <c r="I169" s="117"/>
      <c r="J169" s="117"/>
      <c r="K169" s="117"/>
      <c r="L169" s="117"/>
      <c r="M169" s="173"/>
      <c r="N169" s="1"/>
    </row>
    <row r="170" spans="1:14">
      <c r="A170" s="163"/>
      <c r="B170" s="117"/>
      <c r="C170" s="117"/>
      <c r="D170" s="117"/>
      <c r="E170" s="117"/>
      <c r="F170" s="117"/>
      <c r="G170" s="117"/>
      <c r="H170" s="117"/>
      <c r="I170" s="117"/>
      <c r="J170" s="117"/>
      <c r="K170" s="117"/>
      <c r="L170" s="117"/>
      <c r="M170" s="173"/>
      <c r="N170" s="1"/>
    </row>
    <row r="171" spans="1:14">
      <c r="A171" s="163"/>
      <c r="B171" s="117"/>
      <c r="C171" s="117"/>
      <c r="D171" s="117"/>
      <c r="E171" s="117"/>
      <c r="F171" s="117"/>
      <c r="G171" s="117"/>
      <c r="H171" s="117"/>
      <c r="I171" s="117"/>
      <c r="J171" s="117"/>
      <c r="K171" s="117"/>
      <c r="L171" s="117"/>
      <c r="M171" s="173"/>
      <c r="N171" s="1"/>
    </row>
    <row r="172" spans="1:14">
      <c r="A172" s="163"/>
      <c r="B172" s="117"/>
      <c r="C172" s="117"/>
      <c r="D172" s="117"/>
      <c r="E172" s="117"/>
      <c r="F172" s="117"/>
      <c r="G172" s="117"/>
      <c r="H172" s="117"/>
      <c r="I172" s="117"/>
      <c r="J172" s="117"/>
      <c r="K172" s="117"/>
      <c r="L172" s="117"/>
      <c r="M172" s="173"/>
      <c r="N172" s="1"/>
    </row>
    <row r="173" spans="1:14">
      <c r="A173" s="163"/>
      <c r="B173" s="117"/>
      <c r="C173" s="117"/>
      <c r="D173" s="117"/>
      <c r="E173" s="117"/>
      <c r="F173" s="117"/>
      <c r="G173" s="117"/>
      <c r="H173" s="117"/>
      <c r="I173" s="117"/>
      <c r="J173" s="117"/>
      <c r="K173" s="117"/>
      <c r="L173" s="117"/>
      <c r="M173" s="173"/>
      <c r="N173" s="1"/>
    </row>
    <row r="174" spans="1:14">
      <c r="A174" s="163"/>
      <c r="B174" s="117"/>
      <c r="C174" s="117"/>
      <c r="D174" s="117"/>
      <c r="E174" s="117"/>
      <c r="F174" s="117"/>
      <c r="G174" s="117"/>
      <c r="H174" s="117"/>
      <c r="I174" s="117"/>
      <c r="J174" s="117"/>
      <c r="K174" s="117"/>
      <c r="L174" s="117"/>
      <c r="M174" s="173"/>
      <c r="N174" s="1"/>
    </row>
    <row r="175" spans="1:14">
      <c r="A175" s="163"/>
      <c r="B175" s="163"/>
      <c r="C175" s="163"/>
      <c r="D175" s="163"/>
      <c r="E175" s="163"/>
      <c r="F175" s="163"/>
      <c r="G175" s="163"/>
      <c r="H175" s="163"/>
      <c r="I175" s="163"/>
      <c r="J175" s="163"/>
      <c r="K175" s="163"/>
      <c r="L175" s="163"/>
    </row>
    <row r="176" spans="1:14">
      <c r="A176" s="163"/>
      <c r="B176" s="163"/>
      <c r="C176" s="163"/>
      <c r="D176" s="163"/>
      <c r="E176" s="163"/>
      <c r="F176" s="163"/>
      <c r="G176" s="163"/>
      <c r="H176" s="163"/>
      <c r="I176" s="163"/>
      <c r="J176" s="163"/>
      <c r="K176" s="163"/>
      <c r="L176" s="163"/>
    </row>
    <row r="177" spans="1:12">
      <c r="A177" s="163"/>
      <c r="B177" s="163"/>
      <c r="C177" s="163"/>
      <c r="D177" s="163"/>
      <c r="E177" s="163"/>
      <c r="F177" s="163"/>
      <c r="G177" s="163"/>
      <c r="H177" s="163"/>
      <c r="I177" s="163"/>
      <c r="J177" s="163"/>
      <c r="K177" s="163"/>
      <c r="L177" s="163"/>
    </row>
    <row r="178" spans="1:12">
      <c r="A178" s="163"/>
      <c r="B178" s="163"/>
      <c r="C178" s="163"/>
      <c r="D178" s="163"/>
      <c r="E178" s="163"/>
      <c r="F178" s="163"/>
      <c r="G178" s="163"/>
      <c r="H178" s="163"/>
      <c r="I178" s="163"/>
      <c r="J178" s="163"/>
      <c r="K178" s="163"/>
      <c r="L178" s="163"/>
    </row>
    <row r="179" spans="1:12">
      <c r="A179" s="163"/>
      <c r="B179" s="163"/>
      <c r="C179" s="163"/>
      <c r="D179" s="163"/>
      <c r="E179" s="163"/>
      <c r="F179" s="163"/>
      <c r="G179" s="163"/>
      <c r="H179" s="163"/>
      <c r="I179" s="163"/>
      <c r="J179" s="163"/>
      <c r="K179" s="163"/>
      <c r="L179" s="163"/>
    </row>
    <row r="180" spans="1:12">
      <c r="A180" s="163"/>
      <c r="B180" s="163"/>
      <c r="C180" s="163"/>
      <c r="D180" s="163"/>
      <c r="E180" s="163"/>
      <c r="F180" s="163"/>
      <c r="G180" s="163"/>
      <c r="H180" s="163"/>
      <c r="I180" s="163"/>
      <c r="J180" s="163"/>
      <c r="K180" s="163"/>
      <c r="L180" s="163"/>
    </row>
    <row r="181" spans="1:12">
      <c r="A181" s="163"/>
      <c r="B181" s="163"/>
      <c r="C181" s="163"/>
      <c r="D181" s="163"/>
      <c r="E181" s="163"/>
      <c r="F181" s="163"/>
      <c r="G181" s="163"/>
      <c r="H181" s="163"/>
      <c r="I181" s="163"/>
      <c r="J181" s="163"/>
      <c r="K181" s="163"/>
      <c r="L181" s="163"/>
    </row>
    <row r="182" spans="1:12">
      <c r="A182" s="163"/>
      <c r="B182" s="163"/>
      <c r="C182" s="163"/>
      <c r="D182" s="163"/>
      <c r="E182" s="163"/>
      <c r="F182" s="163"/>
      <c r="G182" s="163"/>
      <c r="H182" s="163"/>
      <c r="I182" s="163"/>
      <c r="J182" s="163"/>
      <c r="K182" s="163"/>
      <c r="L182" s="163"/>
    </row>
    <row r="183" spans="1:12">
      <c r="A183" s="163"/>
      <c r="B183" s="163"/>
      <c r="C183" s="163"/>
      <c r="D183" s="163"/>
      <c r="E183" s="163"/>
      <c r="F183" s="163"/>
      <c r="G183" s="163"/>
      <c r="H183" s="163"/>
      <c r="I183" s="163"/>
      <c r="J183" s="163"/>
      <c r="K183" s="163"/>
      <c r="L183" s="163"/>
    </row>
    <row r="184" spans="1:12">
      <c r="A184" s="163"/>
      <c r="B184" s="163"/>
      <c r="C184" s="163"/>
      <c r="D184" s="163"/>
      <c r="E184" s="163"/>
      <c r="F184" s="163"/>
      <c r="G184" s="163"/>
      <c r="H184" s="163"/>
      <c r="I184" s="163"/>
      <c r="J184" s="163"/>
      <c r="K184" s="163"/>
      <c r="L184" s="163"/>
    </row>
    <row r="185" spans="1:12">
      <c r="A185" s="163"/>
      <c r="B185" s="163"/>
      <c r="C185" s="163"/>
      <c r="D185" s="163"/>
      <c r="E185" s="163"/>
      <c r="F185" s="163"/>
      <c r="G185" s="163"/>
      <c r="H185" s="163"/>
      <c r="I185" s="163"/>
      <c r="J185" s="163"/>
      <c r="K185" s="163"/>
      <c r="L185" s="163"/>
    </row>
    <row r="186" spans="1:12">
      <c r="A186" s="163"/>
      <c r="B186" s="163"/>
      <c r="C186" s="163"/>
      <c r="D186" s="163"/>
      <c r="E186" s="163"/>
      <c r="F186" s="163"/>
      <c r="G186" s="163"/>
      <c r="H186" s="163"/>
      <c r="I186" s="163"/>
      <c r="J186" s="163"/>
      <c r="K186" s="163"/>
      <c r="L186" s="163"/>
    </row>
    <row r="187" spans="1:12">
      <c r="A187" s="163"/>
      <c r="B187" s="163"/>
      <c r="C187" s="163"/>
      <c r="D187" s="163"/>
      <c r="E187" s="163"/>
      <c r="F187" s="163"/>
      <c r="G187" s="163"/>
      <c r="H187" s="163"/>
      <c r="I187" s="163"/>
      <c r="J187" s="163"/>
      <c r="K187" s="163"/>
      <c r="L187" s="163"/>
    </row>
    <row r="188" spans="1:12">
      <c r="A188" s="163"/>
      <c r="B188" s="163"/>
      <c r="C188" s="163"/>
      <c r="D188" s="163"/>
      <c r="E188" s="163"/>
      <c r="F188" s="163"/>
      <c r="G188" s="163"/>
      <c r="H188" s="163"/>
      <c r="I188" s="163"/>
      <c r="J188" s="163"/>
      <c r="K188" s="163"/>
      <c r="L188" s="163"/>
    </row>
    <row r="189" spans="1:12">
      <c r="A189" s="163"/>
      <c r="B189" s="163"/>
      <c r="C189" s="163"/>
      <c r="D189" s="163"/>
      <c r="E189" s="163"/>
      <c r="F189" s="163"/>
      <c r="G189" s="163"/>
      <c r="H189" s="163"/>
      <c r="I189" s="163"/>
      <c r="J189" s="163"/>
      <c r="K189" s="163"/>
      <c r="L189" s="163"/>
    </row>
    <row r="190" spans="1:12">
      <c r="A190" s="163"/>
      <c r="B190" s="163"/>
      <c r="C190" s="163"/>
      <c r="D190" s="163"/>
      <c r="E190" s="163"/>
      <c r="F190" s="163"/>
      <c r="G190" s="163"/>
      <c r="H190" s="163"/>
      <c r="I190" s="163"/>
      <c r="J190" s="163"/>
      <c r="K190" s="163"/>
      <c r="L190" s="163"/>
    </row>
    <row r="191" spans="1:12">
      <c r="A191" s="163"/>
      <c r="B191" s="163"/>
      <c r="C191" s="163"/>
      <c r="D191" s="163"/>
      <c r="E191" s="163"/>
      <c r="F191" s="163"/>
      <c r="G191" s="163"/>
      <c r="H191" s="163"/>
      <c r="I191" s="163"/>
      <c r="J191" s="163"/>
      <c r="K191" s="163"/>
      <c r="L191" s="163"/>
    </row>
    <row r="192" spans="1:12">
      <c r="A192" s="163"/>
      <c r="B192" s="163"/>
      <c r="C192" s="163"/>
      <c r="D192" s="163"/>
      <c r="E192" s="163"/>
      <c r="F192" s="163"/>
      <c r="G192" s="163"/>
      <c r="H192" s="163"/>
      <c r="I192" s="163"/>
      <c r="J192" s="163"/>
      <c r="K192" s="163"/>
      <c r="L192" s="163"/>
    </row>
    <row r="193" spans="1:12">
      <c r="A193" s="163"/>
      <c r="B193" s="163"/>
      <c r="C193" s="163"/>
      <c r="D193" s="163"/>
      <c r="E193" s="163"/>
      <c r="F193" s="163"/>
      <c r="G193" s="163"/>
      <c r="H193" s="163"/>
      <c r="I193" s="163"/>
      <c r="J193" s="163"/>
      <c r="K193" s="163"/>
      <c r="L193" s="163"/>
    </row>
    <row r="194" spans="1:12">
      <c r="A194" s="163"/>
      <c r="B194" s="163"/>
      <c r="C194" s="163"/>
      <c r="D194" s="163"/>
      <c r="E194" s="163"/>
      <c r="F194" s="163"/>
      <c r="G194" s="163"/>
      <c r="H194" s="163"/>
      <c r="I194" s="163"/>
      <c r="J194" s="163"/>
      <c r="K194" s="163"/>
      <c r="L194" s="163"/>
    </row>
    <row r="195" spans="1:12">
      <c r="A195" s="163"/>
      <c r="B195" s="163"/>
      <c r="C195" s="163"/>
      <c r="D195" s="163"/>
      <c r="E195" s="163"/>
      <c r="F195" s="163"/>
      <c r="G195" s="163"/>
      <c r="H195" s="163"/>
      <c r="I195" s="163"/>
      <c r="J195" s="163"/>
      <c r="K195" s="163"/>
      <c r="L195" s="163"/>
    </row>
    <row r="196" spans="1:12">
      <c r="A196" s="163"/>
      <c r="B196" s="163"/>
      <c r="C196" s="163"/>
      <c r="D196" s="163"/>
      <c r="E196" s="163"/>
      <c r="F196" s="163"/>
      <c r="G196" s="163"/>
      <c r="H196" s="163"/>
      <c r="I196" s="163"/>
      <c r="J196" s="163"/>
      <c r="K196" s="163"/>
      <c r="L196" s="163"/>
    </row>
    <row r="197" spans="1:12">
      <c r="A197" s="163"/>
      <c r="B197" s="163"/>
      <c r="C197" s="163"/>
      <c r="D197" s="163"/>
      <c r="E197" s="163"/>
      <c r="F197" s="163"/>
      <c r="G197" s="163"/>
      <c r="H197" s="163"/>
      <c r="I197" s="163"/>
      <c r="J197" s="163"/>
      <c r="K197" s="163"/>
      <c r="L197" s="163"/>
    </row>
    <row r="198" spans="1:12">
      <c r="A198" s="163"/>
      <c r="B198" s="163"/>
      <c r="C198" s="163"/>
      <c r="D198" s="163"/>
      <c r="E198" s="163"/>
      <c r="F198" s="163"/>
      <c r="G198" s="163"/>
      <c r="H198" s="163"/>
      <c r="I198" s="163"/>
      <c r="J198" s="163"/>
      <c r="K198" s="163"/>
      <c r="L198" s="163"/>
    </row>
    <row r="199" spans="1:12">
      <c r="A199" s="163"/>
      <c r="B199" s="163"/>
      <c r="C199" s="163"/>
      <c r="D199" s="163"/>
      <c r="E199" s="163"/>
      <c r="F199" s="163"/>
      <c r="G199" s="163"/>
      <c r="H199" s="163"/>
      <c r="I199" s="163"/>
      <c r="J199" s="163"/>
      <c r="K199" s="163"/>
      <c r="L199" s="163"/>
    </row>
    <row r="200" spans="1:12">
      <c r="A200" s="163"/>
      <c r="B200" s="163"/>
      <c r="C200" s="163"/>
      <c r="D200" s="163"/>
      <c r="E200" s="163"/>
      <c r="F200" s="163"/>
      <c r="G200" s="163"/>
      <c r="H200" s="163"/>
      <c r="I200" s="163"/>
      <c r="J200" s="163"/>
      <c r="K200" s="163"/>
      <c r="L200" s="163"/>
    </row>
    <row r="201" spans="1:12">
      <c r="A201" s="163"/>
      <c r="B201" s="163"/>
      <c r="C201" s="163"/>
      <c r="D201" s="163"/>
      <c r="E201" s="163"/>
      <c r="F201" s="163"/>
      <c r="G201" s="163"/>
      <c r="H201" s="163"/>
      <c r="I201" s="163"/>
      <c r="J201" s="163"/>
      <c r="K201" s="163"/>
      <c r="L201" s="163"/>
    </row>
    <row r="202" spans="1:12">
      <c r="A202" s="163"/>
      <c r="B202" s="163"/>
      <c r="C202" s="163"/>
      <c r="D202" s="163"/>
      <c r="E202" s="163"/>
      <c r="F202" s="163"/>
      <c r="G202" s="163"/>
      <c r="H202" s="163"/>
      <c r="I202" s="163"/>
      <c r="J202" s="163"/>
      <c r="K202" s="163"/>
      <c r="L202" s="163"/>
    </row>
    <row r="203" spans="1:12">
      <c r="A203" s="163"/>
      <c r="B203" s="163"/>
      <c r="C203" s="163"/>
      <c r="D203" s="163"/>
      <c r="E203" s="163"/>
      <c r="F203" s="163"/>
      <c r="G203" s="163"/>
      <c r="H203" s="163"/>
      <c r="I203" s="163"/>
      <c r="J203" s="163"/>
      <c r="K203" s="163"/>
      <c r="L203" s="163"/>
    </row>
    <row r="204" spans="1:12">
      <c r="A204" s="163"/>
      <c r="B204" s="163"/>
      <c r="C204" s="163"/>
      <c r="D204" s="163"/>
      <c r="E204" s="163"/>
      <c r="F204" s="163"/>
      <c r="G204" s="163"/>
      <c r="H204" s="163"/>
      <c r="I204" s="163"/>
      <c r="J204" s="163"/>
      <c r="K204" s="163"/>
      <c r="L204" s="163"/>
    </row>
    <row r="205" spans="1:12">
      <c r="A205" s="163"/>
      <c r="B205" s="163"/>
      <c r="C205" s="163"/>
      <c r="D205" s="163"/>
      <c r="E205" s="163"/>
      <c r="F205" s="163"/>
      <c r="G205" s="163"/>
      <c r="H205" s="163"/>
      <c r="I205" s="163"/>
      <c r="J205" s="163"/>
      <c r="K205" s="163"/>
      <c r="L205" s="163"/>
    </row>
    <row r="206" spans="1:12">
      <c r="A206" s="163"/>
      <c r="B206" s="163"/>
      <c r="C206" s="163"/>
      <c r="D206" s="163"/>
      <c r="E206" s="163"/>
      <c r="F206" s="163"/>
      <c r="G206" s="163"/>
      <c r="H206" s="163"/>
      <c r="I206" s="163"/>
      <c r="J206" s="163"/>
      <c r="K206" s="163"/>
      <c r="L206" s="163"/>
    </row>
    <row r="207" spans="1:12">
      <c r="A207" s="163"/>
      <c r="B207" s="163"/>
      <c r="C207" s="163"/>
      <c r="D207" s="163"/>
      <c r="E207" s="163"/>
      <c r="F207" s="163"/>
      <c r="G207" s="163"/>
      <c r="H207" s="163"/>
      <c r="I207" s="163"/>
      <c r="J207" s="163"/>
      <c r="K207" s="163"/>
      <c r="L207" s="163"/>
    </row>
    <row r="208" spans="1:12">
      <c r="A208" s="163"/>
      <c r="B208" s="163"/>
      <c r="C208" s="163"/>
      <c r="D208" s="163"/>
      <c r="E208" s="163"/>
      <c r="F208" s="163"/>
      <c r="G208" s="163"/>
      <c r="H208" s="163"/>
      <c r="I208" s="163"/>
      <c r="J208" s="163"/>
      <c r="K208" s="163"/>
      <c r="L208" s="163"/>
    </row>
    <row r="209" spans="1:12">
      <c r="A209" s="163"/>
      <c r="B209" s="163"/>
      <c r="C209" s="163"/>
      <c r="D209" s="163"/>
      <c r="E209" s="163"/>
      <c r="F209" s="163"/>
      <c r="G209" s="163"/>
      <c r="H209" s="163"/>
      <c r="I209" s="163"/>
      <c r="J209" s="163"/>
      <c r="K209" s="163"/>
      <c r="L209" s="163"/>
    </row>
    <row r="210" spans="1:12">
      <c r="A210" s="163"/>
      <c r="B210" s="163"/>
      <c r="C210" s="163"/>
      <c r="D210" s="163"/>
      <c r="E210" s="163"/>
      <c r="F210" s="163"/>
      <c r="G210" s="163"/>
      <c r="H210" s="163"/>
      <c r="I210" s="163"/>
      <c r="J210" s="163"/>
      <c r="K210" s="163"/>
      <c r="L210" s="163"/>
    </row>
    <row r="211" spans="1:12">
      <c r="A211" s="163"/>
      <c r="B211" s="163"/>
      <c r="C211" s="163"/>
      <c r="D211" s="163"/>
      <c r="E211" s="163"/>
      <c r="F211" s="163"/>
      <c r="G211" s="163"/>
      <c r="H211" s="163"/>
      <c r="I211" s="163"/>
      <c r="J211" s="163"/>
      <c r="K211" s="163"/>
      <c r="L211" s="163"/>
    </row>
    <row r="212" spans="1:12">
      <c r="A212" s="163"/>
      <c r="B212" s="163"/>
      <c r="C212" s="163"/>
      <c r="D212" s="163"/>
      <c r="E212" s="163"/>
      <c r="F212" s="163"/>
      <c r="G212" s="163"/>
      <c r="H212" s="163"/>
      <c r="I212" s="163"/>
      <c r="J212" s="163"/>
      <c r="K212" s="163"/>
      <c r="L212" s="163"/>
    </row>
    <row r="213" spans="1:12">
      <c r="A213" s="163"/>
      <c r="B213" s="163"/>
      <c r="C213" s="163"/>
      <c r="D213" s="163"/>
      <c r="E213" s="163"/>
      <c r="F213" s="163"/>
      <c r="G213" s="163"/>
      <c r="H213" s="163"/>
      <c r="I213" s="163"/>
      <c r="J213" s="163"/>
      <c r="K213" s="163"/>
      <c r="L213" s="163"/>
    </row>
    <row r="214" spans="1:12">
      <c r="A214" s="163"/>
      <c r="B214" s="163"/>
      <c r="C214" s="163"/>
      <c r="D214" s="163"/>
      <c r="E214" s="163"/>
      <c r="F214" s="163"/>
      <c r="G214" s="163"/>
      <c r="H214" s="163"/>
      <c r="I214" s="163"/>
      <c r="J214" s="163"/>
      <c r="K214" s="163"/>
      <c r="L214" s="163"/>
    </row>
    <row r="215" spans="1:12">
      <c r="A215" s="163"/>
      <c r="B215" s="163"/>
      <c r="C215" s="163"/>
      <c r="D215" s="163"/>
      <c r="E215" s="163"/>
      <c r="F215" s="163"/>
      <c r="G215" s="163"/>
      <c r="H215" s="163"/>
      <c r="I215" s="163"/>
      <c r="J215" s="163"/>
      <c r="K215" s="163"/>
      <c r="L215" s="163"/>
    </row>
    <row r="216" spans="1:12">
      <c r="A216" s="163"/>
      <c r="B216" s="163"/>
      <c r="C216" s="163"/>
      <c r="D216" s="163"/>
      <c r="E216" s="163"/>
      <c r="F216" s="163"/>
      <c r="G216" s="163"/>
      <c r="H216" s="163"/>
      <c r="I216" s="163"/>
      <c r="J216" s="163"/>
      <c r="K216" s="163"/>
      <c r="L216" s="163"/>
    </row>
    <row r="217" spans="1:12">
      <c r="A217" s="163"/>
      <c r="B217" s="163"/>
      <c r="C217" s="163"/>
      <c r="D217" s="163"/>
      <c r="E217" s="163"/>
      <c r="F217" s="163"/>
      <c r="G217" s="163"/>
      <c r="H217" s="163"/>
      <c r="I217" s="163"/>
      <c r="J217" s="163"/>
      <c r="K217" s="163"/>
      <c r="L217" s="163"/>
    </row>
    <row r="218" spans="1:12">
      <c r="A218" s="163"/>
      <c r="B218" s="163"/>
      <c r="C218" s="163"/>
      <c r="D218" s="163"/>
      <c r="E218" s="163"/>
      <c r="F218" s="163"/>
      <c r="G218" s="163"/>
      <c r="H218" s="163"/>
      <c r="I218" s="163"/>
      <c r="J218" s="163"/>
      <c r="K218" s="163"/>
      <c r="L218" s="163"/>
    </row>
    <row r="219" spans="1:12">
      <c r="A219" s="163"/>
      <c r="B219" s="163"/>
      <c r="C219" s="163"/>
      <c r="D219" s="163"/>
      <c r="E219" s="163"/>
      <c r="F219" s="163"/>
      <c r="G219" s="163"/>
      <c r="H219" s="163"/>
      <c r="I219" s="163"/>
      <c r="J219" s="163"/>
      <c r="K219" s="163"/>
      <c r="L219" s="163"/>
    </row>
    <row r="220" spans="1:12">
      <c r="A220" s="163"/>
      <c r="B220" s="163"/>
      <c r="C220" s="163"/>
      <c r="D220" s="163"/>
      <c r="E220" s="163"/>
      <c r="F220" s="163"/>
      <c r="G220" s="163"/>
      <c r="H220" s="163"/>
      <c r="I220" s="163"/>
      <c r="J220" s="163"/>
      <c r="K220" s="163"/>
      <c r="L220" s="163"/>
    </row>
    <row r="221" spans="1:12">
      <c r="A221" s="163"/>
      <c r="B221" s="163"/>
      <c r="C221" s="163"/>
      <c r="D221" s="163"/>
      <c r="E221" s="163"/>
      <c r="F221" s="163"/>
      <c r="G221" s="163"/>
      <c r="H221" s="163"/>
      <c r="I221" s="163"/>
      <c r="J221" s="163"/>
      <c r="K221" s="163"/>
      <c r="L221" s="163"/>
    </row>
    <row r="222" spans="1:12">
      <c r="A222" s="163"/>
      <c r="B222" s="163"/>
      <c r="C222" s="163"/>
      <c r="D222" s="163"/>
      <c r="E222" s="163"/>
      <c r="F222" s="163"/>
      <c r="G222" s="163"/>
      <c r="H222" s="163"/>
      <c r="I222" s="163"/>
      <c r="J222" s="163"/>
      <c r="K222" s="163"/>
      <c r="L222" s="163"/>
    </row>
    <row r="223" spans="1:12">
      <c r="A223" s="163"/>
      <c r="B223" s="163"/>
      <c r="C223" s="163"/>
      <c r="D223" s="163"/>
      <c r="E223" s="163"/>
      <c r="F223" s="163"/>
      <c r="G223" s="163"/>
      <c r="H223" s="163"/>
      <c r="I223" s="163"/>
      <c r="J223" s="163"/>
      <c r="K223" s="163"/>
      <c r="L223" s="163"/>
    </row>
    <row r="224" spans="1:12">
      <c r="A224" s="163"/>
      <c r="B224" s="163"/>
      <c r="C224" s="163"/>
      <c r="D224" s="163"/>
      <c r="E224" s="163"/>
      <c r="F224" s="163"/>
      <c r="G224" s="163"/>
      <c r="H224" s="163"/>
      <c r="I224" s="163"/>
      <c r="J224" s="163"/>
      <c r="K224" s="163"/>
      <c r="L224" s="163"/>
    </row>
    <row r="225" spans="1:12">
      <c r="A225" s="163"/>
      <c r="B225" s="163"/>
      <c r="C225" s="163"/>
      <c r="D225" s="163"/>
      <c r="E225" s="163"/>
      <c r="F225" s="163"/>
      <c r="G225" s="163"/>
      <c r="H225" s="163"/>
      <c r="I225" s="163"/>
      <c r="J225" s="163"/>
      <c r="K225" s="163"/>
      <c r="L225" s="163"/>
    </row>
    <row r="226" spans="1:12">
      <c r="A226" s="163"/>
      <c r="B226" s="163"/>
      <c r="C226" s="163"/>
      <c r="D226" s="163"/>
      <c r="E226" s="163"/>
      <c r="F226" s="163"/>
      <c r="G226" s="163"/>
      <c r="H226" s="163"/>
      <c r="I226" s="163"/>
      <c r="J226" s="163"/>
      <c r="K226" s="163"/>
      <c r="L226" s="163"/>
    </row>
    <row r="227" spans="1:12">
      <c r="A227" s="163"/>
      <c r="B227" s="163"/>
      <c r="C227" s="163"/>
      <c r="D227" s="163"/>
      <c r="E227" s="163"/>
      <c r="F227" s="163"/>
      <c r="G227" s="163"/>
      <c r="H227" s="163"/>
      <c r="I227" s="163"/>
      <c r="J227" s="163"/>
      <c r="K227" s="163"/>
      <c r="L227" s="163"/>
    </row>
    <row r="228" spans="1:12">
      <c r="A228" s="163"/>
      <c r="B228" s="163"/>
      <c r="C228" s="163"/>
      <c r="D228" s="163"/>
      <c r="E228" s="163"/>
      <c r="F228" s="163"/>
      <c r="G228" s="163"/>
      <c r="H228" s="163"/>
      <c r="I228" s="163"/>
      <c r="J228" s="163"/>
      <c r="K228" s="163"/>
      <c r="L228" s="163"/>
    </row>
    <row r="229" spans="1:12">
      <c r="A229" s="163"/>
      <c r="B229" s="163"/>
      <c r="C229" s="163"/>
      <c r="D229" s="163"/>
      <c r="E229" s="163"/>
      <c r="F229" s="163"/>
      <c r="G229" s="163"/>
      <c r="H229" s="163"/>
      <c r="I229" s="163"/>
      <c r="J229" s="163"/>
      <c r="K229" s="163"/>
      <c r="L229" s="163"/>
    </row>
    <row r="230" spans="1:12">
      <c r="A230" s="163"/>
      <c r="B230" s="163"/>
      <c r="C230" s="163"/>
      <c r="D230" s="163"/>
      <c r="E230" s="163"/>
      <c r="F230" s="163"/>
      <c r="G230" s="163"/>
      <c r="H230" s="163"/>
      <c r="I230" s="163"/>
      <c r="J230" s="163"/>
      <c r="K230" s="163"/>
      <c r="L230" s="163"/>
    </row>
    <row r="231" spans="1:12">
      <c r="A231" s="163"/>
      <c r="B231" s="163"/>
      <c r="C231" s="163"/>
      <c r="D231" s="163"/>
      <c r="E231" s="163"/>
      <c r="F231" s="163"/>
      <c r="G231" s="163"/>
      <c r="H231" s="163"/>
      <c r="I231" s="163"/>
      <c r="J231" s="163"/>
      <c r="K231" s="163"/>
      <c r="L231" s="163"/>
    </row>
    <row r="232" spans="1:12">
      <c r="A232" s="163"/>
      <c r="B232" s="163"/>
      <c r="C232" s="163"/>
      <c r="D232" s="163"/>
      <c r="E232" s="163"/>
      <c r="F232" s="163"/>
      <c r="G232" s="163"/>
      <c r="H232" s="163"/>
      <c r="I232" s="163"/>
      <c r="J232" s="163"/>
      <c r="K232" s="163"/>
      <c r="L232" s="163"/>
    </row>
    <row r="233" spans="1:12">
      <c r="A233" s="163"/>
      <c r="B233" s="163"/>
      <c r="C233" s="163"/>
      <c r="D233" s="163"/>
      <c r="E233" s="163"/>
      <c r="F233" s="163"/>
      <c r="G233" s="163"/>
      <c r="H233" s="163"/>
      <c r="I233" s="163"/>
      <c r="J233" s="163"/>
      <c r="K233" s="163"/>
      <c r="L233" s="163"/>
    </row>
    <row r="234" spans="1:12">
      <c r="A234" s="163"/>
      <c r="B234" s="163"/>
      <c r="C234" s="163"/>
      <c r="D234" s="163"/>
      <c r="E234" s="163"/>
      <c r="F234" s="163"/>
      <c r="G234" s="163"/>
      <c r="H234" s="163"/>
      <c r="I234" s="163"/>
      <c r="J234" s="163"/>
      <c r="K234" s="163"/>
      <c r="L234" s="163"/>
    </row>
    <row r="235" spans="1:12">
      <c r="A235" s="163"/>
      <c r="B235" s="163"/>
      <c r="C235" s="163"/>
      <c r="D235" s="163"/>
      <c r="E235" s="163"/>
      <c r="F235" s="163"/>
      <c r="G235" s="163"/>
      <c r="H235" s="163"/>
      <c r="I235" s="163"/>
      <c r="J235" s="163"/>
      <c r="K235" s="163"/>
      <c r="L235" s="163"/>
    </row>
    <row r="236" spans="1:12">
      <c r="A236" s="163"/>
      <c r="B236" s="163"/>
      <c r="C236" s="163"/>
      <c r="D236" s="163"/>
      <c r="E236" s="163"/>
      <c r="F236" s="163"/>
      <c r="G236" s="163"/>
      <c r="H236" s="163"/>
      <c r="I236" s="163"/>
      <c r="J236" s="163"/>
      <c r="K236" s="163"/>
      <c r="L236" s="163"/>
    </row>
    <row r="237" spans="1:12">
      <c r="A237" s="163"/>
      <c r="B237" s="163"/>
      <c r="C237" s="163"/>
      <c r="D237" s="163"/>
      <c r="E237" s="163"/>
      <c r="F237" s="163"/>
      <c r="G237" s="163"/>
      <c r="H237" s="163"/>
      <c r="I237" s="163"/>
      <c r="J237" s="163"/>
      <c r="K237" s="163"/>
      <c r="L237" s="163"/>
    </row>
    <row r="238" spans="1:12">
      <c r="A238" s="163"/>
      <c r="B238" s="163"/>
      <c r="C238" s="163"/>
      <c r="D238" s="163"/>
      <c r="E238" s="163"/>
      <c r="F238" s="163"/>
      <c r="G238" s="163"/>
      <c r="H238" s="163"/>
      <c r="I238" s="163"/>
      <c r="J238" s="163"/>
      <c r="K238" s="163"/>
      <c r="L238" s="163"/>
    </row>
    <row r="239" spans="1:12">
      <c r="A239" s="163"/>
      <c r="B239" s="163"/>
      <c r="C239" s="163"/>
      <c r="D239" s="163"/>
      <c r="E239" s="163"/>
      <c r="F239" s="163"/>
      <c r="G239" s="163"/>
      <c r="H239" s="163"/>
      <c r="I239" s="163"/>
      <c r="J239" s="163"/>
      <c r="K239" s="163"/>
      <c r="L239" s="163"/>
    </row>
    <row r="240" spans="1:12">
      <c r="A240" s="163"/>
      <c r="B240" s="163"/>
      <c r="C240" s="163"/>
      <c r="D240" s="163"/>
      <c r="E240" s="163"/>
      <c r="F240" s="163"/>
      <c r="G240" s="163"/>
      <c r="H240" s="163"/>
      <c r="I240" s="163"/>
      <c r="J240" s="163"/>
      <c r="K240" s="163"/>
      <c r="L240" s="163"/>
    </row>
    <row r="241" spans="1:12">
      <c r="A241" s="163"/>
      <c r="B241" s="163"/>
      <c r="C241" s="163"/>
      <c r="D241" s="163"/>
      <c r="E241" s="163"/>
      <c r="F241" s="163"/>
      <c r="G241" s="163"/>
      <c r="H241" s="163"/>
      <c r="I241" s="163"/>
      <c r="J241" s="163"/>
      <c r="K241" s="163"/>
      <c r="L241" s="163"/>
    </row>
    <row r="242" spans="1:12">
      <c r="A242" s="163"/>
      <c r="B242" s="163"/>
      <c r="C242" s="163"/>
      <c r="D242" s="163"/>
      <c r="E242" s="163"/>
      <c r="F242" s="163"/>
      <c r="G242" s="163"/>
      <c r="H242" s="163"/>
      <c r="I242" s="163"/>
      <c r="J242" s="163"/>
      <c r="K242" s="163"/>
      <c r="L242" s="163"/>
    </row>
    <row r="243" spans="1:12">
      <c r="A243" s="163"/>
      <c r="B243" s="163"/>
      <c r="C243" s="163"/>
      <c r="D243" s="163"/>
      <c r="E243" s="163"/>
      <c r="F243" s="163"/>
      <c r="G243" s="163"/>
      <c r="H243" s="163"/>
      <c r="I243" s="163"/>
      <c r="J243" s="163"/>
      <c r="K243" s="163"/>
      <c r="L243" s="163"/>
    </row>
    <row r="244" spans="1:12">
      <c r="A244" s="163"/>
      <c r="B244" s="163"/>
      <c r="C244" s="163"/>
      <c r="D244" s="163"/>
      <c r="E244" s="163"/>
      <c r="F244" s="163"/>
      <c r="G244" s="163"/>
      <c r="H244" s="163"/>
      <c r="I244" s="163"/>
      <c r="J244" s="163"/>
      <c r="K244" s="163"/>
      <c r="L244" s="163"/>
    </row>
    <row r="245" spans="1:12">
      <c r="A245" s="163"/>
      <c r="B245" s="163"/>
      <c r="C245" s="163"/>
      <c r="D245" s="163"/>
      <c r="E245" s="163"/>
      <c r="F245" s="163"/>
      <c r="G245" s="163"/>
      <c r="H245" s="163"/>
      <c r="I245" s="163"/>
      <c r="J245" s="163"/>
      <c r="K245" s="163"/>
      <c r="L245" s="163"/>
    </row>
    <row r="246" spans="1:12">
      <c r="A246" s="163"/>
      <c r="B246" s="163"/>
      <c r="C246" s="163"/>
      <c r="D246" s="163"/>
      <c r="E246" s="163"/>
      <c r="F246" s="163"/>
      <c r="G246" s="163"/>
      <c r="H246" s="163"/>
      <c r="I246" s="163"/>
      <c r="J246" s="163"/>
      <c r="K246" s="163"/>
      <c r="L246" s="163"/>
    </row>
    <row r="247" spans="1:12">
      <c r="A247" s="163"/>
      <c r="B247" s="163"/>
      <c r="C247" s="163"/>
      <c r="D247" s="163"/>
      <c r="E247" s="163"/>
      <c r="F247" s="163"/>
      <c r="G247" s="163"/>
      <c r="H247" s="163"/>
      <c r="I247" s="163"/>
      <c r="J247" s="163"/>
      <c r="K247" s="163"/>
      <c r="L247" s="163"/>
    </row>
    <row r="248" spans="1:12">
      <c r="A248" s="163"/>
      <c r="B248" s="163"/>
      <c r="C248" s="163"/>
      <c r="D248" s="163"/>
      <c r="E248" s="163"/>
      <c r="F248" s="163"/>
      <c r="G248" s="163"/>
      <c r="H248" s="163"/>
      <c r="I248" s="163"/>
      <c r="J248" s="163"/>
      <c r="K248" s="163"/>
      <c r="L248" s="163"/>
    </row>
    <row r="249" spans="1:12">
      <c r="A249" s="163"/>
      <c r="B249" s="163"/>
      <c r="C249" s="163"/>
      <c r="D249" s="163"/>
      <c r="E249" s="163"/>
      <c r="F249" s="163"/>
      <c r="G249" s="163"/>
      <c r="H249" s="163"/>
      <c r="I249" s="163"/>
      <c r="J249" s="163"/>
      <c r="K249" s="163"/>
      <c r="L249" s="163"/>
    </row>
    <row r="250" spans="1:12">
      <c r="A250" s="163"/>
      <c r="B250" s="163"/>
      <c r="C250" s="163"/>
      <c r="D250" s="163"/>
      <c r="E250" s="163"/>
      <c r="F250" s="163"/>
      <c r="G250" s="163"/>
      <c r="H250" s="163"/>
      <c r="I250" s="163"/>
      <c r="J250" s="163"/>
      <c r="K250" s="163"/>
      <c r="L250" s="163"/>
    </row>
    <row r="251" spans="1:12">
      <c r="A251" s="163"/>
      <c r="B251" s="163"/>
      <c r="C251" s="163"/>
      <c r="D251" s="163"/>
      <c r="E251" s="163"/>
      <c r="F251" s="163"/>
      <c r="G251" s="163"/>
      <c r="H251" s="163"/>
      <c r="I251" s="163"/>
      <c r="J251" s="163"/>
      <c r="K251" s="163"/>
      <c r="L251" s="163"/>
    </row>
    <row r="252" spans="1:12">
      <c r="A252" s="163"/>
      <c r="B252" s="163"/>
      <c r="C252" s="163"/>
      <c r="D252" s="163"/>
      <c r="E252" s="163"/>
      <c r="F252" s="163"/>
      <c r="G252" s="163"/>
      <c r="H252" s="163"/>
      <c r="I252" s="163"/>
      <c r="J252" s="163"/>
      <c r="K252" s="163"/>
      <c r="L252" s="163"/>
    </row>
    <row r="253" spans="1:12">
      <c r="A253" s="163"/>
      <c r="B253" s="163"/>
      <c r="C253" s="163"/>
      <c r="D253" s="163"/>
      <c r="E253" s="163"/>
      <c r="F253" s="163"/>
      <c r="G253" s="163"/>
      <c r="H253" s="163"/>
      <c r="I253" s="163"/>
      <c r="J253" s="163"/>
      <c r="K253" s="163"/>
      <c r="L253" s="163"/>
    </row>
    <row r="254" spans="1:12">
      <c r="A254" s="163"/>
      <c r="B254" s="163"/>
      <c r="C254" s="163"/>
      <c r="D254" s="163"/>
      <c r="E254" s="163"/>
      <c r="F254" s="163"/>
      <c r="G254" s="163"/>
      <c r="H254" s="163"/>
      <c r="I254" s="163"/>
      <c r="J254" s="163"/>
      <c r="K254" s="163"/>
      <c r="L254" s="163"/>
    </row>
    <row r="255" spans="1:12">
      <c r="A255" s="163"/>
      <c r="B255" s="163"/>
      <c r="C255" s="163"/>
      <c r="D255" s="163"/>
      <c r="E255" s="163"/>
      <c r="F255" s="163"/>
      <c r="G255" s="163"/>
      <c r="H255" s="163"/>
      <c r="I255" s="163"/>
      <c r="J255" s="163"/>
      <c r="K255" s="163"/>
      <c r="L255" s="163"/>
    </row>
    <row r="256" spans="1:12">
      <c r="A256" s="163"/>
      <c r="B256" s="163"/>
      <c r="C256" s="163"/>
      <c r="D256" s="163"/>
      <c r="E256" s="163"/>
      <c r="F256" s="163"/>
      <c r="G256" s="163"/>
      <c r="H256" s="163"/>
      <c r="I256" s="163"/>
      <c r="J256" s="163"/>
      <c r="K256" s="163"/>
      <c r="L256" s="163"/>
    </row>
    <row r="257" spans="1:12">
      <c r="A257" s="163"/>
      <c r="B257" s="163"/>
      <c r="C257" s="163"/>
      <c r="D257" s="163"/>
      <c r="E257" s="163"/>
      <c r="F257" s="163"/>
      <c r="G257" s="163"/>
      <c r="H257" s="163"/>
      <c r="I257" s="163"/>
      <c r="J257" s="163"/>
      <c r="K257" s="163"/>
      <c r="L257" s="163"/>
    </row>
    <row r="258" spans="1:12">
      <c r="A258" s="163"/>
      <c r="B258" s="163"/>
      <c r="C258" s="163"/>
      <c r="D258" s="163"/>
      <c r="E258" s="163"/>
      <c r="F258" s="163"/>
      <c r="G258" s="163"/>
      <c r="H258" s="163"/>
      <c r="I258" s="163"/>
      <c r="J258" s="163"/>
      <c r="K258" s="163"/>
      <c r="L258" s="163"/>
    </row>
    <row r="259" spans="1:12">
      <c r="A259" s="163"/>
      <c r="B259" s="163"/>
      <c r="C259" s="163"/>
      <c r="D259" s="163"/>
      <c r="E259" s="163"/>
      <c r="F259" s="163"/>
      <c r="G259" s="163"/>
      <c r="H259" s="163"/>
      <c r="I259" s="163"/>
      <c r="J259" s="163"/>
      <c r="K259" s="163"/>
      <c r="L259" s="163"/>
    </row>
    <row r="260" spans="1:12">
      <c r="A260" s="163"/>
      <c r="B260" s="163"/>
      <c r="C260" s="163"/>
      <c r="D260" s="163"/>
      <c r="E260" s="163"/>
      <c r="F260" s="163"/>
      <c r="G260" s="163"/>
      <c r="H260" s="163"/>
      <c r="I260" s="163"/>
      <c r="J260" s="163"/>
      <c r="K260" s="163"/>
      <c r="L260" s="163"/>
    </row>
    <row r="261" spans="1:12">
      <c r="A261" s="163"/>
      <c r="B261" s="163"/>
      <c r="C261" s="163"/>
      <c r="D261" s="163"/>
      <c r="E261" s="163"/>
      <c r="F261" s="163"/>
      <c r="G261" s="163"/>
      <c r="H261" s="163"/>
      <c r="I261" s="163"/>
      <c r="J261" s="163"/>
      <c r="K261" s="163"/>
      <c r="L261" s="163"/>
    </row>
    <row r="262" spans="1:12">
      <c r="A262" s="163"/>
      <c r="B262" s="163"/>
      <c r="C262" s="163"/>
      <c r="D262" s="163"/>
      <c r="E262" s="163"/>
      <c r="F262" s="163"/>
      <c r="G262" s="163"/>
      <c r="H262" s="163"/>
      <c r="I262" s="163"/>
      <c r="J262" s="163"/>
      <c r="K262" s="163"/>
      <c r="L262" s="163"/>
    </row>
    <row r="263" spans="1:12">
      <c r="A263" s="163"/>
      <c r="B263" s="163"/>
      <c r="C263" s="163"/>
      <c r="D263" s="163"/>
      <c r="E263" s="163"/>
      <c r="F263" s="163"/>
      <c r="G263" s="163"/>
      <c r="H263" s="163"/>
      <c r="I263" s="163"/>
      <c r="J263" s="163"/>
      <c r="K263" s="163"/>
      <c r="L263" s="163"/>
    </row>
    <row r="264" spans="1:12">
      <c r="A264" s="163"/>
      <c r="B264" s="163"/>
      <c r="C264" s="163"/>
      <c r="D264" s="163"/>
      <c r="E264" s="163"/>
      <c r="F264" s="163"/>
      <c r="G264" s="163"/>
      <c r="H264" s="163"/>
      <c r="I264" s="163"/>
      <c r="J264" s="163"/>
      <c r="K264" s="163"/>
      <c r="L264" s="163"/>
    </row>
    <row r="265" spans="1:12">
      <c r="A265" s="163"/>
      <c r="B265" s="163"/>
      <c r="C265" s="163"/>
      <c r="D265" s="163"/>
      <c r="E265" s="163"/>
      <c r="F265" s="163"/>
      <c r="G265" s="163"/>
      <c r="H265" s="163"/>
      <c r="I265" s="163"/>
      <c r="J265" s="163"/>
      <c r="K265" s="163"/>
      <c r="L265" s="163"/>
    </row>
    <row r="266" spans="1:12">
      <c r="A266" s="163"/>
      <c r="B266" s="163"/>
      <c r="C266" s="163"/>
      <c r="D266" s="163"/>
      <c r="E266" s="163"/>
      <c r="F266" s="163"/>
      <c r="G266" s="163"/>
      <c r="H266" s="163"/>
      <c r="I266" s="163"/>
      <c r="J266" s="163"/>
      <c r="K266" s="163"/>
      <c r="L266" s="163"/>
    </row>
    <row r="267" spans="1:12">
      <c r="A267" s="163"/>
      <c r="B267" s="163"/>
      <c r="C267" s="163"/>
      <c r="D267" s="163"/>
      <c r="E267" s="163"/>
      <c r="F267" s="163"/>
      <c r="G267" s="163"/>
      <c r="H267" s="163"/>
      <c r="I267" s="163"/>
      <c r="J267" s="163"/>
      <c r="K267" s="163"/>
      <c r="L267" s="163"/>
    </row>
    <row r="268" spans="1:12">
      <c r="A268" s="163"/>
      <c r="B268" s="163"/>
      <c r="C268" s="163"/>
      <c r="D268" s="163"/>
      <c r="E268" s="163"/>
      <c r="F268" s="163"/>
      <c r="G268" s="163"/>
      <c r="H268" s="163"/>
      <c r="I268" s="163"/>
      <c r="J268" s="163"/>
      <c r="K268" s="163"/>
      <c r="L268" s="163"/>
    </row>
    <row r="269" spans="1:12">
      <c r="A269" s="163"/>
      <c r="B269" s="163"/>
      <c r="C269" s="163"/>
      <c r="D269" s="163"/>
      <c r="E269" s="163"/>
      <c r="F269" s="163"/>
      <c r="G269" s="163"/>
      <c r="H269" s="163"/>
      <c r="I269" s="163"/>
      <c r="J269" s="163"/>
      <c r="K269" s="163"/>
      <c r="L269" s="163"/>
    </row>
    <row r="270" spans="1:12">
      <c r="A270" s="163"/>
      <c r="B270" s="163"/>
      <c r="C270" s="163"/>
      <c r="D270" s="163"/>
      <c r="E270" s="163"/>
      <c r="F270" s="163"/>
      <c r="G270" s="163"/>
      <c r="H270" s="163"/>
      <c r="I270" s="163"/>
      <c r="J270" s="163"/>
      <c r="K270" s="163"/>
      <c r="L270" s="163"/>
    </row>
    <row r="271" spans="1:12">
      <c r="A271" s="163"/>
      <c r="B271" s="163"/>
      <c r="C271" s="163"/>
      <c r="D271" s="163"/>
      <c r="E271" s="163"/>
      <c r="F271" s="163"/>
      <c r="G271" s="163"/>
      <c r="H271" s="163"/>
      <c r="I271" s="163"/>
      <c r="J271" s="163"/>
      <c r="K271" s="163"/>
      <c r="L271" s="163"/>
    </row>
    <row r="272" spans="1:12">
      <c r="A272" s="163"/>
      <c r="B272" s="163"/>
      <c r="C272" s="163"/>
      <c r="D272" s="163"/>
      <c r="E272" s="163"/>
      <c r="F272" s="163"/>
      <c r="G272" s="163"/>
      <c r="H272" s="163"/>
      <c r="I272" s="163"/>
      <c r="J272" s="163"/>
      <c r="K272" s="163"/>
      <c r="L272" s="163"/>
    </row>
    <row r="273" spans="1:12">
      <c r="A273" s="163"/>
      <c r="B273" s="163"/>
      <c r="C273" s="163"/>
      <c r="D273" s="163"/>
      <c r="E273" s="163"/>
      <c r="F273" s="163"/>
      <c r="G273" s="163"/>
      <c r="H273" s="163"/>
      <c r="I273" s="163"/>
      <c r="J273" s="163"/>
      <c r="K273" s="163"/>
      <c r="L273" s="163"/>
    </row>
    <row r="274" spans="1:12">
      <c r="A274" s="163"/>
      <c r="B274" s="163"/>
      <c r="C274" s="163"/>
      <c r="D274" s="163"/>
      <c r="E274" s="163"/>
      <c r="F274" s="163"/>
      <c r="G274" s="163"/>
      <c r="H274" s="163"/>
      <c r="I274" s="163"/>
      <c r="J274" s="163"/>
      <c r="K274" s="163"/>
      <c r="L274" s="163"/>
    </row>
    <row r="275" spans="1:12">
      <c r="A275" s="163"/>
      <c r="B275" s="163"/>
      <c r="C275" s="163"/>
      <c r="D275" s="163"/>
      <c r="E275" s="163"/>
      <c r="F275" s="163"/>
      <c r="G275" s="163"/>
      <c r="H275" s="163"/>
      <c r="I275" s="163"/>
      <c r="J275" s="163"/>
      <c r="K275" s="163"/>
      <c r="L275" s="163"/>
    </row>
    <row r="276" spans="1:12">
      <c r="A276" s="163"/>
      <c r="B276" s="163"/>
      <c r="C276" s="163"/>
      <c r="D276" s="163"/>
      <c r="E276" s="163"/>
      <c r="F276" s="163"/>
      <c r="G276" s="163"/>
      <c r="H276" s="163"/>
      <c r="I276" s="163"/>
      <c r="J276" s="163"/>
      <c r="K276" s="163"/>
      <c r="L276" s="163"/>
    </row>
    <row r="277" spans="1:12">
      <c r="A277" s="163"/>
      <c r="B277" s="163"/>
      <c r="C277" s="163"/>
      <c r="D277" s="163"/>
      <c r="E277" s="163"/>
      <c r="F277" s="163"/>
      <c r="G277" s="163"/>
      <c r="H277" s="163"/>
      <c r="I277" s="163"/>
      <c r="J277" s="163"/>
      <c r="K277" s="163"/>
      <c r="L277" s="163"/>
    </row>
    <row r="278" spans="1:12">
      <c r="A278" s="163"/>
      <c r="B278" s="163"/>
      <c r="C278" s="163"/>
      <c r="D278" s="163"/>
      <c r="E278" s="163"/>
      <c r="F278" s="163"/>
      <c r="G278" s="163"/>
      <c r="H278" s="163"/>
      <c r="I278" s="163"/>
      <c r="J278" s="163"/>
      <c r="K278" s="163"/>
      <c r="L278" s="163"/>
    </row>
    <row r="279" spans="1:12">
      <c r="A279" s="163"/>
      <c r="B279" s="163"/>
      <c r="C279" s="163"/>
      <c r="D279" s="163"/>
      <c r="E279" s="163"/>
      <c r="F279" s="163"/>
      <c r="G279" s="163"/>
      <c r="H279" s="163"/>
      <c r="I279" s="163"/>
      <c r="J279" s="163"/>
      <c r="K279" s="163"/>
      <c r="L279" s="163"/>
    </row>
    <row r="280" spans="1:12">
      <c r="A280" s="163"/>
      <c r="B280" s="163"/>
      <c r="C280" s="163"/>
      <c r="D280" s="163"/>
      <c r="E280" s="163"/>
      <c r="F280" s="163"/>
      <c r="G280" s="163"/>
      <c r="H280" s="163"/>
      <c r="I280" s="163"/>
      <c r="J280" s="163"/>
      <c r="K280" s="163"/>
      <c r="L280" s="163"/>
    </row>
    <row r="281" spans="1:12">
      <c r="A281" s="163"/>
      <c r="B281" s="163"/>
      <c r="C281" s="163"/>
      <c r="D281" s="163"/>
      <c r="E281" s="163"/>
      <c r="F281" s="163"/>
      <c r="G281" s="163"/>
      <c r="H281" s="163"/>
      <c r="I281" s="163"/>
      <c r="J281" s="163"/>
      <c r="K281" s="163"/>
      <c r="L281" s="163"/>
    </row>
    <row r="282" spans="1:12">
      <c r="A282" s="163"/>
      <c r="B282" s="163"/>
      <c r="C282" s="163"/>
      <c r="D282" s="163"/>
      <c r="E282" s="163"/>
      <c r="F282" s="163"/>
      <c r="G282" s="163"/>
      <c r="H282" s="163"/>
      <c r="I282" s="163"/>
      <c r="J282" s="163"/>
      <c r="K282" s="163"/>
      <c r="L282" s="163"/>
    </row>
    <row r="283" spans="1:12">
      <c r="A283" s="163"/>
      <c r="B283" s="163"/>
      <c r="C283" s="163"/>
      <c r="D283" s="163"/>
      <c r="E283" s="163"/>
      <c r="F283" s="163"/>
      <c r="G283" s="163"/>
      <c r="H283" s="163"/>
      <c r="I283" s="163"/>
      <c r="J283" s="163"/>
      <c r="K283" s="163"/>
      <c r="L283" s="163"/>
    </row>
    <row r="284" spans="1:12">
      <c r="A284" s="163"/>
      <c r="B284" s="163"/>
      <c r="C284" s="163"/>
      <c r="D284" s="163"/>
      <c r="E284" s="163"/>
      <c r="F284" s="163"/>
      <c r="G284" s="163"/>
      <c r="H284" s="163"/>
      <c r="I284" s="163"/>
      <c r="J284" s="163"/>
      <c r="K284" s="163"/>
      <c r="L284" s="163"/>
    </row>
    <row r="285" spans="1:12">
      <c r="A285" s="163"/>
      <c r="B285" s="163"/>
      <c r="C285" s="163"/>
      <c r="D285" s="163"/>
      <c r="E285" s="163"/>
      <c r="F285" s="163"/>
      <c r="G285" s="163"/>
      <c r="H285" s="163"/>
      <c r="I285" s="163"/>
      <c r="J285" s="163"/>
      <c r="K285" s="163"/>
      <c r="L285" s="163"/>
    </row>
    <row r="286" spans="1:12">
      <c r="A286" s="163"/>
      <c r="B286" s="163"/>
      <c r="C286" s="163"/>
      <c r="D286" s="163"/>
      <c r="E286" s="163"/>
      <c r="F286" s="163"/>
      <c r="G286" s="163"/>
      <c r="H286" s="163"/>
      <c r="I286" s="163"/>
      <c r="J286" s="163"/>
      <c r="K286" s="163"/>
      <c r="L286" s="163"/>
    </row>
    <row r="287" spans="1:12">
      <c r="A287" s="163"/>
      <c r="B287" s="163"/>
      <c r="C287" s="163"/>
      <c r="D287" s="163"/>
      <c r="E287" s="163"/>
      <c r="F287" s="163"/>
      <c r="G287" s="163"/>
      <c r="H287" s="163"/>
      <c r="I287" s="163"/>
      <c r="J287" s="163"/>
      <c r="K287" s="163"/>
      <c r="L287" s="163"/>
    </row>
    <row r="288" spans="1:12">
      <c r="A288" s="163"/>
      <c r="B288" s="163"/>
      <c r="C288" s="163"/>
      <c r="D288" s="163"/>
      <c r="E288" s="163"/>
      <c r="F288" s="163"/>
      <c r="G288" s="163"/>
      <c r="H288" s="163"/>
      <c r="I288" s="163"/>
      <c r="J288" s="163"/>
      <c r="K288" s="163"/>
      <c r="L288" s="163"/>
    </row>
    <row r="289" spans="1:12">
      <c r="A289" s="163"/>
      <c r="B289" s="163"/>
      <c r="C289" s="163"/>
      <c r="D289" s="163"/>
      <c r="E289" s="163"/>
      <c r="F289" s="163"/>
      <c r="G289" s="163"/>
      <c r="H289" s="163"/>
      <c r="I289" s="163"/>
      <c r="J289" s="163"/>
      <c r="K289" s="163"/>
      <c r="L289" s="163"/>
    </row>
    <row r="290" spans="1:12">
      <c r="A290" s="163"/>
      <c r="B290" s="163"/>
      <c r="C290" s="163"/>
      <c r="D290" s="163"/>
      <c r="E290" s="163"/>
      <c r="F290" s="163"/>
      <c r="G290" s="163"/>
      <c r="H290" s="163"/>
      <c r="I290" s="163"/>
      <c r="J290" s="163"/>
      <c r="K290" s="163"/>
      <c r="L290" s="163"/>
    </row>
    <row r="291" spans="1:12">
      <c r="A291" s="163"/>
      <c r="B291" s="163"/>
      <c r="C291" s="163"/>
      <c r="D291" s="163"/>
      <c r="E291" s="163"/>
      <c r="F291" s="163"/>
      <c r="G291" s="163"/>
      <c r="H291" s="163"/>
      <c r="I291" s="163"/>
      <c r="J291" s="163"/>
      <c r="K291" s="163"/>
      <c r="L291" s="163"/>
    </row>
    <row r="292" spans="1:12">
      <c r="A292" s="163"/>
      <c r="B292" s="163"/>
      <c r="C292" s="163"/>
      <c r="D292" s="163"/>
      <c r="E292" s="163"/>
      <c r="F292" s="163"/>
      <c r="G292" s="163"/>
      <c r="H292" s="163"/>
      <c r="I292" s="163"/>
      <c r="J292" s="163"/>
      <c r="K292" s="163"/>
      <c r="L292" s="163"/>
    </row>
    <row r="293" spans="1:12">
      <c r="A293" s="163"/>
      <c r="B293" s="163"/>
      <c r="C293" s="163"/>
      <c r="D293" s="163"/>
      <c r="E293" s="163"/>
      <c r="F293" s="163"/>
      <c r="G293" s="163"/>
      <c r="H293" s="163"/>
      <c r="I293" s="163"/>
      <c r="J293" s="163"/>
      <c r="K293" s="163"/>
      <c r="L293" s="163"/>
    </row>
    <row r="294" spans="1:12">
      <c r="A294" s="163"/>
      <c r="B294" s="163"/>
      <c r="C294" s="163"/>
      <c r="D294" s="163"/>
      <c r="E294" s="163"/>
      <c r="F294" s="163"/>
      <c r="G294" s="163"/>
      <c r="H294" s="163"/>
      <c r="I294" s="163"/>
      <c r="J294" s="163"/>
      <c r="K294" s="163"/>
      <c r="L294" s="163"/>
    </row>
    <row r="295" spans="1:12">
      <c r="A295" s="163"/>
      <c r="B295" s="163"/>
      <c r="C295" s="163"/>
      <c r="D295" s="163"/>
      <c r="E295" s="163"/>
      <c r="F295" s="163"/>
      <c r="G295" s="163"/>
      <c r="H295" s="163"/>
      <c r="I295" s="163"/>
      <c r="J295" s="163"/>
      <c r="K295" s="163"/>
      <c r="L295" s="163"/>
    </row>
    <row r="296" spans="1:12">
      <c r="A296" s="163"/>
      <c r="B296" s="163"/>
      <c r="C296" s="163"/>
      <c r="D296" s="163"/>
      <c r="E296" s="163"/>
      <c r="F296" s="163"/>
      <c r="G296" s="163"/>
      <c r="H296" s="163"/>
      <c r="I296" s="163"/>
      <c r="J296" s="163"/>
      <c r="K296" s="163"/>
      <c r="L296" s="163"/>
    </row>
    <row r="297" spans="1:12">
      <c r="A297" s="163"/>
      <c r="B297" s="163"/>
      <c r="C297" s="163"/>
      <c r="D297" s="163"/>
      <c r="E297" s="163"/>
      <c r="F297" s="163"/>
      <c r="G297" s="163"/>
      <c r="H297" s="163"/>
      <c r="I297" s="163"/>
      <c r="J297" s="163"/>
      <c r="K297" s="163"/>
      <c r="L297" s="163"/>
    </row>
    <row r="298" spans="1:12">
      <c r="A298" s="163"/>
      <c r="B298" s="163"/>
      <c r="C298" s="163"/>
      <c r="D298" s="163"/>
      <c r="E298" s="163"/>
      <c r="F298" s="163"/>
      <c r="G298" s="163"/>
      <c r="H298" s="163"/>
      <c r="I298" s="163"/>
      <c r="J298" s="163"/>
      <c r="K298" s="163"/>
      <c r="L298" s="163"/>
    </row>
    <row r="299" spans="1:12">
      <c r="A299" s="163"/>
      <c r="B299" s="163"/>
      <c r="C299" s="163"/>
      <c r="D299" s="163"/>
      <c r="E299" s="163"/>
      <c r="F299" s="163"/>
      <c r="G299" s="163"/>
      <c r="H299" s="163"/>
      <c r="I299" s="163"/>
      <c r="J299" s="163"/>
      <c r="K299" s="163"/>
      <c r="L299" s="163"/>
    </row>
    <row r="300" spans="1:12">
      <c r="A300" s="163"/>
      <c r="B300" s="163"/>
      <c r="C300" s="163"/>
      <c r="D300" s="163"/>
      <c r="E300" s="163"/>
      <c r="F300" s="163"/>
      <c r="G300" s="163"/>
      <c r="H300" s="163"/>
      <c r="I300" s="163"/>
      <c r="J300" s="163"/>
      <c r="K300" s="163"/>
      <c r="L300" s="163"/>
    </row>
    <row r="301" spans="1:12">
      <c r="A301" s="163"/>
      <c r="B301" s="163"/>
      <c r="C301" s="163"/>
      <c r="D301" s="163"/>
      <c r="E301" s="163"/>
      <c r="F301" s="163"/>
      <c r="G301" s="163"/>
      <c r="H301" s="163"/>
      <c r="I301" s="163"/>
      <c r="J301" s="163"/>
      <c r="K301" s="163"/>
      <c r="L301" s="163"/>
    </row>
    <row r="302" spans="1:12">
      <c r="A302" s="163"/>
      <c r="B302" s="163"/>
      <c r="C302" s="163"/>
      <c r="D302" s="163"/>
      <c r="E302" s="163"/>
      <c r="F302" s="163"/>
      <c r="G302" s="163"/>
      <c r="H302" s="163"/>
      <c r="I302" s="163"/>
      <c r="J302" s="163"/>
      <c r="K302" s="163"/>
      <c r="L302" s="163"/>
    </row>
    <row r="303" spans="1:12">
      <c r="A303" s="163"/>
      <c r="B303" s="163"/>
      <c r="C303" s="163"/>
      <c r="D303" s="163"/>
      <c r="E303" s="163"/>
      <c r="F303" s="163"/>
      <c r="G303" s="163"/>
      <c r="H303" s="163"/>
      <c r="I303" s="163"/>
      <c r="J303" s="163"/>
      <c r="K303" s="163"/>
      <c r="L303" s="163"/>
    </row>
    <row r="304" spans="1:12">
      <c r="A304" s="163"/>
      <c r="B304" s="163"/>
      <c r="C304" s="163"/>
      <c r="D304" s="163"/>
      <c r="E304" s="163"/>
      <c r="F304" s="163"/>
      <c r="G304" s="163"/>
      <c r="H304" s="163"/>
      <c r="I304" s="163"/>
      <c r="J304" s="163"/>
      <c r="K304" s="163"/>
      <c r="L304" s="163"/>
    </row>
    <row r="305" spans="1:12">
      <c r="A305" s="163"/>
      <c r="B305" s="163"/>
      <c r="C305" s="163"/>
      <c r="D305" s="163"/>
      <c r="E305" s="163"/>
      <c r="F305" s="163"/>
      <c r="G305" s="163"/>
      <c r="H305" s="163"/>
      <c r="I305" s="163"/>
      <c r="J305" s="163"/>
      <c r="K305" s="163"/>
      <c r="L305" s="163"/>
    </row>
    <row r="306" spans="1:12">
      <c r="A306" s="163"/>
      <c r="B306" s="163"/>
      <c r="C306" s="163"/>
      <c r="D306" s="163"/>
      <c r="E306" s="163"/>
      <c r="F306" s="163"/>
      <c r="G306" s="163"/>
      <c r="H306" s="163"/>
      <c r="I306" s="163"/>
      <c r="J306" s="163"/>
      <c r="K306" s="163"/>
      <c r="L306" s="163"/>
    </row>
    <row r="307" spans="1:12">
      <c r="A307" s="163"/>
      <c r="B307" s="163"/>
      <c r="C307" s="163"/>
      <c r="D307" s="163"/>
      <c r="E307" s="163"/>
      <c r="F307" s="163"/>
      <c r="G307" s="163"/>
      <c r="H307" s="163"/>
      <c r="I307" s="163"/>
      <c r="J307" s="163"/>
      <c r="K307" s="163"/>
      <c r="L307" s="163"/>
    </row>
    <row r="308" spans="1:12">
      <c r="A308" s="163"/>
      <c r="B308" s="163"/>
      <c r="C308" s="163"/>
      <c r="D308" s="163"/>
      <c r="E308" s="163"/>
      <c r="F308" s="163"/>
      <c r="G308" s="163"/>
      <c r="H308" s="163"/>
      <c r="I308" s="163"/>
      <c r="J308" s="163"/>
      <c r="K308" s="163"/>
      <c r="L308" s="163"/>
    </row>
    <row r="309" spans="1:12">
      <c r="A309" s="163"/>
      <c r="B309" s="163"/>
      <c r="C309" s="163"/>
      <c r="D309" s="163"/>
      <c r="E309" s="163"/>
      <c r="F309" s="163"/>
      <c r="G309" s="163"/>
      <c r="H309" s="163"/>
      <c r="I309" s="163"/>
      <c r="J309" s="163"/>
      <c r="K309" s="163"/>
      <c r="L309" s="163"/>
    </row>
    <row r="310" spans="1:12">
      <c r="A310" s="163"/>
      <c r="B310" s="163"/>
      <c r="C310" s="163"/>
      <c r="D310" s="163"/>
      <c r="E310" s="163"/>
      <c r="F310" s="163"/>
      <c r="G310" s="163"/>
      <c r="H310" s="163"/>
      <c r="I310" s="163"/>
      <c r="J310" s="163"/>
      <c r="K310" s="163"/>
      <c r="L310" s="163"/>
    </row>
    <row r="311" spans="1:12">
      <c r="A311" s="163"/>
      <c r="B311" s="163"/>
      <c r="C311" s="163"/>
      <c r="D311" s="163"/>
      <c r="E311" s="163"/>
      <c r="F311" s="163"/>
      <c r="G311" s="163"/>
      <c r="H311" s="163"/>
      <c r="I311" s="163"/>
      <c r="J311" s="163"/>
      <c r="K311" s="163"/>
      <c r="L311" s="163"/>
    </row>
    <row r="312" spans="1:12">
      <c r="A312" s="163"/>
      <c r="B312" s="163"/>
      <c r="C312" s="163"/>
      <c r="D312" s="163"/>
      <c r="E312" s="163"/>
      <c r="F312" s="163"/>
      <c r="G312" s="163"/>
      <c r="H312" s="163"/>
      <c r="I312" s="163"/>
      <c r="J312" s="163"/>
      <c r="K312" s="163"/>
      <c r="L312" s="163"/>
    </row>
    <row r="313" spans="1:12">
      <c r="A313" s="163"/>
      <c r="B313" s="163"/>
      <c r="C313" s="163"/>
      <c r="D313" s="163"/>
      <c r="E313" s="163"/>
      <c r="F313" s="163"/>
      <c r="G313" s="163"/>
      <c r="H313" s="163"/>
      <c r="I313" s="163"/>
      <c r="J313" s="163"/>
      <c r="K313" s="163"/>
      <c r="L313" s="163"/>
    </row>
    <row r="314" spans="1:12">
      <c r="A314" s="163"/>
      <c r="B314" s="163"/>
      <c r="C314" s="163"/>
      <c r="D314" s="163"/>
      <c r="E314" s="163"/>
      <c r="F314" s="163"/>
      <c r="G314" s="163"/>
      <c r="H314" s="163"/>
      <c r="I314" s="163"/>
      <c r="J314" s="163"/>
      <c r="K314" s="163"/>
      <c r="L314" s="163"/>
    </row>
    <row r="315" spans="1:12">
      <c r="A315" s="163"/>
      <c r="B315" s="163"/>
      <c r="C315" s="163"/>
      <c r="D315" s="163"/>
      <c r="E315" s="163"/>
      <c r="F315" s="163"/>
      <c r="G315" s="163"/>
      <c r="H315" s="163"/>
      <c r="I315" s="163"/>
      <c r="J315" s="163"/>
      <c r="K315" s="163"/>
      <c r="L315" s="163"/>
    </row>
    <row r="316" spans="1:12">
      <c r="A316" s="163"/>
      <c r="B316" s="163"/>
      <c r="C316" s="163"/>
      <c r="D316" s="163"/>
      <c r="E316" s="163"/>
      <c r="F316" s="163"/>
      <c r="G316" s="163"/>
      <c r="H316" s="163"/>
      <c r="I316" s="163"/>
      <c r="J316" s="163"/>
      <c r="K316" s="163"/>
      <c r="L316" s="163"/>
    </row>
    <row r="317" spans="1:12">
      <c r="A317" s="163"/>
      <c r="B317" s="163"/>
      <c r="C317" s="163"/>
      <c r="D317" s="163"/>
      <c r="E317" s="163"/>
      <c r="F317" s="163"/>
      <c r="G317" s="163"/>
      <c r="H317" s="163"/>
      <c r="I317" s="163"/>
      <c r="J317" s="163"/>
      <c r="K317" s="163"/>
      <c r="L317" s="163"/>
    </row>
    <row r="318" spans="1:12">
      <c r="A318" s="163"/>
      <c r="B318" s="163"/>
      <c r="C318" s="163"/>
      <c r="D318" s="163"/>
      <c r="E318" s="163"/>
      <c r="F318" s="163"/>
      <c r="G318" s="163"/>
      <c r="H318" s="163"/>
      <c r="I318" s="163"/>
      <c r="J318" s="163"/>
      <c r="K318" s="163"/>
    </row>
    <row r="319" spans="1:12">
      <c r="A319" s="163"/>
      <c r="B319" s="163"/>
      <c r="C319" s="163"/>
      <c r="D319" s="163"/>
      <c r="E319" s="163"/>
      <c r="F319" s="163"/>
      <c r="G319" s="163"/>
      <c r="H319" s="163"/>
      <c r="I319" s="163"/>
      <c r="J319" s="163"/>
      <c r="K319" s="163"/>
    </row>
    <row r="320" spans="1:12">
      <c r="A320" s="163"/>
      <c r="B320" s="163"/>
      <c r="C320" s="163"/>
      <c r="D320" s="163"/>
      <c r="E320" s="163"/>
      <c r="F320" s="163"/>
      <c r="G320" s="163"/>
      <c r="H320" s="163"/>
      <c r="I320" s="163"/>
      <c r="J320" s="163"/>
      <c r="K320" s="163"/>
    </row>
    <row r="321" spans="1:11">
      <c r="A321" s="163"/>
      <c r="B321" s="163"/>
      <c r="C321" s="163"/>
      <c r="D321" s="163"/>
      <c r="E321" s="163"/>
      <c r="F321" s="163"/>
      <c r="G321" s="163"/>
      <c r="H321" s="163"/>
      <c r="I321" s="163"/>
      <c r="J321" s="163"/>
      <c r="K321" s="163"/>
    </row>
    <row r="322" spans="1:11">
      <c r="A322" s="163"/>
      <c r="B322" s="163"/>
      <c r="C322" s="163"/>
      <c r="D322" s="163"/>
      <c r="E322" s="163"/>
      <c r="F322" s="163"/>
      <c r="G322" s="163"/>
      <c r="H322" s="163"/>
      <c r="I322" s="163"/>
      <c r="J322" s="163"/>
      <c r="K322" s="163"/>
    </row>
    <row r="323" spans="1:11">
      <c r="A323" s="163"/>
      <c r="B323" s="163"/>
      <c r="C323" s="163"/>
      <c r="D323" s="163"/>
      <c r="E323" s="163"/>
      <c r="F323" s="163"/>
      <c r="G323" s="163"/>
      <c r="H323" s="163"/>
      <c r="I323" s="163"/>
      <c r="J323" s="163"/>
      <c r="K323" s="163"/>
    </row>
    <row r="324" spans="1:11">
      <c r="A324" s="163"/>
      <c r="B324" s="163"/>
      <c r="C324" s="163"/>
      <c r="D324" s="163"/>
      <c r="E324" s="163"/>
      <c r="F324" s="163"/>
      <c r="G324" s="163"/>
      <c r="H324" s="163"/>
      <c r="I324" s="163"/>
      <c r="J324" s="163"/>
      <c r="K324" s="163"/>
    </row>
    <row r="325" spans="1:11">
      <c r="A325" s="163"/>
      <c r="B325" s="163"/>
      <c r="C325" s="163"/>
      <c r="D325" s="163"/>
      <c r="E325" s="163"/>
      <c r="F325" s="163"/>
      <c r="G325" s="163"/>
      <c r="H325" s="163"/>
      <c r="I325" s="163"/>
      <c r="J325" s="163"/>
      <c r="K325" s="163"/>
    </row>
    <row r="326" spans="1:11">
      <c r="A326" s="163"/>
      <c r="B326" s="163"/>
      <c r="C326" s="163"/>
      <c r="D326" s="163"/>
      <c r="E326" s="163"/>
      <c r="F326" s="163"/>
      <c r="G326" s="163"/>
      <c r="H326" s="163"/>
      <c r="I326" s="163"/>
      <c r="J326" s="163"/>
      <c r="K326" s="163"/>
    </row>
    <row r="327" spans="1:11">
      <c r="A327" s="163"/>
      <c r="B327" s="163"/>
      <c r="C327" s="163"/>
      <c r="D327" s="163"/>
      <c r="E327" s="163"/>
      <c r="F327" s="163"/>
      <c r="G327" s="163"/>
      <c r="H327" s="163"/>
      <c r="I327" s="163"/>
      <c r="J327" s="163"/>
      <c r="K327" s="163"/>
    </row>
    <row r="328" spans="1:11">
      <c r="A328" s="163"/>
      <c r="B328" s="163"/>
      <c r="C328" s="163"/>
      <c r="D328" s="163"/>
      <c r="E328" s="163"/>
      <c r="F328" s="163"/>
      <c r="G328" s="163"/>
      <c r="H328" s="163"/>
      <c r="I328" s="163"/>
      <c r="J328" s="163"/>
      <c r="K328" s="163"/>
    </row>
    <row r="329" spans="1:11">
      <c r="A329" s="163"/>
      <c r="B329" s="163"/>
      <c r="C329" s="163"/>
      <c r="D329" s="163"/>
      <c r="E329" s="163"/>
      <c r="F329" s="163"/>
      <c r="G329" s="163"/>
      <c r="H329" s="163"/>
      <c r="I329" s="163"/>
      <c r="J329" s="163"/>
      <c r="K329" s="163"/>
    </row>
    <row r="330" spans="1:11">
      <c r="A330" s="163"/>
      <c r="B330" s="163"/>
      <c r="C330" s="163"/>
      <c r="D330" s="163"/>
      <c r="E330" s="163"/>
      <c r="F330" s="163"/>
      <c r="G330" s="163"/>
      <c r="H330" s="163"/>
      <c r="I330" s="163"/>
      <c r="J330" s="163"/>
      <c r="K330" s="163"/>
    </row>
    <row r="331" spans="1:11">
      <c r="A331" s="163"/>
      <c r="B331" s="163"/>
      <c r="C331" s="163"/>
      <c r="D331" s="163"/>
      <c r="E331" s="163"/>
      <c r="F331" s="163"/>
      <c r="G331" s="163"/>
      <c r="H331" s="163"/>
      <c r="I331" s="163"/>
      <c r="J331" s="163"/>
      <c r="K331" s="163"/>
    </row>
    <row r="332" spans="1:11">
      <c r="A332" s="163"/>
      <c r="B332" s="163"/>
      <c r="C332" s="163"/>
      <c r="D332" s="163"/>
      <c r="E332" s="163"/>
      <c r="F332" s="163"/>
      <c r="G332" s="163"/>
      <c r="H332" s="163"/>
      <c r="I332" s="163"/>
      <c r="J332" s="163"/>
      <c r="K332" s="163"/>
    </row>
    <row r="333" spans="1:11">
      <c r="A333" s="163"/>
      <c r="B333" s="163"/>
      <c r="C333" s="163"/>
      <c r="D333" s="163"/>
      <c r="E333" s="163"/>
      <c r="F333" s="163"/>
      <c r="G333" s="163"/>
      <c r="H333" s="163"/>
      <c r="I333" s="163"/>
      <c r="J333" s="163"/>
      <c r="K333" s="163"/>
    </row>
    <row r="334" spans="1:11">
      <c r="A334" s="163"/>
      <c r="B334" s="163"/>
      <c r="C334" s="163"/>
      <c r="D334" s="163"/>
      <c r="E334" s="163"/>
      <c r="F334" s="163"/>
      <c r="G334" s="163"/>
      <c r="H334" s="163"/>
      <c r="I334" s="163"/>
      <c r="J334" s="163"/>
      <c r="K334" s="163"/>
    </row>
    <row r="335" spans="1:11">
      <c r="A335" s="163"/>
      <c r="B335" s="163"/>
      <c r="C335" s="163"/>
      <c r="D335" s="163"/>
      <c r="E335" s="163"/>
      <c r="F335" s="163"/>
      <c r="G335" s="163"/>
      <c r="H335" s="163"/>
      <c r="I335" s="163"/>
      <c r="J335" s="163"/>
      <c r="K335" s="163"/>
    </row>
    <row r="336" spans="1:11">
      <c r="A336" s="163"/>
      <c r="B336" s="163"/>
      <c r="C336" s="163"/>
      <c r="D336" s="163"/>
      <c r="E336" s="163"/>
      <c r="F336" s="163"/>
      <c r="G336" s="163"/>
      <c r="H336" s="163"/>
      <c r="I336" s="163"/>
      <c r="J336" s="163"/>
      <c r="K336" s="163"/>
    </row>
    <row r="337" spans="1:11">
      <c r="A337" s="163"/>
      <c r="B337" s="163"/>
      <c r="C337" s="163"/>
      <c r="D337" s="163"/>
      <c r="E337" s="163"/>
      <c r="F337" s="163"/>
      <c r="G337" s="163"/>
      <c r="H337" s="163"/>
      <c r="I337" s="163"/>
      <c r="J337" s="163"/>
      <c r="K337" s="163"/>
    </row>
    <row r="338" spans="1:11">
      <c r="A338" s="163"/>
      <c r="B338" s="163"/>
      <c r="C338" s="163"/>
      <c r="D338" s="163"/>
      <c r="E338" s="163"/>
      <c r="F338" s="163"/>
      <c r="G338" s="163"/>
      <c r="H338" s="163"/>
      <c r="I338" s="163"/>
      <c r="J338" s="163"/>
      <c r="K338" s="163"/>
    </row>
    <row r="339" spans="1:11">
      <c r="A339" s="163"/>
      <c r="B339" s="163"/>
      <c r="C339" s="163"/>
      <c r="D339" s="163"/>
      <c r="E339" s="163"/>
      <c r="F339" s="163"/>
      <c r="G339" s="163"/>
      <c r="H339" s="163"/>
      <c r="I339" s="163"/>
      <c r="J339" s="163"/>
      <c r="K339" s="163"/>
    </row>
    <row r="340" spans="1:11">
      <c r="A340" s="163"/>
      <c r="B340" s="163"/>
      <c r="C340" s="163"/>
      <c r="D340" s="163"/>
      <c r="E340" s="163"/>
      <c r="F340" s="163"/>
      <c r="G340" s="163"/>
      <c r="H340" s="163"/>
      <c r="I340" s="163"/>
      <c r="J340" s="163"/>
      <c r="K340" s="163"/>
    </row>
    <row r="341" spans="1:11">
      <c r="A341" s="163"/>
      <c r="B341" s="163"/>
      <c r="C341" s="163"/>
      <c r="D341" s="163"/>
      <c r="E341" s="163"/>
      <c r="F341" s="163"/>
      <c r="G341" s="163"/>
      <c r="H341" s="163"/>
      <c r="I341" s="163"/>
      <c r="J341" s="163"/>
      <c r="K341" s="163"/>
    </row>
    <row r="342" spans="1:11">
      <c r="A342" s="163"/>
      <c r="B342" s="163"/>
      <c r="C342" s="163"/>
      <c r="D342" s="163"/>
      <c r="E342" s="163"/>
      <c r="F342" s="163"/>
      <c r="G342" s="163"/>
      <c r="H342" s="163"/>
      <c r="I342" s="163"/>
      <c r="J342" s="163"/>
      <c r="K342" s="163"/>
    </row>
    <row r="343" spans="1:11">
      <c r="A343" s="163"/>
      <c r="B343" s="163"/>
      <c r="C343" s="163"/>
      <c r="D343" s="163"/>
      <c r="E343" s="163"/>
      <c r="F343" s="163"/>
      <c r="G343" s="163"/>
      <c r="H343" s="163"/>
      <c r="I343" s="163"/>
      <c r="J343" s="163"/>
      <c r="K343" s="163"/>
    </row>
    <row r="344" spans="1:11">
      <c r="A344" s="163"/>
      <c r="B344" s="163"/>
      <c r="C344" s="163"/>
      <c r="D344" s="163"/>
      <c r="E344" s="163"/>
      <c r="F344" s="163"/>
      <c r="G344" s="163"/>
      <c r="H344" s="163"/>
      <c r="I344" s="163"/>
      <c r="J344" s="163"/>
      <c r="K344" s="163"/>
    </row>
    <row r="345" spans="1:11">
      <c r="A345" s="163"/>
      <c r="B345" s="163"/>
      <c r="C345" s="163"/>
      <c r="D345" s="163"/>
      <c r="E345" s="163"/>
      <c r="F345" s="163"/>
      <c r="G345" s="163"/>
      <c r="H345" s="163"/>
      <c r="I345" s="163"/>
      <c r="J345" s="163"/>
      <c r="K345" s="163"/>
    </row>
    <row r="346" spans="1:11">
      <c r="A346" s="163"/>
      <c r="B346" s="163"/>
      <c r="C346" s="163"/>
      <c r="D346" s="163"/>
      <c r="E346" s="163"/>
      <c r="F346" s="163"/>
      <c r="G346" s="163"/>
      <c r="H346" s="163"/>
      <c r="I346" s="163"/>
      <c r="J346" s="163"/>
      <c r="K346" s="163"/>
    </row>
    <row r="347" spans="1:11">
      <c r="A347" s="163"/>
      <c r="B347" s="163"/>
      <c r="C347" s="163"/>
      <c r="D347" s="163"/>
      <c r="E347" s="163"/>
      <c r="F347" s="163"/>
      <c r="G347" s="163"/>
      <c r="H347" s="163"/>
      <c r="I347" s="163"/>
      <c r="J347" s="163"/>
      <c r="K347" s="163"/>
    </row>
    <row r="348" spans="1:11">
      <c r="A348" s="163"/>
      <c r="B348" s="163"/>
      <c r="C348" s="163"/>
      <c r="D348" s="163"/>
      <c r="E348" s="163"/>
      <c r="F348" s="163"/>
      <c r="G348" s="163"/>
      <c r="H348" s="163"/>
      <c r="I348" s="163"/>
      <c r="J348" s="163"/>
      <c r="K348" s="163"/>
    </row>
    <row r="349" spans="1:11">
      <c r="A349" s="163"/>
      <c r="B349" s="163"/>
      <c r="C349" s="163"/>
      <c r="D349" s="163"/>
      <c r="E349" s="163"/>
      <c r="F349" s="163"/>
      <c r="G349" s="163"/>
      <c r="H349" s="163"/>
      <c r="I349" s="163"/>
      <c r="J349" s="163"/>
      <c r="K349" s="163"/>
    </row>
    <row r="350" spans="1:11">
      <c r="A350" s="163"/>
      <c r="B350" s="163"/>
      <c r="C350" s="163"/>
      <c r="D350" s="163"/>
      <c r="E350" s="163"/>
      <c r="F350" s="163"/>
      <c r="G350" s="163"/>
      <c r="H350" s="163"/>
      <c r="I350" s="163"/>
      <c r="J350" s="163"/>
      <c r="K350" s="163"/>
    </row>
    <row r="351" spans="1:11">
      <c r="A351" s="163"/>
      <c r="B351" s="163"/>
      <c r="C351" s="163"/>
      <c r="D351" s="163"/>
      <c r="E351" s="163"/>
      <c r="F351" s="163"/>
      <c r="G351" s="163"/>
      <c r="H351" s="163"/>
      <c r="I351" s="163"/>
      <c r="J351" s="163"/>
      <c r="K351" s="163"/>
    </row>
    <row r="352" spans="1:11">
      <c r="A352" s="163"/>
      <c r="B352" s="163"/>
      <c r="C352" s="163"/>
      <c r="D352" s="163"/>
      <c r="E352" s="163"/>
      <c r="F352" s="163"/>
      <c r="G352" s="163"/>
      <c r="H352" s="163"/>
      <c r="I352" s="163"/>
      <c r="J352" s="163"/>
      <c r="K352" s="163"/>
    </row>
    <row r="353" spans="1:11">
      <c r="A353" s="163"/>
      <c r="B353" s="163"/>
      <c r="C353" s="163"/>
      <c r="D353" s="163"/>
      <c r="E353" s="163"/>
      <c r="F353" s="163"/>
      <c r="G353" s="163"/>
      <c r="H353" s="163"/>
      <c r="I353" s="163"/>
      <c r="J353" s="163"/>
      <c r="K353" s="163"/>
    </row>
    <row r="354" spans="1:11">
      <c r="A354" s="163"/>
      <c r="B354" s="163"/>
      <c r="C354" s="163"/>
      <c r="D354" s="163"/>
      <c r="E354" s="163"/>
      <c r="F354" s="163"/>
      <c r="G354" s="163"/>
      <c r="H354" s="163"/>
      <c r="I354" s="163"/>
      <c r="J354" s="163"/>
      <c r="K354" s="163"/>
    </row>
    <row r="355" spans="1:11">
      <c r="A355" s="163"/>
      <c r="B355" s="163"/>
      <c r="C355" s="163"/>
      <c r="D355" s="163"/>
      <c r="E355" s="163"/>
      <c r="F355" s="163"/>
      <c r="G355" s="163"/>
      <c r="H355" s="163"/>
      <c r="I355" s="163"/>
      <c r="J355" s="163"/>
      <c r="K355" s="163"/>
    </row>
    <row r="356" spans="1:11">
      <c r="A356" s="163"/>
      <c r="B356" s="163"/>
      <c r="C356" s="163"/>
      <c r="D356" s="163"/>
      <c r="E356" s="163"/>
      <c r="F356" s="163"/>
      <c r="G356" s="163"/>
      <c r="H356" s="163"/>
      <c r="I356" s="163"/>
      <c r="J356" s="163"/>
      <c r="K356" s="163"/>
    </row>
    <row r="357" spans="1:11">
      <c r="A357" s="163"/>
      <c r="B357" s="163"/>
      <c r="C357" s="163"/>
      <c r="D357" s="163"/>
      <c r="E357" s="163"/>
      <c r="F357" s="163"/>
      <c r="G357" s="163"/>
      <c r="H357" s="163"/>
      <c r="I357" s="163"/>
      <c r="J357" s="163"/>
      <c r="K357" s="163"/>
    </row>
    <row r="358" spans="1:11">
      <c r="A358" s="163"/>
      <c r="B358" s="163"/>
      <c r="C358" s="163"/>
      <c r="D358" s="163"/>
      <c r="E358" s="163"/>
      <c r="F358" s="163"/>
      <c r="G358" s="163"/>
      <c r="H358" s="163"/>
      <c r="I358" s="163"/>
      <c r="J358" s="163"/>
      <c r="K358" s="163"/>
    </row>
    <row r="359" spans="1:11">
      <c r="A359" s="163"/>
      <c r="B359" s="163"/>
      <c r="C359" s="163"/>
      <c r="D359" s="163"/>
      <c r="E359" s="163"/>
      <c r="F359" s="163"/>
      <c r="G359" s="163"/>
      <c r="H359" s="163"/>
      <c r="I359" s="163"/>
      <c r="J359" s="163"/>
      <c r="K359" s="163"/>
    </row>
    <row r="360" spans="1:11">
      <c r="A360" s="163"/>
      <c r="B360" s="163"/>
      <c r="C360" s="163"/>
      <c r="D360" s="163"/>
      <c r="E360" s="163"/>
      <c r="F360" s="163"/>
      <c r="G360" s="163"/>
      <c r="H360" s="163"/>
      <c r="I360" s="163"/>
      <c r="J360" s="163"/>
      <c r="K360" s="163"/>
    </row>
    <row r="361" spans="1:11">
      <c r="A361" s="163"/>
      <c r="B361" s="163"/>
      <c r="C361" s="163"/>
      <c r="D361" s="163"/>
      <c r="E361" s="163"/>
      <c r="F361" s="163"/>
      <c r="G361" s="163"/>
      <c r="H361" s="163"/>
      <c r="I361" s="163"/>
      <c r="J361" s="163"/>
      <c r="K361" s="163"/>
    </row>
    <row r="362" spans="1:11">
      <c r="A362" s="163"/>
      <c r="B362" s="163"/>
      <c r="C362" s="163"/>
      <c r="D362" s="163"/>
      <c r="E362" s="163"/>
      <c r="F362" s="163"/>
      <c r="G362" s="163"/>
      <c r="H362" s="163"/>
      <c r="I362" s="163"/>
      <c r="J362" s="163"/>
      <c r="K362" s="163"/>
    </row>
    <row r="363" spans="1:11">
      <c r="A363" s="163"/>
      <c r="B363" s="163"/>
      <c r="C363" s="163"/>
      <c r="D363" s="163"/>
      <c r="E363" s="163"/>
      <c r="F363" s="163"/>
      <c r="G363" s="163"/>
      <c r="H363" s="163"/>
      <c r="I363" s="163"/>
      <c r="J363" s="163"/>
      <c r="K363" s="163"/>
    </row>
    <row r="364" spans="1:11">
      <c r="A364" s="163"/>
      <c r="B364" s="163"/>
      <c r="C364" s="163"/>
      <c r="D364" s="163"/>
      <c r="E364" s="163"/>
      <c r="F364" s="163"/>
      <c r="G364" s="163"/>
      <c r="H364" s="163"/>
      <c r="I364" s="163"/>
      <c r="J364" s="163"/>
      <c r="K364" s="163"/>
    </row>
    <row r="365" spans="1:11">
      <c r="A365" s="163"/>
      <c r="B365" s="163"/>
      <c r="C365" s="163"/>
      <c r="D365" s="163"/>
      <c r="E365" s="163"/>
      <c r="F365" s="163"/>
      <c r="G365" s="163"/>
      <c r="H365" s="163"/>
      <c r="I365" s="163"/>
      <c r="J365" s="163"/>
      <c r="K365" s="163"/>
    </row>
    <row r="366" spans="1:11">
      <c r="A366" s="163"/>
      <c r="B366" s="163"/>
      <c r="C366" s="163"/>
      <c r="D366" s="163"/>
      <c r="E366" s="163"/>
      <c r="F366" s="163"/>
      <c r="G366" s="163"/>
      <c r="H366" s="163"/>
      <c r="I366" s="163"/>
      <c r="J366" s="163"/>
      <c r="K366" s="163"/>
    </row>
    <row r="367" spans="1:11">
      <c r="A367" s="163"/>
      <c r="B367" s="163"/>
      <c r="C367" s="163"/>
      <c r="D367" s="163"/>
      <c r="E367" s="163"/>
      <c r="F367" s="163"/>
      <c r="G367" s="163"/>
      <c r="H367" s="163"/>
      <c r="I367" s="163"/>
      <c r="J367" s="163"/>
      <c r="K367" s="163"/>
    </row>
    <row r="368" spans="1:11">
      <c r="A368" s="163"/>
      <c r="B368" s="163"/>
      <c r="C368" s="163"/>
      <c r="D368" s="163"/>
      <c r="E368" s="163"/>
      <c r="F368" s="163"/>
      <c r="G368" s="163"/>
      <c r="H368" s="163"/>
      <c r="I368" s="163"/>
      <c r="J368" s="163"/>
      <c r="K368" s="163"/>
    </row>
    <row r="369" spans="1:11">
      <c r="A369" s="163"/>
      <c r="B369" s="163"/>
      <c r="C369" s="163"/>
      <c r="D369" s="163"/>
      <c r="E369" s="163"/>
      <c r="F369" s="163"/>
      <c r="G369" s="163"/>
      <c r="H369" s="163"/>
      <c r="I369" s="163"/>
      <c r="J369" s="163"/>
      <c r="K369" s="163"/>
    </row>
    <row r="370" spans="1:11">
      <c r="A370" s="163"/>
      <c r="B370" s="163"/>
      <c r="C370" s="163"/>
      <c r="D370" s="163"/>
      <c r="E370" s="163"/>
      <c r="F370" s="163"/>
      <c r="G370" s="163"/>
      <c r="H370" s="163"/>
      <c r="I370" s="163"/>
      <c r="J370" s="163"/>
      <c r="K370" s="163"/>
    </row>
    <row r="371" spans="1:11">
      <c r="A371" s="163"/>
      <c r="B371" s="163"/>
      <c r="C371" s="163"/>
      <c r="D371" s="163"/>
      <c r="E371" s="163"/>
      <c r="F371" s="163"/>
      <c r="G371" s="163"/>
      <c r="H371" s="163"/>
      <c r="I371" s="163"/>
      <c r="J371" s="163"/>
      <c r="K371" s="163"/>
    </row>
    <row r="372" spans="1:11">
      <c r="A372" s="163"/>
      <c r="B372" s="163"/>
      <c r="C372" s="163"/>
      <c r="D372" s="163"/>
      <c r="E372" s="163"/>
      <c r="F372" s="163"/>
      <c r="G372" s="163"/>
      <c r="H372" s="163"/>
      <c r="I372" s="163"/>
      <c r="J372" s="163"/>
      <c r="K372" s="163"/>
    </row>
    <row r="373" spans="1:11">
      <c r="A373" s="163"/>
      <c r="B373" s="163"/>
      <c r="C373" s="163"/>
      <c r="D373" s="163"/>
      <c r="E373" s="163"/>
      <c r="F373" s="163"/>
      <c r="G373" s="163"/>
      <c r="H373" s="163"/>
      <c r="I373" s="163"/>
      <c r="J373" s="163"/>
      <c r="K373" s="163"/>
    </row>
    <row r="374" spans="1:11">
      <c r="A374" s="163"/>
      <c r="B374" s="163"/>
      <c r="C374" s="163"/>
      <c r="D374" s="163"/>
      <c r="E374" s="163"/>
      <c r="F374" s="163"/>
      <c r="G374" s="163"/>
      <c r="H374" s="163"/>
      <c r="I374" s="163"/>
      <c r="J374" s="163"/>
      <c r="K374" s="163"/>
    </row>
    <row r="375" spans="1:11">
      <c r="A375" s="163"/>
      <c r="B375" s="163"/>
      <c r="C375" s="163"/>
      <c r="D375" s="163"/>
      <c r="E375" s="163"/>
      <c r="F375" s="163"/>
      <c r="G375" s="163"/>
      <c r="H375" s="163"/>
      <c r="I375" s="163"/>
      <c r="J375" s="163"/>
      <c r="K375" s="163"/>
    </row>
    <row r="376" spans="1:11">
      <c r="A376" s="163"/>
      <c r="B376" s="163"/>
      <c r="C376" s="163"/>
      <c r="D376" s="163"/>
      <c r="E376" s="163"/>
      <c r="F376" s="163"/>
      <c r="G376" s="163"/>
      <c r="H376" s="163"/>
      <c r="I376" s="163"/>
      <c r="J376" s="163"/>
      <c r="K376" s="163"/>
    </row>
    <row r="377" spans="1:11">
      <c r="A377" s="163"/>
      <c r="B377" s="163"/>
      <c r="C377" s="163"/>
      <c r="D377" s="163"/>
      <c r="E377" s="163"/>
      <c r="F377" s="163"/>
      <c r="G377" s="163"/>
      <c r="H377" s="163"/>
      <c r="I377" s="163"/>
      <c r="J377" s="163"/>
      <c r="K377" s="163"/>
    </row>
    <row r="378" spans="1:11">
      <c r="A378" s="163"/>
      <c r="B378" s="163"/>
      <c r="C378" s="163"/>
      <c r="D378" s="163"/>
      <c r="E378" s="163"/>
      <c r="F378" s="163"/>
      <c r="G378" s="163"/>
      <c r="H378" s="163"/>
      <c r="I378" s="163"/>
      <c r="J378" s="163"/>
      <c r="K378" s="163"/>
    </row>
    <row r="379" spans="1:11">
      <c r="A379" s="163"/>
      <c r="B379" s="163"/>
      <c r="C379" s="163"/>
      <c r="D379" s="163"/>
      <c r="E379" s="163"/>
      <c r="F379" s="163"/>
      <c r="G379" s="163"/>
      <c r="H379" s="163"/>
      <c r="I379" s="163"/>
      <c r="J379" s="163"/>
      <c r="K379" s="163"/>
    </row>
    <row r="380" spans="1:11">
      <c r="A380" s="163"/>
      <c r="B380" s="163"/>
      <c r="C380" s="163"/>
      <c r="D380" s="163"/>
      <c r="E380" s="163"/>
      <c r="F380" s="163"/>
      <c r="G380" s="163"/>
      <c r="H380" s="163"/>
      <c r="I380" s="163"/>
      <c r="J380" s="163"/>
      <c r="K380" s="163"/>
    </row>
    <row r="381" spans="1:11">
      <c r="A381" s="163"/>
      <c r="B381" s="163"/>
      <c r="C381" s="163"/>
      <c r="D381" s="163"/>
      <c r="E381" s="163"/>
      <c r="F381" s="163"/>
      <c r="G381" s="163"/>
      <c r="H381" s="163"/>
      <c r="I381" s="163"/>
      <c r="J381" s="163"/>
      <c r="K381" s="163"/>
    </row>
    <row r="382" spans="1:11">
      <c r="A382" s="163"/>
      <c r="B382" s="163"/>
      <c r="C382" s="163"/>
      <c r="D382" s="163"/>
      <c r="E382" s="163"/>
      <c r="F382" s="163"/>
      <c r="G382" s="163"/>
      <c r="H382" s="163"/>
      <c r="I382" s="163"/>
      <c r="J382" s="163"/>
      <c r="K382" s="163"/>
    </row>
    <row r="383" spans="1:11">
      <c r="A383" s="163"/>
      <c r="B383" s="163"/>
      <c r="C383" s="163"/>
      <c r="D383" s="163"/>
      <c r="E383" s="163"/>
      <c r="F383" s="163"/>
      <c r="G383" s="163"/>
      <c r="H383" s="163"/>
      <c r="I383" s="163"/>
      <c r="J383" s="163"/>
      <c r="K383" s="163"/>
    </row>
    <row r="384" spans="1:11">
      <c r="A384" s="163"/>
      <c r="B384" s="163"/>
      <c r="C384" s="163"/>
      <c r="D384" s="163"/>
      <c r="E384" s="163"/>
      <c r="F384" s="163"/>
      <c r="G384" s="163"/>
      <c r="H384" s="163"/>
      <c r="I384" s="163"/>
      <c r="J384" s="163"/>
      <c r="K384" s="163"/>
    </row>
    <row r="385" spans="1:11">
      <c r="A385" s="163"/>
      <c r="B385" s="163"/>
      <c r="C385" s="163"/>
      <c r="D385" s="163"/>
      <c r="E385" s="163"/>
      <c r="F385" s="163"/>
      <c r="G385" s="163"/>
      <c r="H385" s="163"/>
      <c r="I385" s="163"/>
      <c r="J385" s="163"/>
      <c r="K385" s="163"/>
    </row>
    <row r="386" spans="1:11">
      <c r="A386" s="163"/>
      <c r="B386" s="163"/>
      <c r="C386" s="163"/>
      <c r="D386" s="163"/>
      <c r="E386" s="163"/>
      <c r="F386" s="163"/>
      <c r="G386" s="163"/>
      <c r="H386" s="163"/>
      <c r="I386" s="163"/>
      <c r="J386" s="163"/>
      <c r="K386" s="163"/>
    </row>
    <row r="387" spans="1:11">
      <c r="A387" s="163"/>
      <c r="B387" s="163"/>
      <c r="C387" s="163"/>
      <c r="D387" s="163"/>
      <c r="E387" s="163"/>
      <c r="F387" s="163"/>
      <c r="G387" s="163"/>
      <c r="H387" s="163"/>
      <c r="I387" s="163"/>
      <c r="J387" s="163"/>
      <c r="K387" s="163"/>
    </row>
    <row r="388" spans="1:11">
      <c r="A388" s="163"/>
      <c r="B388" s="163"/>
      <c r="C388" s="163"/>
      <c r="D388" s="163"/>
      <c r="E388" s="163"/>
      <c r="F388" s="163"/>
      <c r="G388" s="163"/>
      <c r="H388" s="163"/>
      <c r="I388" s="163"/>
      <c r="J388" s="163"/>
      <c r="K388" s="163"/>
    </row>
    <row r="389" spans="1:11">
      <c r="A389" s="163"/>
      <c r="B389" s="163"/>
      <c r="C389" s="163"/>
      <c r="D389" s="163"/>
      <c r="E389" s="163"/>
      <c r="F389" s="163"/>
      <c r="G389" s="163"/>
      <c r="H389" s="163"/>
      <c r="I389" s="163"/>
      <c r="J389" s="163"/>
      <c r="K389" s="163"/>
    </row>
    <row r="390" spans="1:11">
      <c r="A390" s="163"/>
      <c r="B390" s="163"/>
      <c r="C390" s="163"/>
      <c r="D390" s="163"/>
      <c r="E390" s="163"/>
      <c r="F390" s="163"/>
      <c r="G390" s="163"/>
      <c r="H390" s="163"/>
      <c r="I390" s="163"/>
      <c r="J390" s="163"/>
      <c r="K390" s="163"/>
    </row>
    <row r="391" spans="1:11">
      <c r="A391" s="163"/>
      <c r="B391" s="163"/>
      <c r="C391" s="163"/>
      <c r="D391" s="163"/>
      <c r="E391" s="163"/>
      <c r="F391" s="163"/>
      <c r="G391" s="163"/>
      <c r="H391" s="163"/>
      <c r="I391" s="163"/>
      <c r="J391" s="163"/>
      <c r="K391" s="163"/>
    </row>
    <row r="392" spans="1:11">
      <c r="A392" s="163"/>
      <c r="B392" s="163"/>
      <c r="C392" s="163"/>
      <c r="D392" s="163"/>
      <c r="E392" s="163"/>
      <c r="F392" s="163"/>
      <c r="G392" s="163"/>
      <c r="H392" s="163"/>
      <c r="I392" s="163"/>
      <c r="J392" s="163"/>
      <c r="K392" s="163"/>
    </row>
    <row r="393" spans="1:11">
      <c r="A393" s="163"/>
      <c r="B393" s="163"/>
      <c r="C393" s="163"/>
      <c r="D393" s="163"/>
      <c r="E393" s="163"/>
      <c r="F393" s="163"/>
      <c r="G393" s="163"/>
      <c r="H393" s="163"/>
      <c r="I393" s="163"/>
      <c r="J393" s="163"/>
      <c r="K393" s="163"/>
    </row>
    <row r="394" spans="1:11">
      <c r="A394" s="163"/>
      <c r="B394" s="163"/>
      <c r="C394" s="163"/>
      <c r="D394" s="163"/>
      <c r="E394" s="163"/>
      <c r="F394" s="163"/>
      <c r="G394" s="163"/>
      <c r="H394" s="163"/>
      <c r="I394" s="163"/>
      <c r="J394" s="163"/>
      <c r="K394" s="163"/>
    </row>
    <row r="395" spans="1:11">
      <c r="A395" s="163"/>
      <c r="B395" s="163"/>
      <c r="C395" s="163"/>
      <c r="D395" s="163"/>
      <c r="E395" s="163"/>
      <c r="F395" s="163"/>
      <c r="G395" s="163"/>
      <c r="H395" s="163"/>
      <c r="I395" s="163"/>
      <c r="J395" s="163"/>
      <c r="K395" s="163"/>
    </row>
    <row r="396" spans="1:11">
      <c r="A396" s="163"/>
      <c r="B396" s="163"/>
      <c r="C396" s="163"/>
      <c r="D396" s="163"/>
      <c r="E396" s="163"/>
      <c r="F396" s="163"/>
      <c r="G396" s="163"/>
      <c r="H396" s="163"/>
      <c r="I396" s="163"/>
      <c r="J396" s="163"/>
      <c r="K396" s="163"/>
    </row>
    <row r="397" spans="1:11">
      <c r="A397" s="163"/>
      <c r="B397" s="163"/>
      <c r="C397" s="163"/>
      <c r="D397" s="163"/>
      <c r="E397" s="163"/>
      <c r="F397" s="163"/>
      <c r="G397" s="163"/>
      <c r="H397" s="163"/>
      <c r="I397" s="163"/>
      <c r="J397" s="163"/>
      <c r="K397" s="163"/>
    </row>
    <row r="398" spans="1:11">
      <c r="A398" s="163"/>
      <c r="B398" s="163"/>
      <c r="C398" s="163"/>
      <c r="D398" s="163"/>
      <c r="E398" s="163"/>
      <c r="F398" s="163"/>
      <c r="G398" s="163"/>
      <c r="H398" s="163"/>
      <c r="I398" s="163"/>
      <c r="J398" s="163"/>
      <c r="K398" s="163"/>
    </row>
    <row r="399" spans="1:11">
      <c r="A399" s="163"/>
      <c r="B399" s="163"/>
      <c r="C399" s="163"/>
      <c r="D399" s="163"/>
      <c r="E399" s="163"/>
      <c r="F399" s="163"/>
      <c r="G399" s="163"/>
      <c r="H399" s="163"/>
      <c r="I399" s="163"/>
      <c r="J399" s="163"/>
      <c r="K399" s="163"/>
    </row>
    <row r="400" spans="1:11">
      <c r="A400" s="163"/>
      <c r="B400" s="163"/>
      <c r="C400" s="163"/>
      <c r="D400" s="163"/>
      <c r="E400" s="163"/>
      <c r="F400" s="163"/>
      <c r="G400" s="163"/>
      <c r="H400" s="163"/>
      <c r="I400" s="163"/>
      <c r="J400" s="163"/>
      <c r="K400" s="163"/>
    </row>
    <row r="401" spans="1:11">
      <c r="A401" s="163"/>
      <c r="B401" s="163"/>
      <c r="C401" s="163"/>
      <c r="D401" s="163"/>
      <c r="E401" s="163"/>
      <c r="F401" s="163"/>
      <c r="G401" s="163"/>
      <c r="H401" s="163"/>
      <c r="I401" s="163"/>
      <c r="J401" s="163"/>
      <c r="K401" s="163"/>
    </row>
    <row r="402" spans="1:11">
      <c r="A402" s="163"/>
      <c r="B402" s="163"/>
      <c r="C402" s="163"/>
      <c r="D402" s="163"/>
      <c r="E402" s="163"/>
      <c r="F402" s="163"/>
      <c r="G402" s="163"/>
      <c r="H402" s="163"/>
      <c r="I402" s="163"/>
      <c r="J402" s="163"/>
      <c r="K402" s="163"/>
    </row>
    <row r="403" spans="1:11">
      <c r="A403" s="163"/>
      <c r="B403" s="163"/>
      <c r="C403" s="163"/>
      <c r="D403" s="163"/>
      <c r="E403" s="163"/>
      <c r="F403" s="163"/>
      <c r="G403" s="163"/>
      <c r="H403" s="163"/>
      <c r="I403" s="163"/>
      <c r="J403" s="163"/>
      <c r="K403" s="163"/>
    </row>
    <row r="404" spans="1:11">
      <c r="A404" s="163"/>
      <c r="B404" s="163"/>
      <c r="C404" s="163"/>
      <c r="D404" s="163"/>
      <c r="E404" s="163"/>
      <c r="F404" s="163"/>
      <c r="G404" s="163"/>
      <c r="H404" s="163"/>
      <c r="I404" s="163"/>
      <c r="J404" s="163"/>
      <c r="K404" s="163"/>
    </row>
    <row r="405" spans="1:11">
      <c r="A405" s="163"/>
      <c r="B405" s="163"/>
      <c r="C405" s="163"/>
      <c r="D405" s="163"/>
      <c r="E405" s="163"/>
      <c r="F405" s="163"/>
      <c r="G405" s="163"/>
      <c r="H405" s="163"/>
      <c r="I405" s="163"/>
      <c r="J405" s="163"/>
      <c r="K405" s="163"/>
    </row>
    <row r="406" spans="1:11">
      <c r="A406" s="163"/>
      <c r="B406" s="163"/>
      <c r="C406" s="163"/>
      <c r="D406" s="163"/>
      <c r="E406" s="163"/>
      <c r="F406" s="163"/>
      <c r="G406" s="163"/>
      <c r="H406" s="163"/>
      <c r="I406" s="163"/>
      <c r="J406" s="163"/>
      <c r="K406" s="163"/>
    </row>
    <row r="407" spans="1:11">
      <c r="A407" s="163"/>
      <c r="B407" s="163"/>
      <c r="C407" s="163"/>
      <c r="D407" s="163"/>
      <c r="E407" s="163"/>
      <c r="F407" s="163"/>
      <c r="G407" s="163"/>
      <c r="H407" s="163"/>
      <c r="I407" s="163"/>
      <c r="J407" s="163"/>
      <c r="K407" s="163"/>
    </row>
    <row r="408" spans="1:11">
      <c r="A408" s="163"/>
      <c r="B408" s="163"/>
      <c r="C408" s="163"/>
      <c r="D408" s="163"/>
      <c r="E408" s="163"/>
      <c r="F408" s="163"/>
      <c r="G408" s="163"/>
      <c r="H408" s="163"/>
      <c r="I408" s="163"/>
      <c r="J408" s="163"/>
      <c r="K408" s="163"/>
    </row>
    <row r="409" spans="1:11">
      <c r="A409" s="163"/>
      <c r="B409" s="163"/>
      <c r="C409" s="163"/>
      <c r="D409" s="163"/>
      <c r="E409" s="163"/>
      <c r="F409" s="163"/>
      <c r="G409" s="163"/>
      <c r="H409" s="163"/>
      <c r="I409" s="163"/>
      <c r="J409" s="163"/>
      <c r="K409" s="163"/>
    </row>
    <row r="410" spans="1:11">
      <c r="A410" s="163"/>
      <c r="B410" s="163"/>
      <c r="C410" s="163"/>
      <c r="D410" s="163"/>
      <c r="E410" s="163"/>
      <c r="F410" s="163"/>
      <c r="G410" s="163"/>
      <c r="H410" s="163"/>
      <c r="I410" s="163"/>
      <c r="J410" s="163"/>
      <c r="K410" s="163"/>
    </row>
    <row r="411" spans="1:11">
      <c r="A411" s="163"/>
      <c r="B411" s="163"/>
      <c r="C411" s="163"/>
      <c r="D411" s="163"/>
      <c r="E411" s="163"/>
      <c r="F411" s="163"/>
      <c r="G411" s="163"/>
      <c r="H411" s="163"/>
      <c r="I411" s="163"/>
      <c r="J411" s="163"/>
      <c r="K411" s="163"/>
    </row>
    <row r="412" spans="1:11">
      <c r="A412" s="163"/>
      <c r="B412" s="163"/>
      <c r="C412" s="163"/>
      <c r="D412" s="163"/>
      <c r="E412" s="163"/>
      <c r="F412" s="163"/>
      <c r="G412" s="163"/>
      <c r="H412" s="163"/>
      <c r="I412" s="163"/>
      <c r="J412" s="163"/>
      <c r="K412" s="163"/>
    </row>
    <row r="413" spans="1:11">
      <c r="A413" s="163"/>
      <c r="B413" s="163"/>
      <c r="C413" s="163"/>
      <c r="D413" s="163"/>
      <c r="E413" s="163"/>
      <c r="F413" s="163"/>
      <c r="G413" s="163"/>
      <c r="H413" s="163"/>
      <c r="I413" s="163"/>
      <c r="J413" s="163"/>
      <c r="K413" s="163"/>
    </row>
    <row r="414" spans="1:11">
      <c r="A414" s="163"/>
      <c r="B414" s="163"/>
      <c r="C414" s="163"/>
      <c r="D414" s="163"/>
      <c r="E414" s="163"/>
      <c r="F414" s="163"/>
      <c r="G414" s="163"/>
      <c r="H414" s="163"/>
      <c r="I414" s="163"/>
      <c r="J414" s="163"/>
      <c r="K414" s="163"/>
    </row>
    <row r="415" spans="1:11">
      <c r="A415" s="163"/>
      <c r="B415" s="163"/>
      <c r="C415" s="163"/>
      <c r="D415" s="163"/>
      <c r="E415" s="163"/>
      <c r="F415" s="163"/>
      <c r="G415" s="163"/>
      <c r="H415" s="163"/>
      <c r="I415" s="163"/>
      <c r="J415" s="163"/>
      <c r="K415" s="163"/>
    </row>
    <row r="416" spans="1:11">
      <c r="A416" s="163"/>
      <c r="B416" s="163"/>
      <c r="C416" s="163"/>
      <c r="D416" s="163"/>
      <c r="E416" s="163"/>
      <c r="F416" s="163"/>
      <c r="G416" s="163"/>
      <c r="H416" s="163"/>
      <c r="I416" s="163"/>
      <c r="J416" s="163"/>
      <c r="K416" s="163"/>
    </row>
    <row r="417" spans="1:11">
      <c r="A417" s="163"/>
      <c r="B417" s="163"/>
      <c r="C417" s="163"/>
      <c r="D417" s="163"/>
      <c r="E417" s="163"/>
      <c r="F417" s="163"/>
      <c r="G417" s="163"/>
      <c r="H417" s="163"/>
      <c r="I417" s="163"/>
      <c r="J417" s="163"/>
      <c r="K417" s="163"/>
    </row>
    <row r="418" spans="1:11">
      <c r="A418" s="163"/>
      <c r="B418" s="163"/>
      <c r="C418" s="163"/>
      <c r="D418" s="163"/>
      <c r="E418" s="163"/>
      <c r="F418" s="163"/>
      <c r="G418" s="163"/>
      <c r="H418" s="163"/>
      <c r="I418" s="163"/>
      <c r="J418" s="163"/>
      <c r="K418" s="163"/>
    </row>
    <row r="419" spans="1:11">
      <c r="A419" s="163"/>
      <c r="B419" s="163"/>
      <c r="C419" s="163"/>
      <c r="D419" s="163"/>
      <c r="E419" s="163"/>
      <c r="F419" s="163"/>
      <c r="G419" s="163"/>
      <c r="H419" s="163"/>
      <c r="I419" s="163"/>
      <c r="J419" s="163"/>
      <c r="K419" s="163"/>
    </row>
    <row r="420" spans="1:11">
      <c r="A420" s="163"/>
      <c r="B420" s="163"/>
      <c r="C420" s="163"/>
      <c r="D420" s="163"/>
      <c r="E420" s="163"/>
      <c r="F420" s="163"/>
      <c r="G420" s="163"/>
      <c r="H420" s="163"/>
      <c r="I420" s="163"/>
      <c r="J420" s="163"/>
      <c r="K420" s="163"/>
    </row>
    <row r="421" spans="1:11">
      <c r="A421" s="163"/>
      <c r="B421" s="163"/>
      <c r="C421" s="163"/>
      <c r="D421" s="163"/>
      <c r="E421" s="163"/>
      <c r="F421" s="163"/>
      <c r="G421" s="163"/>
      <c r="H421" s="163"/>
      <c r="I421" s="163"/>
      <c r="J421" s="163"/>
      <c r="K421" s="163"/>
    </row>
    <row r="422" spans="1:11">
      <c r="A422" s="163"/>
      <c r="B422" s="163"/>
      <c r="C422" s="163"/>
      <c r="D422" s="163"/>
      <c r="E422" s="163"/>
      <c r="F422" s="163"/>
      <c r="G422" s="163"/>
      <c r="H422" s="163"/>
      <c r="I422" s="163"/>
      <c r="J422" s="163"/>
      <c r="K422" s="163"/>
    </row>
    <row r="423" spans="1:11">
      <c r="A423" s="163"/>
      <c r="B423" s="163"/>
      <c r="C423" s="163"/>
      <c r="D423" s="163"/>
      <c r="E423" s="163"/>
      <c r="F423" s="163"/>
      <c r="G423" s="163"/>
      <c r="H423" s="163"/>
      <c r="I423" s="163"/>
      <c r="J423" s="163"/>
      <c r="K423" s="163"/>
    </row>
    <row r="424" spans="1:11">
      <c r="A424" s="163"/>
      <c r="B424" s="163"/>
      <c r="C424" s="163"/>
      <c r="D424" s="163"/>
      <c r="E424" s="163"/>
      <c r="F424" s="163"/>
      <c r="G424" s="163"/>
      <c r="H424" s="163"/>
      <c r="I424" s="163"/>
      <c r="J424" s="163"/>
      <c r="K424" s="163"/>
    </row>
    <row r="425" spans="1:11">
      <c r="A425" s="163"/>
      <c r="B425" s="163"/>
      <c r="C425" s="163"/>
      <c r="D425" s="163"/>
      <c r="E425" s="163"/>
      <c r="F425" s="163"/>
      <c r="G425" s="163"/>
      <c r="H425" s="163"/>
      <c r="I425" s="163"/>
      <c r="J425" s="163"/>
      <c r="K425" s="163"/>
    </row>
    <row r="426" spans="1:11">
      <c r="A426" s="163"/>
      <c r="B426" s="163"/>
      <c r="C426" s="163"/>
      <c r="D426" s="163"/>
      <c r="E426" s="163"/>
      <c r="F426" s="163"/>
      <c r="G426" s="163"/>
      <c r="H426" s="163"/>
      <c r="I426" s="163"/>
      <c r="J426" s="163"/>
      <c r="K426" s="163"/>
    </row>
    <row r="427" spans="1:11">
      <c r="A427" s="163"/>
      <c r="B427" s="163"/>
      <c r="C427" s="163"/>
      <c r="D427" s="163"/>
      <c r="E427" s="163"/>
      <c r="F427" s="163"/>
      <c r="G427" s="163"/>
      <c r="H427" s="163"/>
      <c r="I427" s="163"/>
      <c r="J427" s="163"/>
      <c r="K427" s="163"/>
    </row>
    <row r="428" spans="1:11">
      <c r="A428" s="163"/>
      <c r="B428" s="163"/>
      <c r="C428" s="163"/>
      <c r="D428" s="163"/>
      <c r="E428" s="163"/>
      <c r="F428" s="163"/>
      <c r="G428" s="163"/>
      <c r="H428" s="163"/>
      <c r="I428" s="163"/>
      <c r="J428" s="163"/>
      <c r="K428" s="163"/>
    </row>
    <row r="429" spans="1:11">
      <c r="A429" s="163"/>
      <c r="B429" s="163"/>
      <c r="C429" s="163"/>
      <c r="D429" s="163"/>
      <c r="E429" s="163"/>
      <c r="F429" s="163"/>
      <c r="G429" s="163"/>
      <c r="H429" s="163"/>
      <c r="I429" s="163"/>
      <c r="J429" s="163"/>
      <c r="K429" s="163"/>
    </row>
    <row r="430" spans="1:11">
      <c r="A430" s="163"/>
      <c r="B430" s="163"/>
      <c r="C430" s="163"/>
      <c r="D430" s="163"/>
      <c r="E430" s="163"/>
      <c r="F430" s="163"/>
      <c r="G430" s="163"/>
      <c r="H430" s="163"/>
      <c r="I430" s="163"/>
      <c r="J430" s="163"/>
      <c r="K430" s="163"/>
    </row>
    <row r="431" spans="1:11">
      <c r="A431" s="163"/>
      <c r="B431" s="163"/>
      <c r="C431" s="163"/>
      <c r="D431" s="163"/>
      <c r="E431" s="163"/>
      <c r="F431" s="163"/>
      <c r="G431" s="163"/>
      <c r="H431" s="163"/>
      <c r="I431" s="163"/>
      <c r="J431" s="163"/>
      <c r="K431" s="163"/>
    </row>
    <row r="432" spans="1:11">
      <c r="A432" s="163"/>
      <c r="B432" s="163"/>
      <c r="C432" s="163"/>
      <c r="D432" s="163"/>
      <c r="E432" s="163"/>
      <c r="F432" s="163"/>
      <c r="G432" s="163"/>
      <c r="H432" s="163"/>
      <c r="I432" s="163"/>
      <c r="J432" s="163"/>
      <c r="K432" s="163"/>
    </row>
    <row r="433" spans="1:11">
      <c r="A433" s="163"/>
      <c r="B433" s="163"/>
      <c r="C433" s="163"/>
      <c r="D433" s="163"/>
      <c r="E433" s="163"/>
      <c r="F433" s="163"/>
      <c r="G433" s="163"/>
      <c r="H433" s="163"/>
      <c r="I433" s="163"/>
      <c r="J433" s="163"/>
      <c r="K433" s="163"/>
    </row>
    <row r="434" spans="1:11">
      <c r="A434" s="163"/>
      <c r="B434" s="163"/>
      <c r="C434" s="163"/>
      <c r="D434" s="163"/>
      <c r="E434" s="163"/>
      <c r="F434" s="163"/>
      <c r="G434" s="163"/>
      <c r="H434" s="163"/>
      <c r="I434" s="163"/>
      <c r="J434" s="163"/>
      <c r="K434" s="163"/>
    </row>
    <row r="435" spans="1:11">
      <c r="A435" s="163"/>
      <c r="B435" s="163"/>
      <c r="C435" s="163"/>
      <c r="D435" s="163"/>
      <c r="E435" s="163"/>
      <c r="F435" s="163"/>
      <c r="G435" s="163"/>
      <c r="H435" s="163"/>
      <c r="I435" s="163"/>
      <c r="J435" s="163"/>
      <c r="K435" s="163"/>
    </row>
    <row r="436" spans="1:11">
      <c r="A436" s="163"/>
      <c r="B436" s="163"/>
      <c r="C436" s="163"/>
      <c r="D436" s="163"/>
      <c r="E436" s="163"/>
      <c r="F436" s="163"/>
      <c r="G436" s="163"/>
      <c r="H436" s="163"/>
      <c r="I436" s="163"/>
      <c r="J436" s="163"/>
      <c r="K436" s="163"/>
    </row>
    <row r="437" spans="1:11">
      <c r="A437" s="163"/>
      <c r="B437" s="163"/>
      <c r="C437" s="163"/>
      <c r="D437" s="163"/>
      <c r="E437" s="163"/>
      <c r="F437" s="163"/>
      <c r="G437" s="163"/>
      <c r="H437" s="163"/>
      <c r="I437" s="163"/>
      <c r="J437" s="163"/>
      <c r="K437" s="163"/>
    </row>
    <row r="438" spans="1:11">
      <c r="A438" s="163"/>
      <c r="B438" s="163"/>
      <c r="C438" s="163"/>
      <c r="D438" s="163"/>
      <c r="E438" s="163"/>
      <c r="F438" s="163"/>
      <c r="G438" s="163"/>
      <c r="H438" s="163"/>
      <c r="I438" s="163"/>
      <c r="J438" s="163"/>
      <c r="K438" s="163"/>
    </row>
    <row r="439" spans="1:11">
      <c r="A439" s="163"/>
      <c r="B439" s="163"/>
      <c r="C439" s="163"/>
      <c r="D439" s="163"/>
      <c r="E439" s="163"/>
      <c r="F439" s="163"/>
      <c r="G439" s="163"/>
      <c r="H439" s="163"/>
      <c r="I439" s="163"/>
      <c r="J439" s="163"/>
      <c r="K439" s="163"/>
    </row>
    <row r="440" spans="1:11">
      <c r="A440" s="163"/>
      <c r="B440" s="163"/>
      <c r="C440" s="163"/>
      <c r="D440" s="163"/>
      <c r="E440" s="163"/>
      <c r="F440" s="163"/>
      <c r="G440" s="163"/>
      <c r="H440" s="163"/>
      <c r="I440" s="163"/>
      <c r="J440" s="163"/>
      <c r="K440" s="163"/>
    </row>
    <row r="441" spans="1:11">
      <c r="A441" s="163"/>
      <c r="B441" s="163"/>
      <c r="C441" s="163"/>
      <c r="D441" s="163"/>
      <c r="E441" s="163"/>
      <c r="F441" s="163"/>
      <c r="G441" s="163"/>
      <c r="H441" s="163"/>
      <c r="I441" s="163"/>
      <c r="J441" s="163"/>
      <c r="K441" s="163"/>
    </row>
    <row r="442" spans="1:11">
      <c r="A442" s="163"/>
      <c r="B442" s="163"/>
      <c r="C442" s="163"/>
      <c r="D442" s="163"/>
      <c r="E442" s="163"/>
      <c r="F442" s="163"/>
      <c r="G442" s="163"/>
      <c r="H442" s="163"/>
      <c r="I442" s="163"/>
      <c r="J442" s="163"/>
      <c r="K442" s="163"/>
    </row>
    <row r="443" spans="1:11">
      <c r="A443" s="163"/>
      <c r="B443" s="163"/>
      <c r="C443" s="163"/>
      <c r="D443" s="163"/>
      <c r="E443" s="163"/>
      <c r="F443" s="163"/>
      <c r="G443" s="163"/>
      <c r="H443" s="163"/>
      <c r="I443" s="163"/>
      <c r="J443" s="163"/>
      <c r="K443" s="163"/>
    </row>
    <row r="444" spans="1:11">
      <c r="A444" s="163"/>
      <c r="B444" s="163"/>
      <c r="C444" s="163"/>
      <c r="D444" s="163"/>
      <c r="E444" s="163"/>
      <c r="F444" s="163"/>
      <c r="G444" s="163"/>
      <c r="H444" s="163"/>
      <c r="I444" s="163"/>
      <c r="J444" s="163"/>
      <c r="K444" s="163"/>
    </row>
    <row r="445" spans="1:11">
      <c r="A445" s="163"/>
      <c r="B445" s="163"/>
      <c r="C445" s="163"/>
      <c r="D445" s="163"/>
      <c r="E445" s="163"/>
      <c r="F445" s="163"/>
      <c r="G445" s="163"/>
      <c r="H445" s="163"/>
      <c r="I445" s="163"/>
      <c r="J445" s="163"/>
      <c r="K445" s="163"/>
    </row>
    <row r="446" spans="1:11">
      <c r="A446" s="163"/>
      <c r="B446" s="163"/>
      <c r="C446" s="163"/>
      <c r="D446" s="163"/>
      <c r="E446" s="163"/>
      <c r="F446" s="163"/>
      <c r="G446" s="163"/>
      <c r="H446" s="163"/>
      <c r="I446" s="163"/>
      <c r="J446" s="163"/>
      <c r="K446" s="163"/>
    </row>
    <row r="447" spans="1:11">
      <c r="A447" s="163"/>
      <c r="B447" s="163"/>
      <c r="C447" s="163"/>
      <c r="D447" s="163"/>
      <c r="E447" s="163"/>
      <c r="F447" s="163"/>
      <c r="G447" s="163"/>
      <c r="H447" s="163"/>
      <c r="I447" s="163"/>
      <c r="J447" s="163"/>
      <c r="K447" s="163"/>
    </row>
    <row r="448" spans="1:11">
      <c r="A448" s="163"/>
      <c r="B448" s="163"/>
      <c r="C448" s="163"/>
      <c r="D448" s="163"/>
      <c r="E448" s="163"/>
      <c r="F448" s="163"/>
      <c r="G448" s="163"/>
      <c r="H448" s="163"/>
      <c r="I448" s="163"/>
      <c r="J448" s="163"/>
      <c r="K448" s="163"/>
    </row>
    <row r="449" spans="1:11">
      <c r="A449" s="163"/>
      <c r="B449" s="163"/>
      <c r="C449" s="163"/>
      <c r="D449" s="163"/>
      <c r="E449" s="163"/>
      <c r="F449" s="163"/>
      <c r="G449" s="163"/>
      <c r="H449" s="163"/>
      <c r="I449" s="163"/>
      <c r="J449" s="163"/>
      <c r="K449" s="163"/>
    </row>
    <row r="450" spans="1:11">
      <c r="A450" s="163"/>
      <c r="B450" s="163"/>
      <c r="C450" s="163"/>
      <c r="D450" s="163"/>
      <c r="E450" s="163"/>
      <c r="F450" s="163"/>
      <c r="G450" s="163"/>
      <c r="H450" s="163"/>
      <c r="I450" s="163"/>
      <c r="J450" s="163"/>
      <c r="K450" s="163"/>
    </row>
    <row r="451" spans="1:11">
      <c r="A451" s="163"/>
      <c r="B451" s="163"/>
      <c r="C451" s="163"/>
      <c r="D451" s="163"/>
      <c r="E451" s="163"/>
      <c r="F451" s="163"/>
      <c r="G451" s="163"/>
      <c r="H451" s="163"/>
      <c r="I451" s="163"/>
      <c r="J451" s="163"/>
      <c r="K451" s="163"/>
    </row>
    <row r="452" spans="1:11">
      <c r="A452" s="163"/>
      <c r="B452" s="163"/>
      <c r="C452" s="163"/>
      <c r="D452" s="163"/>
      <c r="E452" s="163"/>
      <c r="F452" s="163"/>
      <c r="G452" s="163"/>
      <c r="H452" s="163"/>
      <c r="I452" s="163"/>
      <c r="J452" s="163"/>
      <c r="K452" s="163"/>
    </row>
    <row r="453" spans="1:11">
      <c r="A453" s="163"/>
      <c r="B453" s="163"/>
      <c r="C453" s="163"/>
      <c r="D453" s="163"/>
      <c r="E453" s="163"/>
      <c r="F453" s="163"/>
      <c r="G453" s="163"/>
      <c r="H453" s="163"/>
      <c r="I453" s="163"/>
      <c r="J453" s="163"/>
      <c r="K453" s="163"/>
    </row>
    <row r="454" spans="1:11">
      <c r="A454" s="163"/>
      <c r="B454" s="163"/>
      <c r="C454" s="163"/>
      <c r="D454" s="163"/>
      <c r="E454" s="163"/>
      <c r="F454" s="163"/>
      <c r="G454" s="163"/>
      <c r="H454" s="163"/>
      <c r="I454" s="163"/>
      <c r="J454" s="163"/>
      <c r="K454" s="163"/>
    </row>
    <row r="455" spans="1:11">
      <c r="A455" s="163"/>
      <c r="B455" s="163"/>
      <c r="C455" s="163"/>
      <c r="D455" s="163"/>
      <c r="E455" s="163"/>
      <c r="F455" s="163"/>
      <c r="G455" s="163"/>
      <c r="H455" s="163"/>
      <c r="I455" s="163"/>
      <c r="J455" s="163"/>
      <c r="K455" s="163"/>
    </row>
    <row r="456" spans="1:11">
      <c r="A456" s="163"/>
      <c r="B456" s="163"/>
      <c r="C456" s="163"/>
      <c r="D456" s="163"/>
      <c r="E456" s="163"/>
      <c r="F456" s="163"/>
      <c r="G456" s="163"/>
      <c r="H456" s="163"/>
      <c r="I456" s="163"/>
      <c r="J456" s="163"/>
      <c r="K456" s="163"/>
    </row>
    <row r="457" spans="1:11">
      <c r="A457" s="163"/>
      <c r="B457" s="163"/>
      <c r="C457" s="163"/>
      <c r="D457" s="163"/>
      <c r="E457" s="163"/>
      <c r="F457" s="163"/>
      <c r="G457" s="163"/>
      <c r="H457" s="163"/>
      <c r="I457" s="163"/>
      <c r="J457" s="163"/>
      <c r="K457" s="163"/>
    </row>
    <row r="458" spans="1:11">
      <c r="A458" s="163"/>
      <c r="B458" s="163"/>
      <c r="C458" s="163"/>
      <c r="D458" s="163"/>
      <c r="E458" s="163"/>
      <c r="F458" s="163"/>
      <c r="G458" s="163"/>
      <c r="H458" s="163"/>
      <c r="I458" s="163"/>
      <c r="J458" s="163"/>
      <c r="K458" s="163"/>
    </row>
    <row r="459" spans="1:11">
      <c r="A459" s="163"/>
      <c r="B459" s="163"/>
      <c r="C459" s="163"/>
      <c r="D459" s="163"/>
      <c r="E459" s="163"/>
      <c r="F459" s="163"/>
      <c r="G459" s="163"/>
      <c r="H459" s="163"/>
      <c r="I459" s="163"/>
      <c r="J459" s="163"/>
      <c r="K459" s="163"/>
    </row>
    <row r="460" spans="1:11">
      <c r="A460" s="163"/>
      <c r="B460" s="163"/>
      <c r="C460" s="163"/>
      <c r="D460" s="163"/>
      <c r="E460" s="163"/>
      <c r="F460" s="163"/>
      <c r="G460" s="163"/>
      <c r="H460" s="163"/>
      <c r="I460" s="163"/>
      <c r="J460" s="163"/>
      <c r="K460" s="163"/>
    </row>
    <row r="461" spans="1:11">
      <c r="A461" s="163"/>
      <c r="B461" s="163"/>
      <c r="C461" s="163"/>
      <c r="D461" s="163"/>
      <c r="E461" s="163"/>
      <c r="F461" s="163"/>
      <c r="G461" s="163"/>
      <c r="H461" s="163"/>
      <c r="I461" s="163"/>
      <c r="J461" s="163"/>
      <c r="K461" s="163"/>
    </row>
    <row r="462" spans="1:11">
      <c r="A462" s="163"/>
      <c r="B462" s="163"/>
      <c r="C462" s="163"/>
      <c r="D462" s="163"/>
      <c r="E462" s="163"/>
      <c r="F462" s="163"/>
      <c r="G462" s="163"/>
      <c r="H462" s="163"/>
      <c r="I462" s="163"/>
      <c r="J462" s="163"/>
      <c r="K462" s="163"/>
    </row>
    <row r="463" spans="1:11">
      <c r="A463" s="163"/>
      <c r="B463" s="163"/>
      <c r="C463" s="163"/>
      <c r="D463" s="163"/>
      <c r="E463" s="163"/>
      <c r="F463" s="163"/>
      <c r="G463" s="163"/>
      <c r="H463" s="163"/>
      <c r="I463" s="163"/>
      <c r="J463" s="163"/>
      <c r="K463" s="163"/>
    </row>
    <row r="464" spans="1:11">
      <c r="A464" s="163"/>
      <c r="B464" s="163"/>
      <c r="C464" s="163"/>
      <c r="D464" s="163"/>
      <c r="E464" s="163"/>
      <c r="F464" s="163"/>
      <c r="G464" s="163"/>
      <c r="H464" s="163"/>
      <c r="I464" s="163"/>
      <c r="J464" s="163"/>
      <c r="K464" s="163"/>
    </row>
    <row r="465" spans="1:11">
      <c r="A465" s="163"/>
      <c r="B465" s="163"/>
      <c r="C465" s="163"/>
      <c r="D465" s="163"/>
      <c r="E465" s="163"/>
      <c r="F465" s="163"/>
      <c r="G465" s="163"/>
      <c r="H465" s="163"/>
      <c r="I465" s="163"/>
      <c r="J465" s="163"/>
      <c r="K465" s="163"/>
    </row>
    <row r="466" spans="1:11">
      <c r="A466" s="163"/>
      <c r="B466" s="163"/>
      <c r="C466" s="163"/>
      <c r="D466" s="163"/>
      <c r="E466" s="163"/>
      <c r="F466" s="163"/>
      <c r="G466" s="163"/>
      <c r="H466" s="163"/>
      <c r="I466" s="163"/>
      <c r="J466" s="163"/>
      <c r="K466" s="163"/>
    </row>
    <row r="467" spans="1:11">
      <c r="A467" s="163"/>
      <c r="B467" s="163"/>
      <c r="C467" s="163"/>
      <c r="D467" s="163"/>
      <c r="E467" s="163"/>
      <c r="F467" s="163"/>
      <c r="G467" s="163"/>
      <c r="H467" s="163"/>
      <c r="I467" s="163"/>
      <c r="J467" s="163"/>
      <c r="K467" s="163"/>
    </row>
    <row r="468" spans="1:11">
      <c r="A468" s="163"/>
      <c r="B468" s="163"/>
      <c r="C468" s="163"/>
      <c r="D468" s="163"/>
      <c r="E468" s="163"/>
      <c r="F468" s="163"/>
      <c r="G468" s="163"/>
      <c r="H468" s="163"/>
      <c r="I468" s="163"/>
      <c r="J468" s="163"/>
      <c r="K468" s="163"/>
    </row>
    <row r="469" spans="1:11">
      <c r="A469" s="163"/>
      <c r="B469" s="163"/>
      <c r="C469" s="163"/>
      <c r="D469" s="163"/>
      <c r="E469" s="163"/>
      <c r="F469" s="163"/>
      <c r="G469" s="163"/>
      <c r="H469" s="163"/>
      <c r="I469" s="163"/>
      <c r="J469" s="163"/>
      <c r="K469" s="163"/>
    </row>
    <row r="470" spans="1:11">
      <c r="A470" s="163"/>
      <c r="B470" s="163"/>
      <c r="C470" s="163"/>
      <c r="D470" s="163"/>
      <c r="E470" s="163"/>
      <c r="F470" s="163"/>
      <c r="G470" s="163"/>
      <c r="H470" s="163"/>
      <c r="I470" s="163"/>
      <c r="J470" s="163"/>
      <c r="K470" s="163"/>
    </row>
    <row r="471" spans="1:11">
      <c r="A471" s="163"/>
      <c r="B471" s="163"/>
      <c r="C471" s="163"/>
      <c r="D471" s="163"/>
      <c r="E471" s="163"/>
      <c r="F471" s="163"/>
      <c r="G471" s="163"/>
      <c r="H471" s="163"/>
      <c r="I471" s="163"/>
      <c r="J471" s="163"/>
      <c r="K471" s="163"/>
    </row>
    <row r="472" spans="1:11">
      <c r="A472" s="163"/>
      <c r="B472" s="163"/>
      <c r="C472" s="163"/>
      <c r="D472" s="163"/>
      <c r="E472" s="163"/>
      <c r="F472" s="163"/>
      <c r="G472" s="163"/>
      <c r="H472" s="163"/>
      <c r="I472" s="163"/>
      <c r="J472" s="163"/>
      <c r="K472" s="163"/>
    </row>
    <row r="473" spans="1:11">
      <c r="A473" s="163"/>
      <c r="B473" s="163"/>
      <c r="C473" s="163"/>
      <c r="D473" s="163"/>
      <c r="E473" s="163"/>
      <c r="F473" s="163"/>
      <c r="G473" s="163"/>
      <c r="H473" s="163"/>
      <c r="I473" s="163"/>
      <c r="J473" s="163"/>
      <c r="K473" s="163"/>
    </row>
    <row r="474" spans="1:11">
      <c r="A474" s="163"/>
      <c r="B474" s="163"/>
      <c r="C474" s="163"/>
      <c r="D474" s="163"/>
      <c r="E474" s="163"/>
      <c r="F474" s="163"/>
      <c r="G474" s="163"/>
      <c r="H474" s="163"/>
      <c r="I474" s="163"/>
      <c r="J474" s="163"/>
      <c r="K474" s="163"/>
    </row>
    <row r="475" spans="1:11">
      <c r="A475" s="163"/>
      <c r="B475" s="163"/>
      <c r="C475" s="163"/>
      <c r="D475" s="163"/>
      <c r="E475" s="163"/>
      <c r="F475" s="163"/>
      <c r="G475" s="163"/>
      <c r="H475" s="163"/>
      <c r="I475" s="163"/>
      <c r="J475" s="163"/>
      <c r="K475" s="163"/>
    </row>
    <row r="476" spans="1:11">
      <c r="A476" s="163"/>
      <c r="B476" s="163"/>
      <c r="C476" s="163"/>
      <c r="D476" s="163"/>
      <c r="E476" s="163"/>
      <c r="F476" s="163"/>
      <c r="G476" s="163"/>
      <c r="H476" s="163"/>
      <c r="I476" s="163"/>
      <c r="J476" s="163"/>
      <c r="K476" s="163"/>
    </row>
    <row r="477" spans="1:11">
      <c r="A477" s="163"/>
      <c r="B477" s="163"/>
      <c r="C477" s="163"/>
      <c r="D477" s="163"/>
      <c r="E477" s="163"/>
      <c r="F477" s="163"/>
      <c r="G477" s="163"/>
      <c r="H477" s="163"/>
      <c r="I477" s="163"/>
      <c r="J477" s="163"/>
      <c r="K477" s="163"/>
    </row>
    <row r="478" spans="1:11">
      <c r="A478" s="163"/>
      <c r="B478" s="163"/>
      <c r="C478" s="163"/>
      <c r="D478" s="163"/>
      <c r="E478" s="163"/>
      <c r="F478" s="163"/>
      <c r="G478" s="163"/>
      <c r="H478" s="163"/>
      <c r="I478" s="163"/>
      <c r="J478" s="163"/>
      <c r="K478" s="163"/>
    </row>
    <row r="479" spans="1:11">
      <c r="A479" s="163"/>
      <c r="B479" s="163"/>
      <c r="C479" s="163"/>
      <c r="D479" s="163"/>
      <c r="E479" s="163"/>
      <c r="F479" s="163"/>
      <c r="G479" s="163"/>
      <c r="H479" s="163"/>
      <c r="I479" s="163"/>
      <c r="J479" s="163"/>
      <c r="K479" s="163"/>
    </row>
    <row r="480" spans="1:11">
      <c r="A480" s="163"/>
      <c r="B480" s="163"/>
      <c r="C480" s="163"/>
      <c r="D480" s="163"/>
      <c r="E480" s="163"/>
      <c r="F480" s="163"/>
      <c r="G480" s="163"/>
      <c r="H480" s="163"/>
      <c r="I480" s="163"/>
      <c r="J480" s="163"/>
      <c r="K480" s="163"/>
    </row>
    <row r="481" spans="1:11">
      <c r="A481" s="163"/>
      <c r="B481" s="163"/>
      <c r="C481" s="163"/>
      <c r="D481" s="163"/>
      <c r="E481" s="163"/>
      <c r="F481" s="163"/>
      <c r="G481" s="163"/>
      <c r="H481" s="163"/>
      <c r="I481" s="163"/>
      <c r="J481" s="163"/>
      <c r="K481" s="163"/>
    </row>
    <row r="482" spans="1:11">
      <c r="A482" s="163"/>
      <c r="B482" s="163"/>
      <c r="C482" s="163"/>
      <c r="D482" s="163"/>
      <c r="E482" s="163"/>
      <c r="F482" s="163"/>
      <c r="G482" s="163"/>
      <c r="H482" s="163"/>
      <c r="I482" s="163"/>
      <c r="J482" s="163"/>
      <c r="K482" s="163"/>
    </row>
    <row r="483" spans="1:11">
      <c r="A483" s="163"/>
      <c r="B483" s="163"/>
      <c r="C483" s="163"/>
      <c r="D483" s="163"/>
      <c r="E483" s="163"/>
      <c r="F483" s="163"/>
      <c r="G483" s="163"/>
      <c r="H483" s="163"/>
      <c r="I483" s="163"/>
      <c r="J483" s="163"/>
      <c r="K483" s="163"/>
    </row>
    <row r="484" spans="1:11">
      <c r="A484" s="163"/>
      <c r="B484" s="163"/>
      <c r="C484" s="163"/>
      <c r="D484" s="163"/>
      <c r="E484" s="163"/>
      <c r="F484" s="163"/>
      <c r="G484" s="163"/>
      <c r="H484" s="163"/>
      <c r="I484" s="163"/>
      <c r="J484" s="163"/>
      <c r="K484" s="163"/>
    </row>
    <row r="485" spans="1:11">
      <c r="A485" s="163"/>
      <c r="B485" s="163"/>
      <c r="C485" s="163"/>
      <c r="D485" s="163"/>
      <c r="E485" s="163"/>
      <c r="F485" s="163"/>
      <c r="G485" s="163"/>
      <c r="H485" s="163"/>
      <c r="I485" s="163"/>
      <c r="J485" s="163"/>
      <c r="K485" s="163"/>
    </row>
    <row r="486" spans="1:11">
      <c r="A486" s="163"/>
      <c r="B486" s="163"/>
      <c r="C486" s="163"/>
      <c r="D486" s="163"/>
      <c r="E486" s="163"/>
      <c r="F486" s="163"/>
      <c r="G486" s="163"/>
      <c r="H486" s="163"/>
      <c r="I486" s="163"/>
      <c r="J486" s="163"/>
      <c r="K486" s="163"/>
    </row>
    <row r="487" spans="1:11">
      <c r="A487" s="163"/>
      <c r="B487" s="163"/>
      <c r="C487" s="163"/>
      <c r="D487" s="163"/>
      <c r="E487" s="163"/>
      <c r="F487" s="163"/>
      <c r="G487" s="163"/>
      <c r="H487" s="163"/>
      <c r="I487" s="163"/>
      <c r="J487" s="163"/>
      <c r="K487" s="163"/>
    </row>
    <row r="488" spans="1:11">
      <c r="A488" s="163"/>
      <c r="B488" s="163"/>
      <c r="C488" s="163"/>
      <c r="D488" s="163"/>
      <c r="E488" s="163"/>
      <c r="F488" s="163"/>
      <c r="G488" s="163"/>
      <c r="H488" s="163"/>
      <c r="I488" s="163"/>
      <c r="J488" s="163"/>
      <c r="K488" s="163"/>
    </row>
    <row r="489" spans="1:11">
      <c r="A489" s="163"/>
      <c r="B489" s="163"/>
      <c r="C489" s="163"/>
      <c r="D489" s="163"/>
      <c r="E489" s="163"/>
      <c r="F489" s="163"/>
      <c r="G489" s="163"/>
      <c r="H489" s="163"/>
      <c r="I489" s="163"/>
      <c r="J489" s="163"/>
      <c r="K489" s="163"/>
    </row>
    <row r="490" spans="1:11">
      <c r="A490" s="163"/>
      <c r="B490" s="163"/>
      <c r="C490" s="163"/>
      <c r="D490" s="163"/>
      <c r="E490" s="163"/>
      <c r="F490" s="163"/>
      <c r="G490" s="163"/>
      <c r="H490" s="163"/>
      <c r="I490" s="163"/>
      <c r="J490" s="163"/>
      <c r="K490" s="163"/>
    </row>
    <row r="491" spans="1:11">
      <c r="A491" s="163"/>
      <c r="B491" s="163"/>
      <c r="C491" s="163"/>
      <c r="D491" s="163"/>
      <c r="E491" s="163"/>
      <c r="F491" s="163"/>
      <c r="G491" s="163"/>
      <c r="H491" s="163"/>
      <c r="I491" s="163"/>
      <c r="J491" s="163"/>
      <c r="K491" s="163"/>
    </row>
    <row r="492" spans="1:11">
      <c r="A492" s="163"/>
      <c r="B492" s="163"/>
      <c r="C492" s="163"/>
      <c r="D492" s="163"/>
      <c r="E492" s="163"/>
      <c r="F492" s="163"/>
      <c r="G492" s="163"/>
      <c r="H492" s="163"/>
      <c r="I492" s="163"/>
      <c r="J492" s="163"/>
      <c r="K492" s="163"/>
    </row>
    <row r="493" spans="1:11">
      <c r="A493" s="163"/>
      <c r="B493" s="163"/>
      <c r="C493" s="163"/>
      <c r="D493" s="163"/>
      <c r="E493" s="163"/>
      <c r="F493" s="163"/>
      <c r="G493" s="163"/>
      <c r="H493" s="163"/>
      <c r="I493" s="163"/>
      <c r="J493" s="163"/>
      <c r="K493" s="163"/>
    </row>
    <row r="494" spans="1:11">
      <c r="A494" s="163"/>
      <c r="B494" s="163"/>
      <c r="C494" s="163"/>
      <c r="D494" s="163"/>
      <c r="E494" s="163"/>
      <c r="F494" s="163"/>
      <c r="G494" s="163"/>
      <c r="H494" s="163"/>
      <c r="I494" s="163"/>
      <c r="J494" s="163"/>
      <c r="K494" s="163"/>
    </row>
    <row r="495" spans="1:11">
      <c r="A495" s="163"/>
      <c r="B495" s="163"/>
      <c r="C495" s="163"/>
      <c r="D495" s="163"/>
      <c r="E495" s="163"/>
      <c r="F495" s="163"/>
      <c r="G495" s="163"/>
      <c r="H495" s="163"/>
      <c r="I495" s="163"/>
      <c r="J495" s="163"/>
      <c r="K495" s="163"/>
    </row>
    <row r="496" spans="1:11">
      <c r="A496" s="163"/>
      <c r="B496" s="163"/>
      <c r="C496" s="163"/>
      <c r="D496" s="163"/>
      <c r="E496" s="163"/>
      <c r="F496" s="163"/>
      <c r="G496" s="163"/>
      <c r="H496" s="163"/>
      <c r="I496" s="163"/>
      <c r="J496" s="163"/>
      <c r="K496" s="163"/>
    </row>
    <row r="497" spans="1:11">
      <c r="A497" s="163"/>
      <c r="B497" s="163"/>
      <c r="C497" s="163"/>
      <c r="D497" s="163"/>
      <c r="E497" s="163"/>
      <c r="F497" s="163"/>
      <c r="G497" s="163"/>
      <c r="H497" s="163"/>
      <c r="I497" s="163"/>
      <c r="J497" s="163"/>
      <c r="K497" s="163"/>
    </row>
    <row r="498" spans="1:11">
      <c r="A498" s="163"/>
      <c r="B498" s="163"/>
      <c r="C498" s="163"/>
      <c r="D498" s="163"/>
      <c r="E498" s="163"/>
      <c r="F498" s="163"/>
      <c r="G498" s="163"/>
      <c r="H498" s="163"/>
      <c r="I498" s="163"/>
      <c r="J498" s="163"/>
      <c r="K498" s="163"/>
    </row>
    <row r="499" spans="1:11">
      <c r="A499" s="163"/>
      <c r="B499" s="163"/>
      <c r="C499" s="163"/>
      <c r="D499" s="163"/>
      <c r="E499" s="163"/>
      <c r="F499" s="163"/>
      <c r="G499" s="163"/>
      <c r="H499" s="163"/>
      <c r="I499" s="163"/>
      <c r="J499" s="163"/>
      <c r="K499" s="163"/>
    </row>
    <row r="500" spans="1:11">
      <c r="A500" s="163"/>
      <c r="B500" s="163"/>
      <c r="C500" s="163"/>
      <c r="D500" s="163"/>
      <c r="E500" s="163"/>
      <c r="F500" s="163"/>
      <c r="G500" s="163"/>
      <c r="H500" s="163"/>
      <c r="I500" s="163"/>
      <c r="J500" s="163"/>
      <c r="K500" s="163"/>
    </row>
    <row r="501" spans="1:11">
      <c r="A501" s="163"/>
      <c r="B501" s="163"/>
      <c r="C501" s="163"/>
      <c r="D501" s="163"/>
      <c r="E501" s="163"/>
      <c r="F501" s="163"/>
      <c r="G501" s="163"/>
      <c r="H501" s="163"/>
      <c r="I501" s="163"/>
      <c r="J501" s="163"/>
      <c r="K501" s="163"/>
    </row>
    <row r="502" spans="1:11">
      <c r="A502" s="163"/>
      <c r="B502" s="163"/>
      <c r="C502" s="163"/>
      <c r="D502" s="163"/>
      <c r="E502" s="163"/>
      <c r="F502" s="163"/>
      <c r="G502" s="163"/>
      <c r="H502" s="163"/>
      <c r="I502" s="163"/>
      <c r="J502" s="163"/>
      <c r="K502" s="163"/>
    </row>
    <row r="503" spans="1:11">
      <c r="A503" s="163"/>
      <c r="B503" s="163"/>
      <c r="C503" s="163"/>
      <c r="D503" s="163"/>
      <c r="E503" s="163"/>
      <c r="F503" s="163"/>
      <c r="G503" s="163"/>
      <c r="H503" s="163"/>
      <c r="I503" s="163"/>
      <c r="J503" s="163"/>
      <c r="K503" s="163"/>
    </row>
    <row r="504" spans="1:11">
      <c r="A504" s="163"/>
      <c r="B504" s="163"/>
      <c r="C504" s="163"/>
      <c r="D504" s="163"/>
      <c r="E504" s="163"/>
      <c r="F504" s="163"/>
      <c r="G504" s="163"/>
      <c r="H504" s="163"/>
      <c r="I504" s="163"/>
      <c r="J504" s="163"/>
      <c r="K504" s="163"/>
    </row>
    <row r="505" spans="1:11">
      <c r="A505" s="163"/>
      <c r="B505" s="163"/>
      <c r="C505" s="163"/>
      <c r="D505" s="163"/>
      <c r="E505" s="163"/>
      <c r="F505" s="163"/>
      <c r="G505" s="163"/>
      <c r="H505" s="163"/>
      <c r="I505" s="163"/>
      <c r="J505" s="163"/>
      <c r="K505" s="163"/>
    </row>
    <row r="506" spans="1:11">
      <c r="A506" s="163"/>
      <c r="B506" s="163"/>
      <c r="C506" s="163"/>
      <c r="D506" s="163"/>
      <c r="E506" s="163"/>
      <c r="F506" s="163"/>
      <c r="G506" s="163"/>
      <c r="H506" s="163"/>
      <c r="I506" s="163"/>
      <c r="J506" s="163"/>
      <c r="K506" s="163"/>
    </row>
    <row r="507" spans="1:11">
      <c r="A507" s="163"/>
      <c r="B507" s="163"/>
      <c r="C507" s="163"/>
      <c r="D507" s="163"/>
      <c r="E507" s="163"/>
      <c r="F507" s="163"/>
      <c r="G507" s="163"/>
      <c r="H507" s="163"/>
      <c r="I507" s="163"/>
      <c r="J507" s="163"/>
      <c r="K507" s="163"/>
    </row>
    <row r="508" spans="1:11">
      <c r="A508" s="163"/>
      <c r="B508" s="163"/>
      <c r="C508" s="163"/>
      <c r="D508" s="163"/>
      <c r="E508" s="163"/>
      <c r="F508" s="163"/>
      <c r="G508" s="163"/>
      <c r="H508" s="163"/>
      <c r="I508" s="163"/>
      <c r="J508" s="163"/>
      <c r="K508" s="163"/>
    </row>
    <row r="509" spans="1:11">
      <c r="A509" s="163"/>
      <c r="B509" s="163"/>
      <c r="C509" s="163"/>
      <c r="D509" s="163"/>
      <c r="E509" s="163"/>
      <c r="F509" s="163"/>
      <c r="G509" s="163"/>
      <c r="H509" s="163"/>
      <c r="I509" s="163"/>
      <c r="J509" s="163"/>
      <c r="K509" s="163"/>
    </row>
    <row r="510" spans="1:11">
      <c r="A510" s="163"/>
      <c r="B510" s="163"/>
      <c r="C510" s="163"/>
      <c r="D510" s="163"/>
      <c r="E510" s="163"/>
      <c r="F510" s="163"/>
      <c r="G510" s="163"/>
      <c r="H510" s="163"/>
      <c r="I510" s="163"/>
      <c r="J510" s="163"/>
      <c r="K510" s="163"/>
    </row>
    <row r="511" spans="1:11">
      <c r="A511" s="163"/>
      <c r="B511" s="163"/>
      <c r="C511" s="163"/>
      <c r="D511" s="163"/>
      <c r="E511" s="163"/>
      <c r="F511" s="163"/>
      <c r="G511" s="163"/>
      <c r="H511" s="163"/>
      <c r="I511" s="163"/>
      <c r="J511" s="163"/>
      <c r="K511" s="163"/>
    </row>
    <row r="512" spans="1:11">
      <c r="A512" s="163"/>
      <c r="B512" s="163"/>
      <c r="C512" s="163"/>
      <c r="D512" s="163"/>
      <c r="E512" s="163"/>
      <c r="F512" s="163"/>
      <c r="G512" s="163"/>
      <c r="H512" s="163"/>
      <c r="I512" s="163"/>
      <c r="J512" s="163"/>
      <c r="K512" s="163"/>
    </row>
    <row r="513" spans="1:11">
      <c r="A513" s="163"/>
      <c r="B513" s="163"/>
      <c r="C513" s="163"/>
      <c r="D513" s="163"/>
      <c r="E513" s="163"/>
      <c r="F513" s="163"/>
      <c r="G513" s="163"/>
      <c r="H513" s="163"/>
      <c r="I513" s="163"/>
      <c r="J513" s="163"/>
      <c r="K513" s="163"/>
    </row>
    <row r="514" spans="1:11">
      <c r="A514" s="163"/>
      <c r="B514" s="163"/>
      <c r="C514" s="163"/>
      <c r="D514" s="163"/>
      <c r="E514" s="163"/>
      <c r="F514" s="163"/>
      <c r="G514" s="163"/>
      <c r="H514" s="163"/>
      <c r="I514" s="163"/>
      <c r="J514" s="163"/>
      <c r="K514" s="163"/>
    </row>
    <row r="515" spans="1:11">
      <c r="A515" s="163"/>
      <c r="B515" s="163"/>
      <c r="C515" s="163"/>
      <c r="D515" s="163"/>
      <c r="E515" s="163"/>
      <c r="F515" s="163"/>
      <c r="G515" s="163"/>
      <c r="H515" s="163"/>
      <c r="I515" s="163"/>
      <c r="J515" s="163"/>
      <c r="K515" s="163"/>
    </row>
    <row r="516" spans="1:11">
      <c r="A516" s="163"/>
      <c r="B516" s="163"/>
      <c r="C516" s="163"/>
      <c r="D516" s="163"/>
      <c r="E516" s="163"/>
      <c r="F516" s="163"/>
      <c r="G516" s="163"/>
      <c r="H516" s="163"/>
      <c r="I516" s="163"/>
      <c r="J516" s="163"/>
      <c r="K516" s="163"/>
    </row>
    <row r="517" spans="1:11">
      <c r="A517" s="163"/>
      <c r="B517" s="163"/>
      <c r="C517" s="163"/>
      <c r="D517" s="163"/>
      <c r="E517" s="163"/>
      <c r="F517" s="163"/>
      <c r="G517" s="163"/>
      <c r="H517" s="163"/>
      <c r="I517" s="163"/>
      <c r="J517" s="163"/>
      <c r="K517" s="163"/>
    </row>
    <row r="518" spans="1:11">
      <c r="A518" s="163"/>
      <c r="B518" s="163"/>
      <c r="C518" s="163"/>
      <c r="D518" s="163"/>
      <c r="E518" s="163"/>
      <c r="F518" s="163"/>
      <c r="G518" s="163"/>
      <c r="H518" s="163"/>
      <c r="I518" s="163"/>
      <c r="J518" s="163"/>
      <c r="K518" s="163"/>
    </row>
    <row r="519" spans="1:11">
      <c r="A519" s="163"/>
      <c r="B519" s="163"/>
      <c r="C519" s="163"/>
      <c r="D519" s="163"/>
      <c r="E519" s="163"/>
      <c r="F519" s="163"/>
      <c r="G519" s="163"/>
      <c r="H519" s="163"/>
      <c r="I519" s="163"/>
      <c r="J519" s="163"/>
      <c r="K519" s="163"/>
    </row>
    <row r="520" spans="1:11">
      <c r="A520" s="163"/>
      <c r="B520" s="163"/>
      <c r="C520" s="163"/>
      <c r="D520" s="163"/>
      <c r="E520" s="163"/>
      <c r="F520" s="163"/>
      <c r="G520" s="163"/>
      <c r="H520" s="163"/>
      <c r="I520" s="163"/>
      <c r="J520" s="163"/>
      <c r="K520" s="163"/>
    </row>
    <row r="521" spans="1:11">
      <c r="A521" s="163"/>
      <c r="B521" s="163"/>
      <c r="C521" s="163"/>
      <c r="D521" s="163"/>
      <c r="E521" s="163"/>
      <c r="F521" s="163"/>
      <c r="G521" s="163"/>
      <c r="H521" s="163"/>
      <c r="I521" s="163"/>
      <c r="J521" s="163"/>
      <c r="K521" s="163"/>
    </row>
    <row r="522" spans="1:11">
      <c r="A522" s="163"/>
      <c r="B522" s="163"/>
      <c r="C522" s="163"/>
      <c r="D522" s="163"/>
      <c r="E522" s="163"/>
      <c r="F522" s="163"/>
      <c r="G522" s="163"/>
      <c r="H522" s="163"/>
      <c r="I522" s="163"/>
      <c r="J522" s="163"/>
      <c r="K522" s="163"/>
    </row>
    <row r="523" spans="1:11">
      <c r="A523" s="163"/>
      <c r="B523" s="163"/>
      <c r="C523" s="163"/>
      <c r="D523" s="163"/>
      <c r="E523" s="163"/>
      <c r="F523" s="163"/>
      <c r="G523" s="163"/>
      <c r="H523" s="163"/>
      <c r="I523" s="163"/>
      <c r="J523" s="163"/>
      <c r="K523" s="163"/>
    </row>
    <row r="524" spans="1:11">
      <c r="A524" s="163"/>
      <c r="B524" s="163"/>
      <c r="C524" s="163"/>
      <c r="D524" s="163"/>
      <c r="E524" s="163"/>
      <c r="F524" s="163"/>
      <c r="G524" s="163"/>
      <c r="H524" s="163"/>
      <c r="I524" s="163"/>
      <c r="J524" s="163"/>
      <c r="K524" s="163"/>
    </row>
    <row r="525" spans="1:11">
      <c r="A525" s="163"/>
      <c r="B525" s="163"/>
      <c r="C525" s="163"/>
      <c r="D525" s="163"/>
      <c r="E525" s="163"/>
      <c r="F525" s="163"/>
      <c r="G525" s="163"/>
      <c r="H525" s="163"/>
      <c r="I525" s="163"/>
      <c r="J525" s="163"/>
      <c r="K525" s="163"/>
    </row>
    <row r="526" spans="1:11">
      <c r="A526" s="163"/>
      <c r="B526" s="163"/>
      <c r="C526" s="163"/>
      <c r="D526" s="163"/>
      <c r="E526" s="163"/>
      <c r="F526" s="163"/>
      <c r="G526" s="163"/>
      <c r="H526" s="163"/>
      <c r="I526" s="163"/>
      <c r="J526" s="163"/>
      <c r="K526" s="163"/>
    </row>
    <row r="527" spans="1:11">
      <c r="A527" s="163"/>
      <c r="B527" s="163"/>
      <c r="C527" s="163"/>
      <c r="D527" s="163"/>
      <c r="E527" s="163"/>
      <c r="F527" s="163"/>
      <c r="G527" s="163"/>
      <c r="H527" s="163"/>
      <c r="I527" s="163"/>
      <c r="J527" s="163"/>
      <c r="K527" s="163"/>
    </row>
    <row r="528" spans="1:11">
      <c r="A528" s="163"/>
      <c r="B528" s="163"/>
      <c r="C528" s="163"/>
      <c r="D528" s="163"/>
      <c r="E528" s="163"/>
      <c r="F528" s="163"/>
      <c r="G528" s="163"/>
      <c r="H528" s="163"/>
      <c r="I528" s="163"/>
      <c r="J528" s="163"/>
      <c r="K528" s="163"/>
    </row>
    <row r="529" spans="1:11">
      <c r="A529" s="163"/>
      <c r="B529" s="163"/>
      <c r="C529" s="163"/>
      <c r="D529" s="163"/>
      <c r="E529" s="163"/>
      <c r="F529" s="163"/>
      <c r="G529" s="163"/>
      <c r="H529" s="163"/>
      <c r="I529" s="163"/>
      <c r="J529" s="163"/>
      <c r="K529" s="163"/>
    </row>
    <row r="530" spans="1:11">
      <c r="A530" s="163"/>
      <c r="B530" s="163"/>
      <c r="C530" s="163"/>
      <c r="D530" s="163"/>
      <c r="E530" s="163"/>
      <c r="F530" s="163"/>
      <c r="G530" s="163"/>
      <c r="H530" s="163"/>
      <c r="I530" s="163"/>
      <c r="J530" s="163"/>
      <c r="K530" s="163"/>
    </row>
    <row r="531" spans="1:11">
      <c r="A531" s="163"/>
      <c r="B531" s="163"/>
      <c r="C531" s="163"/>
      <c r="D531" s="163"/>
      <c r="E531" s="163"/>
      <c r="F531" s="163"/>
      <c r="G531" s="163"/>
      <c r="H531" s="163"/>
      <c r="I531" s="163"/>
      <c r="J531" s="163"/>
      <c r="K531" s="163"/>
    </row>
    <row r="532" spans="1:11">
      <c r="A532" s="163"/>
      <c r="B532" s="163"/>
      <c r="C532" s="163"/>
      <c r="D532" s="163"/>
      <c r="E532" s="163"/>
      <c r="F532" s="163"/>
      <c r="G532" s="163"/>
      <c r="H532" s="163"/>
      <c r="I532" s="163"/>
      <c r="J532" s="163"/>
      <c r="K532" s="163"/>
    </row>
    <row r="533" spans="1:11">
      <c r="A533" s="163"/>
      <c r="B533" s="163"/>
      <c r="C533" s="163"/>
      <c r="D533" s="163"/>
      <c r="E533" s="163"/>
      <c r="F533" s="163"/>
      <c r="G533" s="163"/>
      <c r="H533" s="163"/>
      <c r="I533" s="163"/>
      <c r="J533" s="163"/>
      <c r="K533" s="163"/>
    </row>
    <row r="534" spans="1:11">
      <c r="A534" s="163"/>
      <c r="B534" s="163"/>
      <c r="C534" s="163"/>
      <c r="D534" s="163"/>
      <c r="E534" s="163"/>
      <c r="F534" s="163"/>
      <c r="G534" s="163"/>
      <c r="H534" s="163"/>
      <c r="I534" s="163"/>
      <c r="J534" s="163"/>
      <c r="K534" s="163"/>
    </row>
  </sheetData>
  <mergeCells count="1">
    <mergeCell ref="J1:L1"/>
  </mergeCells>
  <pageMargins left="0.75" right="0.75" top="1" bottom="1" header="0.5" footer="0.5"/>
  <drawing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6FCF"/>
  </sheetPr>
  <dimension ref="A1:T184"/>
  <sheetViews>
    <sheetView workbookViewId="0">
      <selection activeCell="K25" sqref="K25"/>
    </sheetView>
  </sheetViews>
  <sheetFormatPr defaultColWidth="11" defaultRowHeight="15.75"/>
  <cols>
    <col min="1" max="1" width="33.875" customWidth="1"/>
    <col min="2" max="2" width="15.125" bestFit="1" customWidth="1"/>
    <col min="3" max="9" width="12.5" bestFit="1" customWidth="1"/>
    <col min="10" max="12" width="13.875" customWidth="1"/>
    <col min="13" max="13" width="11" style="190"/>
    <col min="14" max="14" width="12.125" bestFit="1" customWidth="1"/>
    <col min="15" max="15" width="19.75" customWidth="1"/>
    <col min="17" max="17" width="13.75" bestFit="1" customWidth="1"/>
  </cols>
  <sheetData>
    <row r="1" spans="1:14" ht="18.75">
      <c r="A1" s="37" t="s">
        <v>62</v>
      </c>
      <c r="J1" s="494" t="s">
        <v>215</v>
      </c>
      <c r="K1" s="494"/>
      <c r="L1" s="494"/>
    </row>
    <row r="2" spans="1:14">
      <c r="A2" s="2"/>
      <c r="B2" s="2">
        <v>2009</v>
      </c>
      <c r="C2" s="2">
        <v>2010</v>
      </c>
      <c r="D2" s="2">
        <v>2011</v>
      </c>
      <c r="E2" s="2">
        <v>2012</v>
      </c>
      <c r="F2" s="2">
        <v>2013</v>
      </c>
      <c r="G2" s="2">
        <v>2014</v>
      </c>
      <c r="H2" s="2">
        <v>2015</v>
      </c>
      <c r="I2" s="341">
        <v>2016</v>
      </c>
      <c r="J2" s="341">
        <v>2017</v>
      </c>
      <c r="K2" s="341">
        <v>2018</v>
      </c>
      <c r="L2" s="21">
        <v>2019</v>
      </c>
    </row>
    <row r="3" spans="1:14">
      <c r="A3" s="2"/>
      <c r="B3" s="19"/>
      <c r="C3" s="19"/>
      <c r="D3" s="19"/>
      <c r="E3" s="19"/>
      <c r="F3" s="19"/>
      <c r="G3" s="19"/>
      <c r="H3" s="19"/>
      <c r="I3" s="19"/>
      <c r="J3" s="82" t="s">
        <v>61</v>
      </c>
      <c r="K3" s="82" t="s">
        <v>61</v>
      </c>
      <c r="L3" s="82" t="s">
        <v>61</v>
      </c>
    </row>
    <row r="4" spans="1:14">
      <c r="A4" s="2"/>
      <c r="B4" s="31"/>
      <c r="C4" s="31"/>
      <c r="D4" s="31"/>
      <c r="E4" s="31"/>
      <c r="F4" s="31"/>
      <c r="G4" s="31"/>
      <c r="H4" s="31"/>
      <c r="I4" s="31"/>
      <c r="J4" s="30" t="s">
        <v>57</v>
      </c>
      <c r="K4" s="30" t="s">
        <v>202</v>
      </c>
      <c r="L4" s="30" t="s">
        <v>58</v>
      </c>
    </row>
    <row r="5" spans="1:14" s="70" customFormat="1" ht="18.75">
      <c r="A5" s="93" t="s">
        <v>98</v>
      </c>
      <c r="B5" s="31"/>
      <c r="C5" s="31"/>
      <c r="D5" s="31"/>
      <c r="E5" s="31"/>
      <c r="F5" s="31"/>
      <c r="G5" s="31"/>
      <c r="H5" s="31"/>
      <c r="I5" s="31"/>
      <c r="J5" s="31"/>
      <c r="K5" s="31"/>
      <c r="L5" s="31"/>
      <c r="M5" s="195"/>
      <c r="N5" s="2"/>
    </row>
    <row r="6" spans="1:14">
      <c r="A6" s="10" t="s">
        <v>100</v>
      </c>
      <c r="B6" s="32"/>
      <c r="C6" s="32">
        <v>50827716</v>
      </c>
      <c r="D6" s="32"/>
      <c r="E6" s="32"/>
      <c r="F6" s="32"/>
      <c r="G6" s="32"/>
      <c r="H6" s="32"/>
      <c r="I6" s="32"/>
      <c r="J6" s="32">
        <f>14513961+8531393</f>
        <v>23045354</v>
      </c>
      <c r="K6" s="32">
        <f>8686975+34939001</f>
        <v>43625976</v>
      </c>
      <c r="L6" s="32">
        <f>157951+3293000</f>
        <v>3450951</v>
      </c>
      <c r="M6" s="174"/>
      <c r="N6" s="3"/>
    </row>
    <row r="7" spans="1:14">
      <c r="A7" s="96" t="s">
        <v>93</v>
      </c>
      <c r="B7" s="32"/>
      <c r="C7" s="32"/>
      <c r="D7" s="32"/>
      <c r="E7" s="32"/>
      <c r="F7" s="32"/>
      <c r="G7" s="32"/>
      <c r="H7" s="32"/>
      <c r="I7" s="32"/>
      <c r="J7" s="32"/>
      <c r="K7" s="32"/>
      <c r="L7" s="32"/>
      <c r="M7" s="174"/>
      <c r="N7" s="3"/>
    </row>
    <row r="8" spans="1:14" s="19" customFormat="1">
      <c r="A8" s="94" t="s">
        <v>101</v>
      </c>
      <c r="B8" s="32"/>
      <c r="C8" s="32"/>
      <c r="D8" s="32"/>
      <c r="E8" s="32"/>
      <c r="F8" s="32"/>
      <c r="G8" s="32"/>
      <c r="H8" s="32"/>
      <c r="I8" s="32"/>
      <c r="J8" s="32"/>
      <c r="K8" s="32"/>
      <c r="L8" s="32"/>
      <c r="M8" s="174"/>
      <c r="N8" s="3"/>
    </row>
    <row r="9" spans="1:14" s="19" customFormat="1">
      <c r="A9" s="73" t="s">
        <v>83</v>
      </c>
      <c r="B9" s="32"/>
      <c r="C9" s="32"/>
      <c r="D9" s="32"/>
      <c r="E9" s="32"/>
      <c r="F9" s="32"/>
      <c r="G9" s="32"/>
      <c r="H9" s="32"/>
      <c r="I9" s="32"/>
      <c r="J9" s="32"/>
      <c r="K9" s="32"/>
      <c r="L9" s="32"/>
      <c r="M9" s="174"/>
      <c r="N9" s="3"/>
    </row>
    <row r="10" spans="1:14" s="19" customFormat="1" ht="16.5" thickBot="1">
      <c r="A10" s="108" t="s">
        <v>138</v>
      </c>
      <c r="B10" s="125">
        <v>0</v>
      </c>
      <c r="C10" s="125">
        <v>0</v>
      </c>
      <c r="D10" s="125" t="s">
        <v>103</v>
      </c>
      <c r="E10" s="125" t="s">
        <v>103</v>
      </c>
      <c r="F10" s="125" t="s">
        <v>103</v>
      </c>
      <c r="G10" s="125" t="s">
        <v>103</v>
      </c>
      <c r="H10" s="125" t="s">
        <v>103</v>
      </c>
      <c r="I10" s="125" t="s">
        <v>103</v>
      </c>
      <c r="J10" s="125" t="s">
        <v>103</v>
      </c>
      <c r="K10" s="125" t="s">
        <v>103</v>
      </c>
      <c r="L10" s="125" t="s">
        <v>103</v>
      </c>
      <c r="M10" s="195"/>
      <c r="N10" s="2"/>
    </row>
    <row r="11" spans="1:14">
      <c r="A11" s="95" t="s">
        <v>108</v>
      </c>
      <c r="B11" s="32" t="s">
        <v>103</v>
      </c>
      <c r="C11" s="32" t="s">
        <v>103</v>
      </c>
      <c r="D11" s="32" t="s">
        <v>103</v>
      </c>
      <c r="E11" s="32" t="s">
        <v>103</v>
      </c>
      <c r="F11" s="32" t="s">
        <v>103</v>
      </c>
      <c r="G11" s="32" t="s">
        <v>103</v>
      </c>
      <c r="H11" s="32" t="s">
        <v>103</v>
      </c>
      <c r="I11" s="32" t="s">
        <v>103</v>
      </c>
      <c r="J11" s="32" t="s">
        <v>103</v>
      </c>
      <c r="K11" s="32" t="s">
        <v>103</v>
      </c>
      <c r="L11" s="32" t="s">
        <v>103</v>
      </c>
      <c r="M11" s="195"/>
      <c r="N11" s="2"/>
    </row>
    <row r="12" spans="1:14">
      <c r="A12" s="2"/>
      <c r="B12" s="31"/>
      <c r="C12" s="31"/>
      <c r="D12" s="31"/>
      <c r="E12" s="31"/>
      <c r="F12" s="31"/>
      <c r="G12" s="31"/>
      <c r="H12" s="31"/>
      <c r="I12" s="31"/>
      <c r="J12" s="31"/>
      <c r="K12" s="31"/>
      <c r="L12" s="31"/>
      <c r="M12" s="195"/>
      <c r="N12" s="2"/>
    </row>
    <row r="13" spans="1:14" ht="18.75">
      <c r="A13" s="93"/>
      <c r="B13" s="1"/>
      <c r="C13" s="1"/>
      <c r="D13" s="1"/>
      <c r="E13" s="1"/>
      <c r="F13" s="1"/>
      <c r="G13" s="1"/>
      <c r="H13" s="1"/>
      <c r="I13" s="1"/>
      <c r="J13" s="1"/>
      <c r="K13" s="1"/>
      <c r="L13" s="1"/>
      <c r="M13" s="173"/>
      <c r="N13" s="1"/>
    </row>
    <row r="14" spans="1:14" ht="18.75">
      <c r="A14" s="93" t="s">
        <v>73</v>
      </c>
      <c r="B14" s="1"/>
      <c r="C14" s="1"/>
      <c r="D14" s="1"/>
      <c r="E14" s="1"/>
      <c r="F14" s="1"/>
      <c r="G14" s="1"/>
      <c r="H14" s="1"/>
      <c r="I14" s="1"/>
      <c r="J14" s="1"/>
      <c r="K14" s="1"/>
      <c r="L14" s="55"/>
      <c r="M14" s="173"/>
      <c r="N14" s="1"/>
    </row>
    <row r="15" spans="1:14">
      <c r="A15" s="10" t="s">
        <v>100</v>
      </c>
      <c r="B15" s="1">
        <v>5125445</v>
      </c>
      <c r="C15" s="1">
        <v>5261708</v>
      </c>
      <c r="D15" s="1">
        <v>8123668</v>
      </c>
      <c r="E15" s="1">
        <v>4644934</v>
      </c>
      <c r="F15" s="1">
        <v>8365983</v>
      </c>
      <c r="G15" s="1">
        <f>177500+11110741</f>
        <v>11288241</v>
      </c>
      <c r="H15" s="1">
        <f>177500+13227996</f>
        <v>13405496</v>
      </c>
      <c r="I15" s="1">
        <v>19409558</v>
      </c>
      <c r="J15" s="4">
        <f>21519798+1775662+9599330</f>
        <v>32894790</v>
      </c>
      <c r="K15" s="4">
        <f>9594204+3415906+34921705</f>
        <v>47931815</v>
      </c>
      <c r="L15" s="4">
        <f>27212710+2380874+3293000</f>
        <v>32886584</v>
      </c>
      <c r="M15" s="173"/>
      <c r="N15" s="1"/>
    </row>
    <row r="16" spans="1:14">
      <c r="A16" s="96" t="s">
        <v>93</v>
      </c>
      <c r="B16" s="1"/>
      <c r="C16" s="1"/>
      <c r="D16" s="1"/>
      <c r="E16" s="1"/>
      <c r="F16" s="1"/>
      <c r="G16" s="1"/>
      <c r="H16" s="1"/>
      <c r="I16" s="1"/>
      <c r="J16" s="1"/>
      <c r="K16" s="1"/>
      <c r="L16" s="1"/>
      <c r="M16" s="173"/>
      <c r="N16" s="1"/>
    </row>
    <row r="17" spans="1:20">
      <c r="A17" s="94" t="s">
        <v>101</v>
      </c>
      <c r="B17" s="1"/>
      <c r="C17" s="1"/>
      <c r="D17" s="1"/>
      <c r="E17" s="1"/>
      <c r="F17" s="1"/>
      <c r="G17" s="1"/>
      <c r="H17" s="1"/>
      <c r="I17" s="1"/>
      <c r="J17" s="1"/>
      <c r="K17" s="1"/>
      <c r="L17" s="1"/>
      <c r="M17" s="173"/>
      <c r="N17" s="1"/>
    </row>
    <row r="18" spans="1:20">
      <c r="A18" s="73" t="s">
        <v>83</v>
      </c>
      <c r="B18" s="1">
        <v>6871635</v>
      </c>
      <c r="C18" s="1">
        <v>0</v>
      </c>
      <c r="D18" s="1">
        <v>0</v>
      </c>
      <c r="E18" s="1">
        <v>0</v>
      </c>
      <c r="F18" s="1">
        <v>0</v>
      </c>
      <c r="G18" s="1">
        <v>0</v>
      </c>
      <c r="H18" s="1">
        <v>0</v>
      </c>
      <c r="I18" s="1">
        <f>-2687022+5618310</f>
        <v>2931288</v>
      </c>
      <c r="J18" s="1">
        <f>814717+36822</f>
        <v>851539</v>
      </c>
      <c r="K18" s="1">
        <f>21224747+1966572</f>
        <v>23191319</v>
      </c>
      <c r="L18" s="1">
        <v>7091098</v>
      </c>
      <c r="M18" s="173"/>
      <c r="N18" s="1"/>
    </row>
    <row r="19" spans="1:20" ht="16.5" thickBot="1">
      <c r="A19" s="153" t="s">
        <v>157</v>
      </c>
      <c r="B19" s="38">
        <v>0</v>
      </c>
      <c r="C19" s="38">
        <v>6606733</v>
      </c>
      <c r="D19" s="38">
        <v>5424627</v>
      </c>
      <c r="E19" s="38">
        <v>12062357</v>
      </c>
      <c r="F19" s="38">
        <v>16446616</v>
      </c>
      <c r="G19" s="38">
        <v>19699968</v>
      </c>
      <c r="H19" s="38">
        <v>24844487</v>
      </c>
      <c r="I19" s="38">
        <v>13205339</v>
      </c>
      <c r="J19" s="38">
        <f>14954813+17794137</f>
        <v>32748950</v>
      </c>
      <c r="K19" s="38">
        <f>17008106+30800227</f>
        <v>47808333</v>
      </c>
      <c r="L19" s="38">
        <f>15382890-9202333</f>
        <v>6180557</v>
      </c>
      <c r="M19" s="173"/>
      <c r="N19" s="1"/>
    </row>
    <row r="20" spans="1:20" ht="16.5" thickBot="1">
      <c r="A20" s="95" t="s">
        <v>119</v>
      </c>
      <c r="B20" s="1">
        <f t="shared" ref="B20:L20" si="0">SUM(B15:B19)</f>
        <v>11997080</v>
      </c>
      <c r="C20" s="1">
        <f t="shared" si="0"/>
        <v>11868441</v>
      </c>
      <c r="D20" s="1">
        <f t="shared" si="0"/>
        <v>13548295</v>
      </c>
      <c r="E20" s="1">
        <f t="shared" si="0"/>
        <v>16707291</v>
      </c>
      <c r="F20" s="1">
        <f t="shared" si="0"/>
        <v>24812599</v>
      </c>
      <c r="G20" s="1">
        <f t="shared" si="0"/>
        <v>30988209</v>
      </c>
      <c r="H20" s="1">
        <f t="shared" si="0"/>
        <v>38249983</v>
      </c>
      <c r="I20" s="1">
        <f t="shared" si="0"/>
        <v>35546185</v>
      </c>
      <c r="J20" s="1">
        <f t="shared" si="0"/>
        <v>66495279</v>
      </c>
      <c r="K20" s="1">
        <f t="shared" si="0"/>
        <v>118931467</v>
      </c>
      <c r="L20" s="325">
        <f t="shared" si="0"/>
        <v>46158239</v>
      </c>
      <c r="M20" s="173"/>
      <c r="N20" s="1"/>
      <c r="O20" s="44"/>
      <c r="P20" s="52"/>
      <c r="Q20" s="52"/>
      <c r="R20" s="52"/>
      <c r="S20" s="52"/>
      <c r="T20" s="52"/>
    </row>
    <row r="21" spans="1:20" ht="18.75">
      <c r="A21" s="223"/>
      <c r="B21" s="173"/>
      <c r="C21" s="173"/>
      <c r="D21" s="173"/>
      <c r="E21" s="173"/>
      <c r="F21" s="173"/>
      <c r="G21" s="173"/>
      <c r="H21" s="173"/>
      <c r="I21" s="173"/>
      <c r="J21" s="173"/>
      <c r="K21" s="173"/>
      <c r="L21" s="173"/>
      <c r="M21" s="173"/>
      <c r="N21" s="1"/>
      <c r="O21" s="52"/>
      <c r="P21" s="52"/>
      <c r="Q21" s="52"/>
      <c r="R21" s="52"/>
      <c r="S21" s="52"/>
      <c r="T21" s="52"/>
    </row>
    <row r="22" spans="1:20" ht="18.75">
      <c r="A22" s="93"/>
      <c r="B22" s="1"/>
      <c r="C22" s="1"/>
      <c r="D22" s="1"/>
      <c r="E22" s="1"/>
      <c r="F22" s="1"/>
      <c r="G22" s="1"/>
      <c r="H22" s="1"/>
      <c r="I22" s="1"/>
      <c r="J22" s="1"/>
      <c r="K22" s="1"/>
      <c r="L22" s="1"/>
      <c r="M22" s="173"/>
      <c r="N22" s="1"/>
      <c r="O22" s="52"/>
      <c r="P22" s="52"/>
      <c r="Q22" s="52"/>
      <c r="R22" s="52"/>
      <c r="S22" s="52"/>
      <c r="T22" s="52"/>
    </row>
    <row r="23" spans="1:20" ht="18.75">
      <c r="A23" s="93"/>
      <c r="B23" s="1"/>
      <c r="C23" s="1"/>
      <c r="D23" s="1"/>
      <c r="E23" s="1"/>
      <c r="F23" s="1"/>
      <c r="G23" s="1"/>
      <c r="H23" s="1"/>
      <c r="I23" s="1"/>
      <c r="J23" s="1"/>
      <c r="K23" s="1"/>
      <c r="L23" s="1"/>
      <c r="M23" s="173"/>
      <c r="N23" s="1"/>
      <c r="O23" s="52"/>
      <c r="P23" s="52"/>
      <c r="Q23" s="52"/>
      <c r="R23" s="52"/>
      <c r="S23" s="52"/>
      <c r="T23" s="52"/>
    </row>
    <row r="24" spans="1:20">
      <c r="A24" s="366"/>
      <c r="B24" s="117"/>
      <c r="C24" s="117"/>
      <c r="D24" s="117"/>
      <c r="E24" s="117"/>
      <c r="F24" s="117"/>
      <c r="G24" s="117"/>
      <c r="H24" s="117"/>
      <c r="I24" s="117"/>
      <c r="J24" s="117"/>
      <c r="K24" s="117"/>
      <c r="L24" s="117"/>
      <c r="M24" s="173"/>
      <c r="N24" s="1"/>
      <c r="O24" s="52"/>
      <c r="P24" s="52"/>
      <c r="Q24" s="52"/>
      <c r="R24" s="52"/>
      <c r="S24" s="52"/>
      <c r="T24" s="52"/>
    </row>
    <row r="25" spans="1:20">
      <c r="A25" s="359"/>
      <c r="B25" s="117"/>
      <c r="C25" s="117"/>
      <c r="D25" s="117"/>
      <c r="E25" s="117"/>
      <c r="F25" s="117"/>
      <c r="G25" s="117"/>
      <c r="H25" s="117"/>
      <c r="I25" s="117"/>
      <c r="J25" s="117"/>
      <c r="K25" s="117"/>
      <c r="L25" s="117"/>
      <c r="M25" s="173"/>
      <c r="N25" s="1"/>
      <c r="O25" s="52"/>
      <c r="P25" s="52"/>
      <c r="Q25" s="416"/>
      <c r="R25" s="52"/>
      <c r="S25" s="52"/>
      <c r="T25" s="52"/>
    </row>
    <row r="26" spans="1:20">
      <c r="A26" s="359"/>
      <c r="B26" s="117"/>
      <c r="C26" s="117"/>
      <c r="D26" s="117"/>
      <c r="E26" s="117"/>
      <c r="F26" s="117"/>
      <c r="G26" s="117"/>
      <c r="H26" s="117"/>
      <c r="I26" s="117"/>
      <c r="J26" s="117"/>
      <c r="K26" s="117"/>
      <c r="L26" s="117"/>
      <c r="M26" s="173"/>
      <c r="N26" s="1"/>
      <c r="O26" s="52"/>
      <c r="P26" s="52"/>
      <c r="Q26" s="416"/>
      <c r="R26" s="52"/>
      <c r="S26" s="52"/>
      <c r="T26" s="52"/>
    </row>
    <row r="27" spans="1:20">
      <c r="A27" s="359"/>
      <c r="B27" s="117"/>
      <c r="C27" s="117"/>
      <c r="D27" s="117"/>
      <c r="E27" s="117"/>
      <c r="F27" s="117"/>
      <c r="G27" s="117"/>
      <c r="H27" s="117"/>
      <c r="I27" s="117"/>
      <c r="J27" s="117"/>
      <c r="K27" s="117"/>
      <c r="L27" s="117"/>
      <c r="M27" s="173"/>
      <c r="N27" s="1"/>
      <c r="O27" s="52"/>
      <c r="P27" s="52"/>
      <c r="Q27" s="416"/>
      <c r="R27" s="52"/>
      <c r="S27" s="52"/>
      <c r="T27" s="52"/>
    </row>
    <row r="28" spans="1:20">
      <c r="A28" s="359"/>
      <c r="B28" s="117"/>
      <c r="C28" s="117"/>
      <c r="D28" s="117"/>
      <c r="E28" s="117"/>
      <c r="F28" s="117"/>
      <c r="G28" s="117"/>
      <c r="H28" s="117"/>
      <c r="I28" s="117"/>
      <c r="J28" s="117"/>
      <c r="K28" s="117"/>
      <c r="L28" s="117"/>
      <c r="M28" s="173"/>
      <c r="N28" s="1"/>
      <c r="O28" s="52"/>
      <c r="P28" s="52"/>
      <c r="Q28" s="416"/>
      <c r="R28" s="52"/>
      <c r="S28" s="52"/>
      <c r="T28" s="52"/>
    </row>
    <row r="29" spans="1:20">
      <c r="A29" s="359"/>
      <c r="B29" s="117"/>
      <c r="C29" s="117"/>
      <c r="D29" s="117"/>
      <c r="E29" s="117"/>
      <c r="F29" s="117"/>
      <c r="G29" s="117"/>
      <c r="H29" s="117"/>
      <c r="I29" s="117"/>
      <c r="J29" s="117"/>
      <c r="K29" s="117"/>
      <c r="L29" s="117"/>
      <c r="M29" s="173"/>
      <c r="N29" s="1"/>
      <c r="O29" s="52"/>
      <c r="P29" s="52"/>
      <c r="Q29" s="416"/>
      <c r="R29" s="52"/>
      <c r="S29" s="52"/>
      <c r="T29" s="52"/>
    </row>
    <row r="30" spans="1:20">
      <c r="A30" s="359"/>
      <c r="B30" s="117"/>
      <c r="C30" s="117"/>
      <c r="D30" s="117"/>
      <c r="E30" s="117"/>
      <c r="F30" s="117"/>
      <c r="G30" s="117"/>
      <c r="H30" s="117"/>
      <c r="I30" s="117"/>
      <c r="J30" s="117"/>
      <c r="K30" s="117"/>
      <c r="L30" s="117"/>
      <c r="M30" s="173"/>
      <c r="N30" s="1"/>
      <c r="O30" s="52"/>
      <c r="P30" s="52"/>
      <c r="Q30" s="416"/>
      <c r="R30" s="52"/>
      <c r="S30" s="52"/>
      <c r="T30" s="52"/>
    </row>
    <row r="31" spans="1:20">
      <c r="A31" s="359"/>
      <c r="B31" s="117"/>
      <c r="C31" s="117"/>
      <c r="D31" s="117"/>
      <c r="E31" s="117"/>
      <c r="F31" s="117"/>
      <c r="G31" s="117"/>
      <c r="H31" s="117"/>
      <c r="I31" s="117"/>
      <c r="J31" s="117"/>
      <c r="K31" s="117"/>
      <c r="L31" s="117"/>
      <c r="M31" s="173"/>
      <c r="N31" s="1"/>
      <c r="O31" s="52"/>
      <c r="P31" s="52"/>
      <c r="Q31" s="416"/>
      <c r="R31" s="52"/>
      <c r="S31" s="52"/>
      <c r="T31" s="52"/>
    </row>
    <row r="32" spans="1:20">
      <c r="A32" s="359"/>
      <c r="B32" s="117"/>
      <c r="C32" s="117"/>
      <c r="D32" s="117"/>
      <c r="E32" s="117"/>
      <c r="F32" s="117"/>
      <c r="G32" s="117"/>
      <c r="H32" s="117"/>
      <c r="I32" s="117"/>
      <c r="J32" s="117"/>
      <c r="K32" s="117"/>
      <c r="L32" s="117"/>
      <c r="N32" s="1"/>
      <c r="O32" s="52"/>
      <c r="P32" s="417"/>
      <c r="Q32" s="418"/>
      <c r="R32" s="419"/>
      <c r="S32" s="52"/>
      <c r="T32" s="52"/>
    </row>
    <row r="33" spans="1:20" s="109" customFormat="1">
      <c r="A33" s="369"/>
      <c r="B33" s="415"/>
      <c r="C33" s="415"/>
      <c r="D33" s="415"/>
      <c r="E33" s="415"/>
      <c r="F33" s="415"/>
      <c r="G33" s="415"/>
      <c r="H33" s="415"/>
      <c r="I33" s="415"/>
      <c r="J33" s="415"/>
      <c r="K33" s="415"/>
      <c r="L33" s="415"/>
      <c r="M33" s="224"/>
      <c r="N33" s="20"/>
      <c r="O33" s="419"/>
      <c r="P33" s="52"/>
      <c r="Q33" s="416"/>
      <c r="R33" s="52"/>
      <c r="S33" s="419"/>
      <c r="T33" s="419"/>
    </row>
    <row r="34" spans="1:20">
      <c r="A34" s="383"/>
      <c r="B34" s="415"/>
      <c r="C34" s="415"/>
      <c r="D34" s="415"/>
      <c r="E34" s="415"/>
      <c r="F34" s="415"/>
      <c r="G34" s="415"/>
      <c r="H34" s="415"/>
      <c r="I34" s="415"/>
      <c r="J34" s="415"/>
      <c r="K34" s="415"/>
      <c r="L34" s="415"/>
      <c r="M34" s="173"/>
      <c r="N34" s="1"/>
      <c r="O34" s="52"/>
      <c r="P34" s="52"/>
      <c r="Q34" s="416"/>
      <c r="R34" s="52"/>
      <c r="S34" s="52"/>
      <c r="T34" s="52"/>
    </row>
    <row r="35" spans="1:20">
      <c r="A35" s="383"/>
      <c r="B35" s="117"/>
      <c r="C35" s="117"/>
      <c r="D35" s="117"/>
      <c r="E35" s="117"/>
      <c r="F35" s="117"/>
      <c r="G35" s="117"/>
      <c r="H35" s="117"/>
      <c r="I35" s="117"/>
      <c r="J35" s="117"/>
      <c r="K35" s="117"/>
      <c r="L35" s="117"/>
      <c r="M35" s="173"/>
      <c r="N35" s="1"/>
      <c r="O35" s="52"/>
      <c r="P35" s="52"/>
      <c r="Q35" s="416"/>
      <c r="R35" s="52"/>
      <c r="S35" s="52"/>
      <c r="T35" s="52"/>
    </row>
    <row r="36" spans="1:20">
      <c r="A36" s="383"/>
      <c r="B36" s="117"/>
      <c r="C36" s="117"/>
      <c r="D36" s="117"/>
      <c r="E36" s="117"/>
      <c r="F36" s="117"/>
      <c r="G36" s="117"/>
      <c r="H36" s="117"/>
      <c r="I36" s="117"/>
      <c r="J36" s="117"/>
      <c r="K36" s="117"/>
      <c r="L36" s="117"/>
      <c r="M36" s="173"/>
      <c r="N36" s="1"/>
      <c r="Q36" s="16"/>
    </row>
    <row r="37" spans="1:20">
      <c r="A37" s="383"/>
      <c r="B37" s="117"/>
      <c r="C37" s="117"/>
      <c r="D37" s="117"/>
      <c r="E37" s="117"/>
      <c r="F37" s="117"/>
      <c r="G37" s="117"/>
      <c r="H37" s="117"/>
      <c r="I37" s="117"/>
      <c r="J37" s="117"/>
      <c r="K37" s="117"/>
      <c r="L37" s="117"/>
      <c r="M37" s="173"/>
      <c r="N37" s="1"/>
      <c r="Q37" s="16"/>
    </row>
    <row r="38" spans="1:20">
      <c r="A38" s="383"/>
      <c r="B38" s="117"/>
      <c r="C38" s="117"/>
      <c r="D38" s="117"/>
      <c r="E38" s="117"/>
      <c r="F38" s="117"/>
      <c r="G38" s="117"/>
      <c r="H38" s="117"/>
      <c r="I38" s="117"/>
      <c r="J38" s="117"/>
      <c r="K38" s="117"/>
      <c r="L38" s="117"/>
      <c r="M38" s="173"/>
      <c r="N38" s="1"/>
      <c r="Q38" s="16"/>
    </row>
    <row r="39" spans="1:20">
      <c r="A39" s="383"/>
      <c r="B39" s="117"/>
      <c r="C39" s="117"/>
      <c r="D39" s="117"/>
      <c r="E39" s="117"/>
      <c r="F39" s="117"/>
      <c r="G39" s="117"/>
      <c r="H39" s="117"/>
      <c r="I39" s="117"/>
      <c r="J39" s="117"/>
      <c r="K39" s="117"/>
      <c r="L39" s="117"/>
      <c r="M39" s="173"/>
      <c r="N39" s="1"/>
      <c r="Q39" s="16"/>
    </row>
    <row r="40" spans="1:20">
      <c r="A40" s="383"/>
      <c r="B40" s="117"/>
      <c r="C40" s="117"/>
      <c r="D40" s="117"/>
      <c r="E40" s="117"/>
      <c r="F40" s="117"/>
      <c r="G40" s="117"/>
      <c r="H40" s="117"/>
      <c r="I40" s="117"/>
      <c r="J40" s="117"/>
      <c r="K40" s="117"/>
      <c r="L40" s="117"/>
      <c r="M40" s="199"/>
      <c r="N40" s="1"/>
    </row>
    <row r="41" spans="1:20">
      <c r="A41" s="383"/>
      <c r="B41" s="117"/>
      <c r="C41" s="117"/>
      <c r="D41" s="117"/>
      <c r="E41" s="117"/>
      <c r="F41" s="117"/>
      <c r="G41" s="117"/>
      <c r="H41" s="117"/>
      <c r="I41" s="117"/>
      <c r="J41" s="117"/>
      <c r="K41" s="117"/>
      <c r="L41" s="117"/>
      <c r="M41" s="199"/>
      <c r="N41" s="1"/>
    </row>
    <row r="42" spans="1:20">
      <c r="A42" s="369"/>
      <c r="B42" s="117"/>
      <c r="C42" s="117"/>
      <c r="D42" s="117"/>
      <c r="E42" s="117"/>
      <c r="F42" s="117"/>
      <c r="G42" s="117"/>
      <c r="H42" s="117"/>
      <c r="I42" s="117"/>
      <c r="J42" s="117"/>
      <c r="K42" s="117"/>
      <c r="L42" s="117"/>
      <c r="M42" s="199"/>
      <c r="N42" s="1"/>
    </row>
    <row r="43" spans="1:20">
      <c r="A43" s="163"/>
      <c r="B43" s="117"/>
      <c r="C43" s="117"/>
      <c r="D43" s="117"/>
      <c r="E43" s="117"/>
      <c r="F43" s="117"/>
      <c r="G43" s="117"/>
      <c r="H43" s="117"/>
      <c r="I43" s="117"/>
      <c r="J43" s="117"/>
      <c r="K43" s="117"/>
      <c r="L43" s="117"/>
      <c r="M43" s="173"/>
      <c r="N43" s="1"/>
    </row>
    <row r="44" spans="1:20">
      <c r="A44" s="163"/>
      <c r="B44" s="117"/>
      <c r="C44" s="117"/>
      <c r="D44" s="117"/>
      <c r="E44" s="117"/>
      <c r="F44" s="117"/>
      <c r="G44" s="117"/>
      <c r="H44" s="117"/>
      <c r="I44" s="117"/>
      <c r="J44" s="117"/>
      <c r="K44" s="117"/>
      <c r="L44" s="117"/>
      <c r="M44" s="173"/>
      <c r="N44" s="1"/>
    </row>
    <row r="45" spans="1:20">
      <c r="A45" s="163"/>
      <c r="B45" s="117"/>
      <c r="C45" s="117"/>
      <c r="D45" s="117"/>
      <c r="E45" s="117"/>
      <c r="F45" s="117"/>
      <c r="G45" s="117"/>
      <c r="H45" s="117"/>
      <c r="I45" s="117"/>
      <c r="J45" s="117"/>
      <c r="K45" s="117"/>
      <c r="L45" s="117"/>
      <c r="M45" s="173"/>
      <c r="N45" s="1"/>
    </row>
    <row r="46" spans="1:20">
      <c r="A46" s="357"/>
      <c r="B46" s="117"/>
      <c r="C46" s="117"/>
      <c r="D46" s="117"/>
      <c r="E46" s="117"/>
      <c r="F46" s="117"/>
      <c r="G46" s="117"/>
      <c r="H46" s="117"/>
      <c r="I46" s="117"/>
      <c r="J46" s="117"/>
      <c r="K46" s="117"/>
      <c r="L46" s="117"/>
      <c r="M46" s="173"/>
      <c r="N46" s="1"/>
    </row>
    <row r="47" spans="1:20">
      <c r="A47" s="363"/>
      <c r="B47" s="117"/>
      <c r="C47" s="339"/>
      <c r="D47" s="339"/>
      <c r="E47" s="339"/>
      <c r="F47" s="339"/>
      <c r="G47" s="339"/>
      <c r="H47" s="339"/>
      <c r="I47" s="339"/>
      <c r="J47" s="339"/>
      <c r="K47" s="339"/>
      <c r="L47" s="339"/>
      <c r="M47" s="173"/>
      <c r="N47" s="1"/>
    </row>
    <row r="48" spans="1:20">
      <c r="A48" s="368"/>
      <c r="B48" s="117"/>
      <c r="C48" s="117"/>
      <c r="D48" s="117"/>
      <c r="E48" s="117"/>
      <c r="F48" s="117"/>
      <c r="G48" s="117"/>
      <c r="H48" s="117"/>
      <c r="I48" s="117"/>
      <c r="J48" s="117"/>
      <c r="K48" s="117"/>
      <c r="L48" s="339"/>
      <c r="M48" s="173"/>
      <c r="N48" s="1"/>
    </row>
    <row r="49" spans="1:14">
      <c r="A49" s="368"/>
      <c r="B49" s="117"/>
      <c r="C49" s="117"/>
      <c r="D49" s="117"/>
      <c r="E49" s="117"/>
      <c r="F49" s="117"/>
      <c r="G49" s="117"/>
      <c r="H49" s="117"/>
      <c r="I49" s="117"/>
      <c r="J49" s="117"/>
      <c r="K49" s="117"/>
      <c r="L49" s="339"/>
      <c r="M49" s="173"/>
      <c r="N49" s="1"/>
    </row>
    <row r="50" spans="1:14">
      <c r="A50" s="163"/>
      <c r="B50" s="117"/>
      <c r="C50" s="117"/>
      <c r="D50" s="117"/>
      <c r="E50" s="117"/>
      <c r="F50" s="117"/>
      <c r="G50" s="117"/>
      <c r="H50" s="117"/>
      <c r="I50" s="117"/>
      <c r="J50" s="117"/>
      <c r="K50" s="117"/>
      <c r="L50" s="117"/>
      <c r="M50" s="173"/>
      <c r="N50" s="1"/>
    </row>
    <row r="51" spans="1:14">
      <c r="A51" s="163"/>
      <c r="B51" s="117"/>
      <c r="C51" s="117"/>
      <c r="D51" s="117"/>
      <c r="E51" s="117"/>
      <c r="F51" s="117"/>
      <c r="G51" s="117"/>
      <c r="H51" s="117"/>
      <c r="I51" s="117"/>
      <c r="J51" s="117"/>
      <c r="K51" s="117"/>
      <c r="L51" s="117"/>
      <c r="M51" s="173"/>
      <c r="N51" s="1"/>
    </row>
    <row r="52" spans="1:14">
      <c r="A52" s="163"/>
      <c r="B52" s="117"/>
      <c r="C52" s="117"/>
      <c r="D52" s="117"/>
      <c r="E52" s="117"/>
      <c r="F52" s="117"/>
      <c r="G52" s="117"/>
      <c r="H52" s="117"/>
      <c r="I52" s="117"/>
      <c r="J52" s="117"/>
      <c r="K52" s="117"/>
      <c r="L52" s="117"/>
      <c r="M52" s="173"/>
      <c r="N52" s="1"/>
    </row>
    <row r="53" spans="1:14">
      <c r="A53" s="163"/>
      <c r="B53" s="117"/>
      <c r="C53" s="117"/>
      <c r="D53" s="117"/>
      <c r="E53" s="117"/>
      <c r="F53" s="117"/>
      <c r="G53" s="117"/>
      <c r="H53" s="117"/>
      <c r="I53" s="117"/>
      <c r="J53" s="346"/>
      <c r="K53" s="346"/>
      <c r="L53" s="346"/>
      <c r="M53" s="173"/>
      <c r="N53" s="1"/>
    </row>
    <row r="54" spans="1:14">
      <c r="A54" s="368"/>
      <c r="B54" s="117"/>
      <c r="C54" s="117"/>
      <c r="D54" s="117"/>
      <c r="E54" s="117"/>
      <c r="F54" s="117"/>
      <c r="G54" s="117"/>
      <c r="H54" s="117"/>
      <c r="I54" s="117"/>
      <c r="J54" s="117"/>
      <c r="K54" s="117"/>
      <c r="L54" s="117"/>
      <c r="M54" s="173"/>
      <c r="N54" s="1"/>
    </row>
    <row r="55" spans="1:14">
      <c r="A55" s="368"/>
      <c r="B55" s="117"/>
      <c r="C55" s="117"/>
      <c r="D55" s="117"/>
      <c r="E55" s="117"/>
      <c r="F55" s="117"/>
      <c r="G55" s="117"/>
      <c r="H55" s="117"/>
      <c r="I55" s="117"/>
      <c r="J55" s="117"/>
      <c r="K55" s="117"/>
      <c r="L55" s="117"/>
      <c r="M55" s="173"/>
      <c r="N55" s="1"/>
    </row>
    <row r="56" spans="1:14">
      <c r="A56" s="368"/>
      <c r="B56" s="117"/>
      <c r="C56" s="117"/>
      <c r="D56" s="117"/>
      <c r="E56" s="117"/>
      <c r="F56" s="117"/>
      <c r="G56" s="117"/>
      <c r="H56" s="117"/>
      <c r="I56" s="117"/>
      <c r="J56" s="117"/>
      <c r="K56" s="117"/>
      <c r="L56" s="117"/>
      <c r="M56" s="173"/>
      <c r="N56" s="1"/>
    </row>
    <row r="57" spans="1:14">
      <c r="A57" s="163"/>
      <c r="B57" s="163"/>
      <c r="C57" s="163"/>
      <c r="D57" s="163"/>
      <c r="E57" s="163"/>
      <c r="F57" s="163"/>
      <c r="G57" s="163"/>
      <c r="H57" s="163"/>
      <c r="I57" s="163"/>
      <c r="J57" s="163"/>
      <c r="K57" s="163"/>
      <c r="L57" s="117"/>
      <c r="M57" s="173"/>
      <c r="N57" s="1"/>
    </row>
    <row r="58" spans="1:14">
      <c r="A58" s="163"/>
      <c r="B58" s="163"/>
      <c r="C58" s="163"/>
      <c r="D58" s="163"/>
      <c r="E58" s="163"/>
      <c r="F58" s="163"/>
      <c r="G58" s="163"/>
      <c r="H58" s="163"/>
      <c r="I58" s="163"/>
      <c r="J58" s="313"/>
      <c r="K58" s="313"/>
      <c r="L58" s="117"/>
      <c r="M58" s="173"/>
      <c r="N58" s="1"/>
    </row>
    <row r="59" spans="1:14">
      <c r="A59" s="163"/>
      <c r="B59" s="163"/>
      <c r="C59" s="163"/>
      <c r="D59" s="163"/>
      <c r="E59" s="163"/>
      <c r="F59" s="163"/>
      <c r="G59" s="163"/>
      <c r="H59" s="163"/>
      <c r="I59" s="163"/>
      <c r="J59" s="313"/>
      <c r="K59" s="313"/>
      <c r="L59" s="117"/>
      <c r="M59" s="173"/>
      <c r="N59" s="1"/>
    </row>
    <row r="60" spans="1:14">
      <c r="A60" s="163"/>
      <c r="B60" s="163"/>
      <c r="C60" s="163"/>
      <c r="D60" s="163"/>
      <c r="E60" s="163"/>
      <c r="F60" s="163"/>
      <c r="G60" s="163"/>
      <c r="H60" s="163"/>
      <c r="I60" s="163"/>
      <c r="J60" s="313"/>
      <c r="K60" s="313"/>
      <c r="L60" s="313"/>
      <c r="M60" s="173"/>
      <c r="N60" s="1"/>
    </row>
    <row r="61" spans="1:14">
      <c r="A61" s="163"/>
      <c r="B61" s="163"/>
      <c r="C61" s="163"/>
      <c r="D61" s="163"/>
      <c r="E61" s="163"/>
      <c r="F61" s="163"/>
      <c r="G61" s="163"/>
      <c r="H61" s="163"/>
      <c r="I61" s="163"/>
      <c r="J61" s="313"/>
      <c r="K61" s="313"/>
      <c r="L61" s="313"/>
      <c r="M61" s="173"/>
      <c r="N61" s="1"/>
    </row>
    <row r="62" spans="1:14">
      <c r="A62" s="163"/>
      <c r="B62" s="163"/>
      <c r="C62" s="163"/>
      <c r="D62" s="163"/>
      <c r="E62" s="163"/>
      <c r="F62" s="163"/>
      <c r="G62" s="163"/>
      <c r="H62" s="163"/>
      <c r="I62" s="163"/>
      <c r="J62" s="313"/>
      <c r="K62" s="313"/>
      <c r="L62" s="313"/>
      <c r="M62" s="173">
        <f>+L19-14416090</f>
        <v>-8235533</v>
      </c>
      <c r="N62" s="1"/>
    </row>
    <row r="63" spans="1:14">
      <c r="A63" s="163"/>
      <c r="B63" s="163"/>
      <c r="C63" s="163"/>
      <c r="D63" s="163"/>
      <c r="E63" s="163"/>
      <c r="F63" s="163"/>
      <c r="G63" s="163"/>
      <c r="H63" s="163"/>
      <c r="I63" s="163"/>
      <c r="J63" s="163"/>
      <c r="K63" s="163"/>
      <c r="L63" s="163"/>
      <c r="M63" s="173"/>
      <c r="N63" s="1"/>
    </row>
    <row r="64" spans="1:14">
      <c r="A64" s="163"/>
      <c r="B64" s="117"/>
      <c r="C64" s="117"/>
      <c r="D64" s="117"/>
      <c r="E64" s="117"/>
      <c r="F64" s="117"/>
      <c r="G64" s="117"/>
      <c r="H64" s="117"/>
      <c r="I64" s="117"/>
      <c r="J64" s="117"/>
      <c r="K64" s="117"/>
      <c r="L64" s="339"/>
      <c r="M64" s="173"/>
      <c r="N64" s="1"/>
    </row>
    <row r="65" spans="1:14">
      <c r="A65" s="163"/>
      <c r="B65" s="117"/>
      <c r="C65" s="117"/>
      <c r="D65" s="117"/>
      <c r="E65" s="117"/>
      <c r="F65" s="117"/>
      <c r="G65" s="117"/>
      <c r="H65" s="117"/>
      <c r="I65" s="117"/>
      <c r="J65" s="117"/>
      <c r="K65" s="117"/>
      <c r="L65" s="117"/>
      <c r="M65" s="173"/>
      <c r="N65" s="1"/>
    </row>
    <row r="66" spans="1:14">
      <c r="A66" s="163"/>
      <c r="B66" s="117"/>
      <c r="C66" s="117"/>
      <c r="D66" s="117"/>
      <c r="E66" s="117"/>
      <c r="F66" s="117"/>
      <c r="G66" s="117"/>
      <c r="H66" s="117"/>
      <c r="I66" s="117"/>
      <c r="J66" s="117"/>
      <c r="K66" s="117"/>
      <c r="L66" s="117"/>
      <c r="M66" s="173"/>
      <c r="N66" s="1"/>
    </row>
    <row r="67" spans="1:14">
      <c r="A67" s="163"/>
      <c r="B67" s="117"/>
      <c r="C67" s="117"/>
      <c r="D67" s="117"/>
      <c r="E67" s="117"/>
      <c r="F67" s="117"/>
      <c r="G67" s="117"/>
      <c r="H67" s="117"/>
      <c r="I67" s="117"/>
      <c r="J67" s="117"/>
      <c r="K67" s="117"/>
      <c r="L67" s="117"/>
      <c r="M67" s="173"/>
      <c r="N67" s="1"/>
    </row>
    <row r="68" spans="1:14">
      <c r="A68" s="163"/>
      <c r="B68" s="117"/>
      <c r="C68" s="117"/>
      <c r="D68" s="117"/>
      <c r="E68" s="117"/>
      <c r="F68" s="117"/>
      <c r="G68" s="117"/>
      <c r="H68" s="117"/>
      <c r="I68" s="117"/>
      <c r="J68" s="117"/>
      <c r="K68" s="117"/>
      <c r="L68" s="339"/>
      <c r="M68" s="173"/>
      <c r="N68" s="1"/>
    </row>
    <row r="69" spans="1:14">
      <c r="A69" s="356"/>
      <c r="B69" s="117"/>
      <c r="C69" s="117"/>
      <c r="D69" s="117"/>
      <c r="E69" s="117"/>
      <c r="F69" s="117"/>
      <c r="G69" s="117"/>
      <c r="H69" s="117"/>
      <c r="I69" s="117"/>
      <c r="J69" s="117"/>
      <c r="K69" s="117"/>
      <c r="L69" s="117"/>
      <c r="M69" s="173"/>
      <c r="N69" s="1"/>
    </row>
    <row r="70" spans="1:14">
      <c r="A70" s="356"/>
      <c r="B70" s="117"/>
      <c r="C70" s="117"/>
      <c r="D70" s="117"/>
      <c r="E70" s="117"/>
      <c r="F70" s="117"/>
      <c r="G70" s="117"/>
      <c r="H70" s="117"/>
      <c r="I70" s="117"/>
      <c r="J70" s="117"/>
      <c r="K70" s="117"/>
      <c r="L70" s="117"/>
      <c r="M70" s="173"/>
      <c r="N70" s="1"/>
    </row>
    <row r="71" spans="1:14">
      <c r="A71" s="163"/>
      <c r="B71" s="117"/>
      <c r="C71" s="117"/>
      <c r="D71" s="117"/>
      <c r="E71" s="117"/>
      <c r="F71" s="117"/>
      <c r="G71" s="117"/>
      <c r="H71" s="117"/>
      <c r="I71" s="117"/>
      <c r="J71" s="117"/>
      <c r="K71" s="117"/>
      <c r="L71" s="117"/>
      <c r="M71" s="173"/>
      <c r="N71" s="1"/>
    </row>
    <row r="72" spans="1:14">
      <c r="A72" s="357"/>
      <c r="B72" s="193"/>
      <c r="C72" s="193"/>
      <c r="D72" s="193"/>
      <c r="E72" s="193"/>
      <c r="F72" s="193"/>
      <c r="G72" s="193"/>
      <c r="H72" s="193"/>
      <c r="I72" s="193"/>
      <c r="J72" s="193"/>
      <c r="K72" s="193"/>
      <c r="L72" s="193"/>
      <c r="M72" s="173"/>
      <c r="N72" s="1"/>
    </row>
    <row r="73" spans="1:14">
      <c r="A73" s="357"/>
      <c r="B73" s="163"/>
      <c r="C73" s="163"/>
      <c r="D73" s="163"/>
      <c r="E73" s="163"/>
      <c r="F73" s="163"/>
      <c r="G73" s="163"/>
      <c r="H73" s="163"/>
      <c r="I73" s="163"/>
      <c r="J73" s="163"/>
      <c r="K73" s="163"/>
      <c r="L73" s="163"/>
      <c r="M73" s="173"/>
      <c r="N73" s="1"/>
    </row>
    <row r="74" spans="1:14">
      <c r="A74" s="357"/>
      <c r="B74" s="117"/>
      <c r="C74" s="117"/>
      <c r="D74" s="117"/>
      <c r="E74" s="117"/>
      <c r="F74" s="117"/>
      <c r="G74" s="117"/>
      <c r="H74" s="117"/>
      <c r="I74" s="117"/>
      <c r="J74" s="117"/>
      <c r="K74" s="117"/>
      <c r="L74" s="117"/>
      <c r="M74" s="173"/>
      <c r="N74" s="1"/>
    </row>
    <row r="75" spans="1:14">
      <c r="A75" s="357"/>
      <c r="B75" s="358"/>
      <c r="C75" s="358"/>
      <c r="D75" s="358"/>
      <c r="E75" s="358"/>
      <c r="F75" s="358"/>
      <c r="G75" s="358"/>
      <c r="H75" s="358"/>
      <c r="I75" s="358"/>
      <c r="J75" s="358"/>
      <c r="K75" s="358"/>
      <c r="L75" s="358"/>
      <c r="M75" s="173"/>
      <c r="N75" s="1"/>
    </row>
    <row r="76" spans="1:14">
      <c r="A76" s="359"/>
      <c r="B76" s="360"/>
      <c r="C76" s="360"/>
      <c r="D76" s="360"/>
      <c r="E76" s="360"/>
      <c r="F76" s="360"/>
      <c r="G76" s="360"/>
      <c r="H76" s="360"/>
      <c r="I76" s="360"/>
      <c r="J76" s="360"/>
      <c r="K76" s="360"/>
      <c r="L76" s="360"/>
      <c r="M76" s="173"/>
      <c r="N76" s="1"/>
    </row>
    <row r="77" spans="1:14">
      <c r="A77" s="359"/>
      <c r="B77" s="360"/>
      <c r="C77" s="360"/>
      <c r="D77" s="360"/>
      <c r="E77" s="360"/>
      <c r="F77" s="360"/>
      <c r="G77" s="360"/>
      <c r="H77" s="360"/>
      <c r="I77" s="360"/>
      <c r="J77" s="360"/>
      <c r="K77" s="360"/>
      <c r="L77" s="360"/>
      <c r="M77" s="173"/>
      <c r="N77" s="1"/>
    </row>
    <row r="78" spans="1:14">
      <c r="A78" s="359"/>
      <c r="B78" s="360"/>
      <c r="C78" s="360"/>
      <c r="D78" s="360"/>
      <c r="E78" s="360"/>
      <c r="F78" s="360"/>
      <c r="G78" s="360"/>
      <c r="H78" s="360"/>
      <c r="I78" s="360"/>
      <c r="J78" s="360"/>
      <c r="K78" s="360"/>
      <c r="L78" s="360"/>
      <c r="M78" s="173"/>
      <c r="N78" s="1"/>
    </row>
    <row r="79" spans="1:14">
      <c r="A79" s="359"/>
      <c r="B79" s="360"/>
      <c r="C79" s="360"/>
      <c r="D79" s="360"/>
      <c r="E79" s="360"/>
      <c r="F79" s="360"/>
      <c r="G79" s="360"/>
      <c r="H79" s="360"/>
      <c r="I79" s="360"/>
      <c r="J79" s="360"/>
      <c r="K79" s="360"/>
      <c r="L79" s="360"/>
      <c r="M79" s="173"/>
      <c r="N79" s="1"/>
    </row>
    <row r="80" spans="1:14">
      <c r="A80" s="361"/>
      <c r="B80" s="362"/>
      <c r="C80" s="362"/>
      <c r="D80" s="362"/>
      <c r="E80" s="362"/>
      <c r="F80" s="362"/>
      <c r="G80" s="362"/>
      <c r="H80" s="362"/>
      <c r="I80" s="362"/>
      <c r="J80" s="362"/>
      <c r="K80" s="362"/>
      <c r="L80" s="362"/>
      <c r="M80" s="173"/>
      <c r="N80" s="1"/>
    </row>
    <row r="81" spans="1:14">
      <c r="A81" s="363"/>
      <c r="B81" s="358"/>
      <c r="C81" s="237"/>
      <c r="D81" s="237"/>
      <c r="E81" s="237"/>
      <c r="F81" s="237"/>
      <c r="G81" s="237"/>
      <c r="H81" s="237"/>
      <c r="I81" s="237"/>
      <c r="J81" s="237"/>
      <c r="K81" s="237"/>
      <c r="L81" s="237"/>
      <c r="M81" s="173"/>
      <c r="N81" s="1"/>
    </row>
    <row r="82" spans="1:14">
      <c r="A82" s="242"/>
      <c r="B82" s="358"/>
      <c r="C82" s="237"/>
      <c r="D82" s="237"/>
      <c r="E82" s="237"/>
      <c r="F82" s="237"/>
      <c r="G82" s="237"/>
      <c r="H82" s="237"/>
      <c r="I82" s="237"/>
      <c r="J82" s="237"/>
      <c r="K82" s="237"/>
      <c r="L82" s="237"/>
      <c r="M82" s="173"/>
      <c r="N82" s="1"/>
    </row>
    <row r="83" spans="1:14">
      <c r="A83" s="163"/>
      <c r="B83" s="117"/>
      <c r="C83" s="117"/>
      <c r="D83" s="117"/>
      <c r="E83" s="117"/>
      <c r="F83" s="117"/>
      <c r="G83" s="117"/>
      <c r="H83" s="117"/>
      <c r="I83" s="117"/>
      <c r="J83" s="117"/>
      <c r="K83" s="117"/>
      <c r="L83" s="117"/>
      <c r="M83" s="173"/>
      <c r="N83" s="1"/>
    </row>
    <row r="84" spans="1:14" ht="18.75">
      <c r="A84" s="364"/>
      <c r="B84" s="117"/>
      <c r="C84" s="117"/>
      <c r="D84" s="117"/>
      <c r="E84" s="117"/>
      <c r="F84" s="117"/>
      <c r="G84" s="117"/>
      <c r="H84" s="117"/>
      <c r="I84" s="117"/>
      <c r="J84" s="117"/>
      <c r="K84" s="117"/>
      <c r="L84" s="117"/>
    </row>
    <row r="85" spans="1:14">
      <c r="A85" s="165"/>
      <c r="B85" s="365"/>
      <c r="C85" s="365"/>
      <c r="D85" s="365"/>
      <c r="E85" s="365"/>
      <c r="F85" s="365"/>
      <c r="G85" s="365"/>
      <c r="H85" s="365"/>
      <c r="I85" s="365"/>
      <c r="J85" s="365"/>
      <c r="K85" s="365"/>
      <c r="L85" s="365"/>
      <c r="M85" s="173"/>
      <c r="N85" s="1"/>
    </row>
    <row r="86" spans="1:14">
      <c r="A86" s="163"/>
      <c r="B86" s="117"/>
      <c r="C86" s="117"/>
      <c r="D86" s="117"/>
      <c r="E86" s="117"/>
      <c r="F86" s="117"/>
      <c r="G86" s="117"/>
      <c r="H86" s="117"/>
      <c r="I86" s="117"/>
      <c r="J86" s="117"/>
      <c r="K86" s="117"/>
      <c r="L86" s="117"/>
      <c r="M86" s="173"/>
      <c r="N86" s="1"/>
    </row>
    <row r="87" spans="1:14">
      <c r="A87" s="163"/>
      <c r="B87" s="117"/>
      <c r="C87" s="117"/>
      <c r="D87" s="117"/>
      <c r="E87" s="117"/>
      <c r="F87" s="117"/>
      <c r="G87" s="117"/>
      <c r="H87" s="117"/>
      <c r="I87" s="117"/>
      <c r="J87" s="117"/>
      <c r="K87" s="117"/>
      <c r="L87" s="117"/>
      <c r="M87" s="173"/>
      <c r="N87" s="1"/>
    </row>
    <row r="88" spans="1:14">
      <c r="A88" s="359"/>
      <c r="B88" s="117"/>
      <c r="C88" s="117"/>
      <c r="D88" s="117"/>
      <c r="E88" s="117"/>
      <c r="F88" s="117"/>
      <c r="G88" s="117"/>
      <c r="H88" s="117"/>
      <c r="I88" s="117"/>
      <c r="J88" s="117"/>
      <c r="K88" s="117"/>
      <c r="L88" s="117"/>
      <c r="M88" s="173"/>
      <c r="N88" s="1"/>
    </row>
    <row r="89" spans="1:14">
      <c r="A89" s="359"/>
      <c r="B89" s="117"/>
      <c r="C89" s="117"/>
      <c r="D89" s="117"/>
      <c r="E89" s="117"/>
      <c r="F89" s="117"/>
      <c r="G89" s="117"/>
      <c r="H89" s="117"/>
      <c r="I89" s="117"/>
      <c r="J89" s="117"/>
      <c r="K89" s="117"/>
      <c r="L89" s="117"/>
      <c r="M89" s="173"/>
      <c r="N89" s="1"/>
    </row>
    <row r="90" spans="1:14">
      <c r="A90" s="359"/>
      <c r="B90" s="117"/>
      <c r="C90" s="117"/>
      <c r="D90" s="117"/>
      <c r="E90" s="117"/>
      <c r="F90" s="117"/>
      <c r="G90" s="117"/>
      <c r="H90" s="117"/>
      <c r="I90" s="117"/>
      <c r="J90" s="117"/>
      <c r="K90" s="117"/>
      <c r="L90" s="117"/>
      <c r="M90" s="173"/>
      <c r="N90" s="1"/>
    </row>
    <row r="91" spans="1:14" s="17" customFormat="1">
      <c r="A91" s="359"/>
      <c r="B91" s="117"/>
      <c r="C91" s="117"/>
      <c r="D91" s="117"/>
      <c r="E91" s="117"/>
      <c r="F91" s="117"/>
      <c r="G91" s="117"/>
      <c r="H91" s="117"/>
      <c r="I91" s="117"/>
      <c r="J91" s="117"/>
      <c r="K91" s="117"/>
      <c r="L91" s="117"/>
      <c r="M91" s="197"/>
      <c r="N91" s="33"/>
    </row>
    <row r="92" spans="1:14">
      <c r="A92" s="357"/>
      <c r="B92" s="117"/>
      <c r="C92" s="117"/>
      <c r="D92" s="117"/>
      <c r="E92" s="117"/>
      <c r="F92" s="117"/>
      <c r="G92" s="117"/>
      <c r="H92" s="117"/>
      <c r="I92" s="117"/>
      <c r="J92" s="117"/>
      <c r="K92" s="117"/>
      <c r="L92" s="117"/>
      <c r="M92" s="173"/>
      <c r="N92" s="1"/>
    </row>
    <row r="93" spans="1:14">
      <c r="A93" s="163"/>
      <c r="B93" s="117"/>
      <c r="C93" s="117"/>
      <c r="D93" s="117"/>
      <c r="E93" s="117"/>
      <c r="F93" s="117"/>
      <c r="G93" s="117"/>
      <c r="H93" s="117"/>
      <c r="I93" s="117"/>
      <c r="J93" s="117"/>
      <c r="K93" s="117"/>
      <c r="L93" s="117"/>
      <c r="M93" s="173"/>
      <c r="N93" s="1"/>
    </row>
    <row r="94" spans="1:14">
      <c r="A94" s="163"/>
      <c r="B94" s="117"/>
      <c r="C94" s="117"/>
      <c r="D94" s="117"/>
      <c r="E94" s="117"/>
      <c r="F94" s="117"/>
      <c r="G94" s="117"/>
      <c r="H94" s="117"/>
      <c r="I94" s="117"/>
      <c r="J94" s="117"/>
      <c r="K94" s="117"/>
      <c r="L94" s="117"/>
      <c r="M94" s="173"/>
      <c r="N94" s="1"/>
    </row>
    <row r="95" spans="1:14">
      <c r="A95" s="163"/>
      <c r="B95" s="159"/>
      <c r="C95" s="159"/>
      <c r="D95" s="159"/>
      <c r="E95" s="159"/>
      <c r="F95" s="159"/>
      <c r="G95" s="159"/>
      <c r="H95" s="159"/>
      <c r="I95" s="159"/>
      <c r="J95" s="159"/>
      <c r="K95" s="159"/>
      <c r="L95" s="159"/>
      <c r="M95" s="173"/>
      <c r="N95" s="1"/>
    </row>
    <row r="96" spans="1:14">
      <c r="A96" s="163"/>
      <c r="B96" s="159"/>
      <c r="C96" s="159"/>
      <c r="D96" s="159"/>
      <c r="E96" s="159"/>
      <c r="F96" s="159"/>
      <c r="G96" s="159"/>
      <c r="H96" s="159"/>
      <c r="I96" s="159"/>
      <c r="J96" s="159"/>
      <c r="K96" s="159"/>
      <c r="L96" s="159"/>
      <c r="M96" s="173"/>
      <c r="N96" s="1"/>
    </row>
    <row r="97" spans="1:14">
      <c r="A97" s="163"/>
      <c r="B97" s="117"/>
      <c r="C97" s="117"/>
      <c r="D97" s="117"/>
      <c r="E97" s="117"/>
      <c r="F97" s="117"/>
      <c r="G97" s="117"/>
      <c r="H97" s="117"/>
      <c r="I97" s="117"/>
      <c r="J97" s="117"/>
      <c r="K97" s="117"/>
      <c r="L97" s="117"/>
      <c r="M97" s="173"/>
      <c r="N97" s="1"/>
    </row>
    <row r="98" spans="1:14">
      <c r="A98" s="163"/>
      <c r="B98" s="117"/>
      <c r="C98" s="117"/>
      <c r="D98" s="117"/>
      <c r="E98" s="117"/>
      <c r="F98" s="117"/>
      <c r="G98" s="117"/>
      <c r="H98" s="117"/>
      <c r="I98" s="117"/>
      <c r="J98" s="117"/>
      <c r="K98" s="117"/>
      <c r="L98" s="117"/>
      <c r="M98" s="173"/>
      <c r="N98" s="1"/>
    </row>
    <row r="99" spans="1:14">
      <c r="A99" s="163"/>
      <c r="B99" s="117"/>
      <c r="C99" s="117"/>
      <c r="D99" s="117"/>
      <c r="E99" s="117"/>
      <c r="F99" s="117"/>
      <c r="G99" s="117"/>
      <c r="H99" s="117"/>
      <c r="I99" s="117"/>
      <c r="J99" s="117"/>
      <c r="K99" s="117"/>
      <c r="L99" s="117"/>
      <c r="M99" s="173"/>
      <c r="N99" s="1"/>
    </row>
    <row r="100" spans="1:14">
      <c r="A100" s="163"/>
      <c r="B100" s="117"/>
      <c r="C100" s="117"/>
      <c r="D100" s="117"/>
      <c r="E100" s="117"/>
      <c r="F100" s="117"/>
      <c r="G100" s="117"/>
      <c r="H100" s="117"/>
      <c r="I100" s="117"/>
      <c r="J100" s="117"/>
      <c r="K100" s="117"/>
      <c r="L100" s="117"/>
      <c r="M100" s="173"/>
      <c r="N100" s="1"/>
    </row>
    <row r="101" spans="1:14">
      <c r="A101" s="163"/>
      <c r="B101" s="117"/>
      <c r="C101" s="117"/>
      <c r="D101" s="117"/>
      <c r="E101" s="117"/>
      <c r="F101" s="117"/>
      <c r="G101" s="117"/>
      <c r="H101" s="117"/>
      <c r="I101" s="117"/>
      <c r="J101" s="117"/>
      <c r="K101" s="117"/>
      <c r="L101" s="117"/>
      <c r="M101" s="173"/>
      <c r="N101" s="1"/>
    </row>
    <row r="102" spans="1:14">
      <c r="A102" s="163"/>
      <c r="B102" s="117"/>
      <c r="C102" s="117"/>
      <c r="D102" s="117"/>
      <c r="E102" s="117"/>
      <c r="F102" s="117"/>
      <c r="G102" s="117"/>
      <c r="H102" s="117"/>
      <c r="I102" s="117"/>
      <c r="J102" s="117"/>
      <c r="K102" s="117"/>
      <c r="L102" s="117"/>
      <c r="M102" s="173"/>
      <c r="N102" s="1"/>
    </row>
    <row r="103" spans="1:14">
      <c r="A103" s="163"/>
      <c r="B103" s="117"/>
      <c r="C103" s="117"/>
      <c r="D103" s="117"/>
      <c r="E103" s="117"/>
      <c r="F103" s="117"/>
      <c r="G103" s="117"/>
      <c r="H103" s="117"/>
      <c r="I103" s="117"/>
      <c r="J103" s="117"/>
      <c r="K103" s="117"/>
      <c r="L103" s="117"/>
      <c r="M103" s="173"/>
      <c r="N103" s="1"/>
    </row>
    <row r="104" spans="1:14">
      <c r="A104" s="163"/>
      <c r="B104" s="117"/>
      <c r="C104" s="117"/>
      <c r="D104" s="117"/>
      <c r="E104" s="117"/>
      <c r="F104" s="117"/>
      <c r="G104" s="117"/>
      <c r="H104" s="117"/>
      <c r="I104" s="117"/>
      <c r="J104" s="117"/>
      <c r="K104" s="117"/>
      <c r="L104" s="117"/>
      <c r="M104" s="173"/>
      <c r="N104" s="1"/>
    </row>
    <row r="105" spans="1:14">
      <c r="A105" s="163"/>
      <c r="B105" s="117"/>
      <c r="C105" s="117"/>
      <c r="D105" s="117"/>
      <c r="E105" s="117"/>
      <c r="F105" s="117"/>
      <c r="G105" s="117"/>
      <c r="H105" s="117"/>
      <c r="I105" s="117"/>
      <c r="J105" s="117"/>
      <c r="K105" s="117"/>
      <c r="L105" s="117"/>
      <c r="M105" s="173"/>
      <c r="N105" s="1"/>
    </row>
    <row r="106" spans="1:14">
      <c r="A106" s="163"/>
      <c r="B106" s="117"/>
      <c r="C106" s="117"/>
      <c r="D106" s="117"/>
      <c r="E106" s="117"/>
      <c r="F106" s="117"/>
      <c r="G106" s="117"/>
      <c r="H106" s="117"/>
      <c r="I106" s="117"/>
      <c r="J106" s="117"/>
      <c r="K106" s="117"/>
      <c r="L106" s="117"/>
      <c r="M106" s="173"/>
      <c r="N106" s="1"/>
    </row>
    <row r="107" spans="1:14">
      <c r="A107" s="163"/>
      <c r="B107" s="117"/>
      <c r="C107" s="117"/>
      <c r="D107" s="117"/>
      <c r="E107" s="117"/>
      <c r="F107" s="117"/>
      <c r="G107" s="117"/>
      <c r="H107" s="117"/>
      <c r="I107" s="117"/>
      <c r="J107" s="117"/>
      <c r="K107" s="117"/>
      <c r="L107" s="117"/>
      <c r="M107" s="173"/>
      <c r="N107" s="1"/>
    </row>
    <row r="108" spans="1:14">
      <c r="A108" s="163"/>
      <c r="B108" s="117"/>
      <c r="C108" s="117"/>
      <c r="D108" s="117"/>
      <c r="E108" s="117"/>
      <c r="F108" s="117"/>
      <c r="G108" s="117"/>
      <c r="H108" s="117"/>
      <c r="I108" s="117"/>
      <c r="J108" s="117"/>
      <c r="K108" s="117"/>
      <c r="L108" s="117"/>
      <c r="M108" s="173"/>
      <c r="N108" s="1"/>
    </row>
    <row r="109" spans="1:14">
      <c r="A109" s="163"/>
      <c r="B109" s="117"/>
      <c r="C109" s="117"/>
      <c r="D109" s="117"/>
      <c r="E109" s="117"/>
      <c r="F109" s="117"/>
      <c r="G109" s="117"/>
      <c r="H109" s="117"/>
      <c r="I109" s="117"/>
      <c r="J109" s="117"/>
      <c r="K109" s="117"/>
      <c r="L109" s="117"/>
      <c r="M109" s="173"/>
      <c r="N109" s="1"/>
    </row>
    <row r="110" spans="1:14">
      <c r="A110" s="163"/>
      <c r="B110" s="117"/>
      <c r="C110" s="117"/>
      <c r="D110" s="117"/>
      <c r="E110" s="117"/>
      <c r="F110" s="117"/>
      <c r="G110" s="117"/>
      <c r="H110" s="117"/>
      <c r="I110" s="117"/>
      <c r="J110" s="117"/>
      <c r="K110" s="117"/>
      <c r="L110" s="117"/>
      <c r="M110" s="173"/>
      <c r="N110" s="1"/>
    </row>
    <row r="111" spans="1:14">
      <c r="A111" s="163"/>
      <c r="B111" s="117"/>
      <c r="C111" s="117"/>
      <c r="D111" s="117"/>
      <c r="E111" s="117"/>
      <c r="F111" s="117"/>
      <c r="G111" s="117"/>
      <c r="H111" s="117"/>
      <c r="I111" s="117"/>
      <c r="J111" s="117"/>
      <c r="K111" s="117"/>
      <c r="L111" s="117"/>
      <c r="M111" s="173"/>
      <c r="N111" s="1"/>
    </row>
    <row r="112" spans="1:14">
      <c r="A112" s="163"/>
      <c r="B112" s="117"/>
      <c r="C112" s="117"/>
      <c r="D112" s="117"/>
      <c r="E112" s="117"/>
      <c r="F112" s="117"/>
      <c r="G112" s="117"/>
      <c r="H112" s="117"/>
      <c r="I112" s="117"/>
      <c r="J112" s="117"/>
      <c r="K112" s="117"/>
      <c r="L112" s="117"/>
      <c r="M112" s="173"/>
      <c r="N112" s="1"/>
    </row>
    <row r="113" spans="1:14">
      <c r="A113" s="163"/>
      <c r="B113" s="117"/>
      <c r="C113" s="117"/>
      <c r="D113" s="117"/>
      <c r="E113" s="117"/>
      <c r="F113" s="117"/>
      <c r="G113" s="117"/>
      <c r="H113" s="117"/>
      <c r="I113" s="117"/>
      <c r="J113" s="117"/>
      <c r="K113" s="117"/>
      <c r="L113" s="117"/>
      <c r="M113" s="173"/>
      <c r="N113" s="1"/>
    </row>
    <row r="114" spans="1:14">
      <c r="A114" s="163"/>
      <c r="B114" s="117"/>
      <c r="C114" s="117"/>
      <c r="D114" s="117"/>
      <c r="E114" s="117"/>
      <c r="F114" s="117"/>
      <c r="G114" s="117"/>
      <c r="H114" s="117"/>
      <c r="I114" s="117"/>
      <c r="J114" s="117"/>
      <c r="K114" s="117"/>
      <c r="L114" s="117"/>
      <c r="M114" s="173"/>
      <c r="N114" s="1"/>
    </row>
    <row r="115" spans="1:14">
      <c r="A115" s="163"/>
      <c r="B115" s="117"/>
      <c r="C115" s="117"/>
      <c r="D115" s="117"/>
      <c r="E115" s="117"/>
      <c r="F115" s="117"/>
      <c r="G115" s="117"/>
      <c r="H115" s="117"/>
      <c r="I115" s="117"/>
      <c r="J115" s="117"/>
      <c r="K115" s="117"/>
      <c r="L115" s="117"/>
      <c r="M115" s="173"/>
      <c r="N115" s="1"/>
    </row>
    <row r="116" spans="1:14">
      <c r="A116" s="163"/>
      <c r="B116" s="117"/>
      <c r="C116" s="117"/>
      <c r="D116" s="117"/>
      <c r="E116" s="117"/>
      <c r="F116" s="117"/>
      <c r="G116" s="117"/>
      <c r="H116" s="117"/>
      <c r="I116" s="117"/>
      <c r="J116" s="117"/>
      <c r="K116" s="117"/>
      <c r="L116" s="117"/>
      <c r="M116" s="173"/>
      <c r="N116" s="1"/>
    </row>
    <row r="117" spans="1:14">
      <c r="A117" s="163"/>
      <c r="B117" s="117"/>
      <c r="C117" s="117"/>
      <c r="D117" s="117"/>
      <c r="E117" s="117"/>
      <c r="F117" s="117"/>
      <c r="G117" s="117"/>
      <c r="H117" s="117"/>
      <c r="I117" s="117"/>
      <c r="J117" s="117"/>
      <c r="K117" s="117"/>
      <c r="L117" s="117"/>
      <c r="M117" s="173"/>
      <c r="N117" s="1"/>
    </row>
    <row r="118" spans="1:14">
      <c r="A118" s="163"/>
      <c r="B118" s="117"/>
      <c r="C118" s="117"/>
      <c r="D118" s="117"/>
      <c r="E118" s="117"/>
      <c r="F118" s="117"/>
      <c r="G118" s="117"/>
      <c r="H118" s="117"/>
      <c r="I118" s="117"/>
      <c r="J118" s="117"/>
      <c r="K118" s="117"/>
      <c r="L118" s="117"/>
      <c r="M118" s="173"/>
      <c r="N118" s="1"/>
    </row>
    <row r="119" spans="1:14">
      <c r="A119" s="163"/>
      <c r="B119" s="117"/>
      <c r="C119" s="117"/>
      <c r="D119" s="117"/>
      <c r="E119" s="117"/>
      <c r="F119" s="117"/>
      <c r="G119" s="117"/>
      <c r="H119" s="117"/>
      <c r="I119" s="117"/>
      <c r="J119" s="117"/>
      <c r="K119" s="117"/>
      <c r="L119" s="117"/>
      <c r="M119" s="173"/>
      <c r="N119" s="1"/>
    </row>
    <row r="120" spans="1:14">
      <c r="A120" s="163"/>
      <c r="B120" s="117"/>
      <c r="C120" s="117"/>
      <c r="D120" s="117"/>
      <c r="E120" s="117"/>
      <c r="F120" s="117"/>
      <c r="G120" s="117"/>
      <c r="H120" s="117"/>
      <c r="I120" s="117"/>
      <c r="J120" s="117"/>
      <c r="K120" s="117"/>
      <c r="L120" s="117"/>
      <c r="M120" s="173"/>
      <c r="N120" s="1"/>
    </row>
    <row r="121" spans="1:14">
      <c r="A121" s="163"/>
      <c r="B121" s="117"/>
      <c r="C121" s="117"/>
      <c r="D121" s="117"/>
      <c r="E121" s="117"/>
      <c r="F121" s="117"/>
      <c r="G121" s="117"/>
      <c r="H121" s="117"/>
      <c r="I121" s="117"/>
      <c r="J121" s="117"/>
      <c r="K121" s="117"/>
      <c r="L121" s="117"/>
      <c r="M121" s="173"/>
      <c r="N121" s="1"/>
    </row>
    <row r="122" spans="1:14">
      <c r="A122" s="163"/>
      <c r="B122" s="117"/>
      <c r="C122" s="117"/>
      <c r="D122" s="117"/>
      <c r="E122" s="117"/>
      <c r="F122" s="117"/>
      <c r="G122" s="117"/>
      <c r="H122" s="117"/>
      <c r="I122" s="117"/>
      <c r="J122" s="117"/>
      <c r="K122" s="117"/>
      <c r="L122" s="117"/>
      <c r="M122" s="173"/>
      <c r="N122" s="1"/>
    </row>
    <row r="123" spans="1:14">
      <c r="A123" s="163"/>
      <c r="B123" s="117"/>
      <c r="C123" s="117"/>
      <c r="D123" s="117"/>
      <c r="E123" s="117"/>
      <c r="F123" s="117"/>
      <c r="G123" s="117"/>
      <c r="H123" s="117"/>
      <c r="I123" s="117"/>
      <c r="J123" s="117"/>
      <c r="K123" s="117"/>
      <c r="L123" s="117"/>
      <c r="M123" s="173"/>
      <c r="N123" s="1"/>
    </row>
    <row r="124" spans="1:14">
      <c r="A124" s="163"/>
      <c r="B124" s="117"/>
      <c r="C124" s="117"/>
      <c r="D124" s="117"/>
      <c r="E124" s="117"/>
      <c r="F124" s="117"/>
      <c r="G124" s="117"/>
      <c r="H124" s="117"/>
      <c r="I124" s="117"/>
      <c r="J124" s="117"/>
      <c r="K124" s="117"/>
      <c r="L124" s="117"/>
      <c r="M124" s="173"/>
      <c r="N124" s="1"/>
    </row>
    <row r="125" spans="1:14">
      <c r="A125" s="163"/>
      <c r="B125" s="117"/>
      <c r="C125" s="117"/>
      <c r="D125" s="117"/>
      <c r="E125" s="117"/>
      <c r="F125" s="117"/>
      <c r="G125" s="117"/>
      <c r="H125" s="117"/>
      <c r="I125" s="117"/>
      <c r="J125" s="117"/>
      <c r="K125" s="117"/>
      <c r="L125" s="117"/>
      <c r="M125" s="173"/>
      <c r="N125" s="1"/>
    </row>
    <row r="126" spans="1:14">
      <c r="A126" s="163"/>
      <c r="B126" s="117"/>
      <c r="C126" s="117"/>
      <c r="D126" s="117"/>
      <c r="E126" s="117"/>
      <c r="F126" s="117"/>
      <c r="G126" s="117"/>
      <c r="H126" s="117"/>
      <c r="I126" s="117"/>
      <c r="J126" s="117"/>
      <c r="K126" s="117"/>
      <c r="L126" s="117"/>
      <c r="M126" s="173"/>
      <c r="N126" s="1"/>
    </row>
    <row r="127" spans="1:14">
      <c r="A127" s="163"/>
      <c r="B127" s="117"/>
      <c r="C127" s="117"/>
      <c r="D127" s="117"/>
      <c r="E127" s="117"/>
      <c r="F127" s="117"/>
      <c r="G127" s="117"/>
      <c r="H127" s="117"/>
      <c r="I127" s="117"/>
      <c r="J127" s="117"/>
      <c r="K127" s="117"/>
      <c r="L127" s="117"/>
      <c r="M127" s="173"/>
      <c r="N127" s="1"/>
    </row>
    <row r="128" spans="1:14">
      <c r="A128" s="163"/>
      <c r="B128" s="117"/>
      <c r="C128" s="117"/>
      <c r="D128" s="117"/>
      <c r="E128" s="117"/>
      <c r="F128" s="117"/>
      <c r="G128" s="117"/>
      <c r="H128" s="117"/>
      <c r="I128" s="117"/>
      <c r="J128" s="117"/>
      <c r="K128" s="117"/>
      <c r="L128" s="117"/>
      <c r="M128" s="173"/>
      <c r="N128" s="1"/>
    </row>
    <row r="129" spans="1:14">
      <c r="A129" s="163"/>
      <c r="B129" s="117"/>
      <c r="C129" s="117"/>
      <c r="D129" s="117"/>
      <c r="E129" s="117"/>
      <c r="F129" s="117"/>
      <c r="G129" s="117"/>
      <c r="H129" s="117"/>
      <c r="I129" s="117"/>
      <c r="J129" s="117"/>
      <c r="K129" s="117"/>
      <c r="L129" s="117"/>
      <c r="M129" s="173"/>
      <c r="N129" s="1"/>
    </row>
    <row r="130" spans="1:14">
      <c r="A130" s="163"/>
      <c r="B130" s="117"/>
      <c r="C130" s="117"/>
      <c r="D130" s="117"/>
      <c r="E130" s="117"/>
      <c r="F130" s="117"/>
      <c r="G130" s="117"/>
      <c r="H130" s="117"/>
      <c r="I130" s="117"/>
      <c r="J130" s="117"/>
      <c r="K130" s="117"/>
      <c r="L130" s="117"/>
      <c r="M130" s="173"/>
      <c r="N130" s="1"/>
    </row>
    <row r="131" spans="1:14">
      <c r="A131" s="163"/>
      <c r="B131" s="117"/>
      <c r="C131" s="117"/>
      <c r="D131" s="117"/>
      <c r="E131" s="117"/>
      <c r="F131" s="117"/>
      <c r="G131" s="117"/>
      <c r="H131" s="117"/>
      <c r="I131" s="117"/>
      <c r="J131" s="117"/>
      <c r="K131" s="117"/>
      <c r="L131" s="117"/>
      <c r="M131" s="173"/>
      <c r="N131" s="1"/>
    </row>
    <row r="132" spans="1:14">
      <c r="A132" s="163"/>
      <c r="B132" s="117"/>
      <c r="C132" s="117"/>
      <c r="D132" s="117"/>
      <c r="E132" s="117"/>
      <c r="F132" s="117"/>
      <c r="G132" s="117"/>
      <c r="H132" s="117"/>
      <c r="I132" s="117"/>
      <c r="J132" s="117"/>
      <c r="K132" s="117"/>
      <c r="L132" s="117"/>
      <c r="M132" s="173"/>
      <c r="N132" s="1"/>
    </row>
    <row r="133" spans="1:14">
      <c r="A133" s="163"/>
      <c r="B133" s="117"/>
      <c r="C133" s="117"/>
      <c r="D133" s="117"/>
      <c r="E133" s="117"/>
      <c r="F133" s="117"/>
      <c r="G133" s="117"/>
      <c r="H133" s="117"/>
      <c r="I133" s="117"/>
      <c r="J133" s="117"/>
      <c r="K133" s="117"/>
      <c r="L133" s="117"/>
      <c r="M133" s="173"/>
      <c r="N133" s="1"/>
    </row>
    <row r="134" spans="1:14">
      <c r="A134" s="163"/>
      <c r="B134" s="117"/>
      <c r="C134" s="117"/>
      <c r="D134" s="117"/>
      <c r="E134" s="117"/>
      <c r="F134" s="117"/>
      <c r="G134" s="117"/>
      <c r="H134" s="117"/>
      <c r="I134" s="117"/>
      <c r="J134" s="117"/>
      <c r="K134" s="117"/>
      <c r="L134" s="117"/>
      <c r="M134" s="173"/>
      <c r="N134" s="1"/>
    </row>
    <row r="135" spans="1:14">
      <c r="A135" s="163"/>
      <c r="B135" s="117"/>
      <c r="C135" s="117"/>
      <c r="D135" s="117"/>
      <c r="E135" s="117"/>
      <c r="F135" s="117"/>
      <c r="G135" s="117"/>
      <c r="H135" s="117"/>
      <c r="I135" s="117"/>
      <c r="J135" s="117"/>
      <c r="K135" s="117"/>
      <c r="L135" s="117"/>
      <c r="M135" s="173"/>
      <c r="N135" s="1"/>
    </row>
    <row r="136" spans="1:14">
      <c r="A136" s="163"/>
      <c r="B136" s="117"/>
      <c r="C136" s="117"/>
      <c r="D136" s="117"/>
      <c r="E136" s="117"/>
      <c r="F136" s="117"/>
      <c r="G136" s="117"/>
      <c r="H136" s="117"/>
      <c r="I136" s="117"/>
      <c r="J136" s="117"/>
      <c r="K136" s="117"/>
      <c r="L136" s="117"/>
      <c r="M136" s="173"/>
      <c r="N136" s="1"/>
    </row>
    <row r="137" spans="1:14">
      <c r="A137" s="163"/>
      <c r="B137" s="117"/>
      <c r="C137" s="117"/>
      <c r="D137" s="117"/>
      <c r="E137" s="117"/>
      <c r="F137" s="117"/>
      <c r="G137" s="117"/>
      <c r="H137" s="117"/>
      <c r="I137" s="117"/>
      <c r="J137" s="117"/>
      <c r="K137" s="117"/>
      <c r="L137" s="117"/>
      <c r="M137" s="173"/>
      <c r="N137" s="1"/>
    </row>
    <row r="138" spans="1:14">
      <c r="A138" s="163"/>
      <c r="B138" s="117"/>
      <c r="C138" s="117"/>
      <c r="D138" s="117"/>
      <c r="E138" s="117"/>
      <c r="F138" s="117"/>
      <c r="G138" s="117"/>
      <c r="H138" s="117"/>
      <c r="I138" s="117"/>
      <c r="J138" s="117"/>
      <c r="K138" s="117"/>
      <c r="L138" s="117"/>
      <c r="M138" s="173"/>
      <c r="N138" s="1"/>
    </row>
    <row r="139" spans="1:14">
      <c r="A139" s="163"/>
      <c r="B139" s="117"/>
      <c r="C139" s="117"/>
      <c r="D139" s="117"/>
      <c r="E139" s="117"/>
      <c r="F139" s="117"/>
      <c r="G139" s="117"/>
      <c r="H139" s="117"/>
      <c r="I139" s="117"/>
      <c r="J139" s="117"/>
      <c r="K139" s="117"/>
      <c r="L139" s="117"/>
      <c r="M139" s="173"/>
      <c r="N139" s="1"/>
    </row>
    <row r="140" spans="1:14">
      <c r="A140" s="163"/>
      <c r="B140" s="117"/>
      <c r="C140" s="117"/>
      <c r="D140" s="117"/>
      <c r="E140" s="117"/>
      <c r="F140" s="117"/>
      <c r="G140" s="117"/>
      <c r="H140" s="117"/>
      <c r="I140" s="117"/>
      <c r="J140" s="117"/>
      <c r="K140" s="117"/>
      <c r="L140" s="117"/>
      <c r="M140" s="173"/>
      <c r="N140" s="1"/>
    </row>
    <row r="141" spans="1:14">
      <c r="A141" s="163"/>
      <c r="B141" s="117"/>
      <c r="C141" s="117"/>
      <c r="D141" s="117"/>
      <c r="E141" s="117"/>
      <c r="F141" s="117"/>
      <c r="G141" s="117"/>
      <c r="H141" s="117"/>
      <c r="I141" s="117"/>
      <c r="J141" s="117"/>
      <c r="K141" s="117"/>
      <c r="L141" s="117"/>
      <c r="M141" s="173"/>
      <c r="N141" s="1"/>
    </row>
    <row r="142" spans="1:14">
      <c r="A142" s="163"/>
      <c r="B142" s="117"/>
      <c r="C142" s="117"/>
      <c r="D142" s="117"/>
      <c r="E142" s="117"/>
      <c r="F142" s="117"/>
      <c r="G142" s="117"/>
      <c r="H142" s="117"/>
      <c r="I142" s="117"/>
      <c r="J142" s="117"/>
      <c r="K142" s="117"/>
      <c r="L142" s="117"/>
      <c r="M142" s="173"/>
      <c r="N142" s="1"/>
    </row>
    <row r="143" spans="1:14">
      <c r="A143" s="163"/>
      <c r="B143" s="117"/>
      <c r="C143" s="117"/>
      <c r="D143" s="117"/>
      <c r="E143" s="117"/>
      <c r="F143" s="117"/>
      <c r="G143" s="117"/>
      <c r="H143" s="117"/>
      <c r="I143" s="117"/>
      <c r="J143" s="117"/>
      <c r="K143" s="117"/>
      <c r="L143" s="117"/>
      <c r="M143" s="173"/>
      <c r="N143" s="1"/>
    </row>
    <row r="144" spans="1:14">
      <c r="A144" s="163"/>
      <c r="B144" s="117"/>
      <c r="C144" s="117"/>
      <c r="D144" s="117"/>
      <c r="E144" s="117"/>
      <c r="F144" s="117"/>
      <c r="G144" s="117"/>
      <c r="H144" s="117"/>
      <c r="I144" s="117"/>
      <c r="J144" s="117"/>
      <c r="K144" s="117"/>
      <c r="L144" s="117"/>
      <c r="M144" s="173"/>
      <c r="N144" s="1"/>
    </row>
    <row r="145" spans="1:14">
      <c r="A145" s="163"/>
      <c r="B145" s="117"/>
      <c r="C145" s="117"/>
      <c r="D145" s="117"/>
      <c r="E145" s="117"/>
      <c r="F145" s="117"/>
      <c r="G145" s="117"/>
      <c r="H145" s="117"/>
      <c r="I145" s="117"/>
      <c r="J145" s="117"/>
      <c r="K145" s="117"/>
      <c r="L145" s="117"/>
      <c r="M145" s="173"/>
      <c r="N145" s="1"/>
    </row>
    <row r="146" spans="1:14">
      <c r="A146" s="163"/>
      <c r="B146" s="117"/>
      <c r="C146" s="117"/>
      <c r="D146" s="117"/>
      <c r="E146" s="117"/>
      <c r="F146" s="117"/>
      <c r="G146" s="117"/>
      <c r="H146" s="117"/>
      <c r="I146" s="117"/>
      <c r="J146" s="117"/>
      <c r="K146" s="117"/>
      <c r="L146" s="117"/>
      <c r="M146" s="173"/>
      <c r="N146" s="1"/>
    </row>
    <row r="147" spans="1:14">
      <c r="A147" s="163"/>
      <c r="B147" s="117"/>
      <c r="C147" s="117"/>
      <c r="D147" s="117"/>
      <c r="E147" s="117"/>
      <c r="F147" s="117"/>
      <c r="G147" s="117"/>
      <c r="H147" s="117"/>
      <c r="I147" s="117"/>
      <c r="J147" s="117"/>
      <c r="K147" s="117"/>
      <c r="L147" s="117"/>
      <c r="M147" s="173"/>
      <c r="N147" s="1"/>
    </row>
    <row r="148" spans="1:14">
      <c r="A148" s="163"/>
      <c r="B148" s="117"/>
      <c r="C148" s="117"/>
      <c r="D148" s="117"/>
      <c r="E148" s="117"/>
      <c r="F148" s="117"/>
      <c r="G148" s="117"/>
      <c r="H148" s="117"/>
      <c r="I148" s="117"/>
      <c r="J148" s="117"/>
      <c r="K148" s="117"/>
      <c r="L148" s="117"/>
      <c r="M148" s="173"/>
      <c r="N148" s="1"/>
    </row>
    <row r="149" spans="1:14">
      <c r="A149" s="163"/>
      <c r="B149" s="117"/>
      <c r="C149" s="117"/>
      <c r="D149" s="117"/>
      <c r="E149" s="117"/>
      <c r="F149" s="117"/>
      <c r="G149" s="117"/>
      <c r="H149" s="117"/>
      <c r="I149" s="117"/>
      <c r="J149" s="117"/>
      <c r="K149" s="117"/>
      <c r="L149" s="117"/>
      <c r="M149" s="173"/>
      <c r="N149" s="1"/>
    </row>
    <row r="150" spans="1:14">
      <c r="A150" s="163"/>
      <c r="B150" s="117"/>
      <c r="C150" s="117"/>
      <c r="D150" s="117"/>
      <c r="E150" s="117"/>
      <c r="F150" s="117"/>
      <c r="G150" s="117"/>
      <c r="H150" s="117"/>
      <c r="I150" s="117"/>
      <c r="J150" s="117"/>
      <c r="K150" s="117"/>
      <c r="L150" s="117"/>
      <c r="M150" s="173"/>
      <c r="N150" s="1"/>
    </row>
    <row r="151" spans="1:14">
      <c r="A151" s="163"/>
      <c r="B151" s="117"/>
      <c r="C151" s="117"/>
      <c r="D151" s="117"/>
      <c r="E151" s="117"/>
      <c r="F151" s="117"/>
      <c r="G151" s="117"/>
      <c r="H151" s="117"/>
      <c r="I151" s="117"/>
      <c r="J151" s="117"/>
      <c r="K151" s="117"/>
      <c r="L151" s="117"/>
      <c r="M151" s="173"/>
      <c r="N151" s="1"/>
    </row>
    <row r="152" spans="1:14">
      <c r="A152" s="163"/>
      <c r="B152" s="117"/>
      <c r="C152" s="117"/>
      <c r="D152" s="117"/>
      <c r="E152" s="117"/>
      <c r="F152" s="117"/>
      <c r="G152" s="117"/>
      <c r="H152" s="117"/>
      <c r="I152" s="117"/>
      <c r="J152" s="117"/>
      <c r="K152" s="117"/>
      <c r="L152" s="117"/>
      <c r="M152" s="173"/>
      <c r="N152" s="1"/>
    </row>
    <row r="153" spans="1:14">
      <c r="A153" s="163"/>
      <c r="B153" s="117"/>
      <c r="C153" s="117"/>
      <c r="D153" s="117"/>
      <c r="E153" s="117"/>
      <c r="F153" s="117"/>
      <c r="G153" s="117"/>
      <c r="H153" s="117"/>
      <c r="I153" s="117"/>
      <c r="J153" s="117"/>
      <c r="K153" s="117"/>
      <c r="L153" s="117"/>
      <c r="M153" s="173"/>
      <c r="N153" s="1"/>
    </row>
    <row r="154" spans="1:14">
      <c r="A154" s="163"/>
      <c r="B154" s="117"/>
      <c r="C154" s="117"/>
      <c r="D154" s="117"/>
      <c r="E154" s="117"/>
      <c r="F154" s="117"/>
      <c r="G154" s="117"/>
      <c r="H154" s="117"/>
      <c r="I154" s="117"/>
      <c r="J154" s="117"/>
      <c r="K154" s="117"/>
      <c r="L154" s="117"/>
      <c r="M154" s="173"/>
      <c r="N154" s="1"/>
    </row>
    <row r="155" spans="1:14">
      <c r="A155" s="163"/>
      <c r="B155" s="117"/>
      <c r="C155" s="117"/>
      <c r="D155" s="117"/>
      <c r="E155" s="117"/>
      <c r="F155" s="117"/>
      <c r="G155" s="117"/>
      <c r="H155" s="117"/>
      <c r="I155" s="117"/>
      <c r="J155" s="117"/>
      <c r="K155" s="117"/>
      <c r="L155" s="117"/>
      <c r="M155" s="173"/>
      <c r="N155" s="1"/>
    </row>
    <row r="156" spans="1:14">
      <c r="A156" s="163"/>
      <c r="B156" s="117"/>
      <c r="C156" s="117"/>
      <c r="D156" s="117"/>
      <c r="E156" s="117"/>
      <c r="F156" s="117"/>
      <c r="G156" s="117"/>
      <c r="H156" s="117"/>
      <c r="I156" s="117"/>
      <c r="J156" s="117"/>
      <c r="K156" s="117"/>
      <c r="L156" s="117"/>
      <c r="M156" s="173"/>
      <c r="N156" s="1"/>
    </row>
    <row r="157" spans="1:14">
      <c r="A157" s="163"/>
      <c r="B157" s="117"/>
      <c r="C157" s="117"/>
      <c r="D157" s="117"/>
      <c r="E157" s="117"/>
      <c r="F157" s="117"/>
      <c r="G157" s="117"/>
      <c r="H157" s="117"/>
      <c r="I157" s="117"/>
      <c r="J157" s="117"/>
      <c r="K157" s="117"/>
      <c r="L157" s="117"/>
      <c r="M157" s="173"/>
      <c r="N157" s="1"/>
    </row>
    <row r="158" spans="1:14">
      <c r="A158" s="163"/>
      <c r="B158" s="117"/>
      <c r="C158" s="117"/>
      <c r="D158" s="117"/>
      <c r="E158" s="117"/>
      <c r="F158" s="117"/>
      <c r="G158" s="117"/>
      <c r="H158" s="117"/>
      <c r="I158" s="117"/>
      <c r="J158" s="117"/>
      <c r="K158" s="117"/>
      <c r="L158" s="117"/>
      <c r="M158" s="173"/>
      <c r="N158" s="1"/>
    </row>
    <row r="159" spans="1:14">
      <c r="A159" s="163"/>
      <c r="B159" s="117"/>
      <c r="C159" s="117"/>
      <c r="D159" s="117"/>
      <c r="E159" s="117"/>
      <c r="F159" s="117"/>
      <c r="G159" s="117"/>
      <c r="H159" s="117"/>
      <c r="I159" s="117"/>
      <c r="J159" s="117"/>
      <c r="K159" s="117"/>
      <c r="L159" s="117"/>
      <c r="M159" s="173"/>
      <c r="N159" s="1"/>
    </row>
    <row r="160" spans="1:14">
      <c r="A160" s="163"/>
      <c r="B160" s="117"/>
      <c r="C160" s="117"/>
      <c r="D160" s="117"/>
      <c r="E160" s="117"/>
      <c r="F160" s="117"/>
      <c r="G160" s="117"/>
      <c r="H160" s="117"/>
      <c r="I160" s="117"/>
      <c r="J160" s="117"/>
      <c r="K160" s="117"/>
      <c r="L160" s="117"/>
      <c r="M160" s="173"/>
      <c r="N160" s="1"/>
    </row>
    <row r="161" spans="1:14">
      <c r="A161" s="163"/>
      <c r="B161" s="117"/>
      <c r="C161" s="117"/>
      <c r="D161" s="117"/>
      <c r="E161" s="117"/>
      <c r="F161" s="117"/>
      <c r="G161" s="117"/>
      <c r="H161" s="117"/>
      <c r="I161" s="117"/>
      <c r="J161" s="117"/>
      <c r="K161" s="117"/>
      <c r="L161" s="117"/>
      <c r="M161" s="173"/>
      <c r="N161" s="1"/>
    </row>
    <row r="162" spans="1:14">
      <c r="A162" s="163"/>
      <c r="B162" s="117"/>
      <c r="C162" s="117"/>
      <c r="D162" s="117"/>
      <c r="E162" s="117"/>
      <c r="F162" s="117"/>
      <c r="G162" s="117"/>
      <c r="H162" s="117"/>
      <c r="I162" s="117"/>
      <c r="J162" s="117"/>
      <c r="K162" s="117"/>
      <c r="L162" s="117"/>
      <c r="M162" s="173"/>
      <c r="N162" s="1"/>
    </row>
    <row r="163" spans="1:14">
      <c r="A163" s="163"/>
      <c r="B163" s="117"/>
      <c r="C163" s="117"/>
      <c r="D163" s="117"/>
      <c r="E163" s="117"/>
      <c r="F163" s="117"/>
      <c r="G163" s="117"/>
      <c r="H163" s="117"/>
      <c r="I163" s="117"/>
      <c r="J163" s="117"/>
      <c r="K163" s="117"/>
      <c r="L163" s="117"/>
      <c r="M163" s="173"/>
      <c r="N163" s="1"/>
    </row>
    <row r="164" spans="1:14">
      <c r="A164" s="163"/>
      <c r="B164" s="117"/>
      <c r="C164" s="117"/>
      <c r="D164" s="117"/>
      <c r="E164" s="117"/>
      <c r="F164" s="117"/>
      <c r="G164" s="117"/>
      <c r="H164" s="117"/>
      <c r="I164" s="117"/>
      <c r="J164" s="117"/>
      <c r="K164" s="117"/>
      <c r="L164" s="117"/>
      <c r="M164" s="173"/>
      <c r="N164" s="1"/>
    </row>
    <row r="165" spans="1:14">
      <c r="A165" s="163"/>
      <c r="B165" s="117"/>
      <c r="C165" s="117"/>
      <c r="D165" s="117"/>
      <c r="E165" s="117"/>
      <c r="F165" s="117"/>
      <c r="G165" s="117"/>
      <c r="H165" s="117"/>
      <c r="I165" s="117"/>
      <c r="J165" s="117"/>
      <c r="K165" s="117"/>
      <c r="L165" s="117"/>
      <c r="M165" s="173"/>
      <c r="N165" s="1"/>
    </row>
    <row r="166" spans="1:14">
      <c r="A166" s="163"/>
      <c r="B166" s="117"/>
      <c r="C166" s="117"/>
      <c r="D166" s="117"/>
      <c r="E166" s="117"/>
      <c r="F166" s="117"/>
      <c r="G166" s="117"/>
      <c r="H166" s="117"/>
      <c r="I166" s="117"/>
      <c r="J166" s="117"/>
      <c r="K166" s="117"/>
      <c r="L166" s="117"/>
      <c r="M166" s="173"/>
      <c r="N166" s="1"/>
    </row>
    <row r="167" spans="1:14">
      <c r="A167" s="163"/>
      <c r="B167" s="117"/>
      <c r="C167" s="117"/>
      <c r="D167" s="117"/>
      <c r="E167" s="117"/>
      <c r="F167" s="117"/>
      <c r="G167" s="117"/>
      <c r="H167" s="117"/>
      <c r="I167" s="117"/>
      <c r="J167" s="117"/>
      <c r="K167" s="117"/>
      <c r="L167" s="117"/>
      <c r="M167" s="173"/>
      <c r="N167" s="1"/>
    </row>
    <row r="168" spans="1:14">
      <c r="A168" s="163"/>
      <c r="B168" s="117"/>
      <c r="C168" s="117"/>
      <c r="D168" s="117"/>
      <c r="E168" s="117"/>
      <c r="F168" s="117"/>
      <c r="G168" s="117"/>
      <c r="H168" s="117"/>
      <c r="I168" s="117"/>
      <c r="J168" s="117"/>
      <c r="K168" s="117"/>
      <c r="L168" s="117"/>
      <c r="M168" s="173"/>
      <c r="N168" s="1"/>
    </row>
    <row r="169" spans="1:14">
      <c r="A169" s="163"/>
      <c r="B169" s="117"/>
      <c r="C169" s="117"/>
      <c r="D169" s="117"/>
      <c r="E169" s="117"/>
      <c r="F169" s="117"/>
      <c r="G169" s="117"/>
      <c r="H169" s="117"/>
      <c r="I169" s="117"/>
      <c r="J169" s="117"/>
      <c r="K169" s="117"/>
      <c r="L169" s="117"/>
      <c r="M169" s="173"/>
      <c r="N169" s="1"/>
    </row>
    <row r="170" spans="1:14">
      <c r="A170" s="163"/>
      <c r="B170" s="117"/>
      <c r="C170" s="117"/>
      <c r="D170" s="117"/>
      <c r="E170" s="117"/>
      <c r="F170" s="117"/>
      <c r="G170" s="117"/>
      <c r="H170" s="117"/>
      <c r="I170" s="117"/>
      <c r="J170" s="117"/>
      <c r="K170" s="117"/>
      <c r="L170" s="117"/>
      <c r="M170" s="173"/>
      <c r="N170" s="1"/>
    </row>
    <row r="171" spans="1:14">
      <c r="A171" s="163"/>
      <c r="B171" s="117"/>
      <c r="C171" s="117"/>
      <c r="D171" s="117"/>
      <c r="E171" s="117"/>
      <c r="F171" s="117"/>
      <c r="G171" s="117"/>
      <c r="H171" s="117"/>
      <c r="I171" s="117"/>
      <c r="J171" s="117"/>
      <c r="K171" s="117"/>
      <c r="L171" s="117"/>
      <c r="M171" s="173"/>
      <c r="N171" s="1"/>
    </row>
    <row r="172" spans="1:14">
      <c r="A172" s="163"/>
      <c r="B172" s="117"/>
      <c r="C172" s="117"/>
      <c r="D172" s="117"/>
      <c r="E172" s="117"/>
      <c r="F172" s="117"/>
      <c r="G172" s="117"/>
      <c r="H172" s="117"/>
      <c r="I172" s="117"/>
      <c r="J172" s="117"/>
      <c r="K172" s="117"/>
      <c r="L172" s="117"/>
      <c r="M172" s="173"/>
      <c r="N172" s="1"/>
    </row>
    <row r="173" spans="1:14">
      <c r="A173" s="163"/>
      <c r="B173" s="117"/>
      <c r="C173" s="117"/>
      <c r="D173" s="117"/>
      <c r="E173" s="117"/>
      <c r="F173" s="117"/>
      <c r="G173" s="117"/>
      <c r="H173" s="117"/>
      <c r="I173" s="117"/>
      <c r="J173" s="117"/>
      <c r="K173" s="117"/>
      <c r="L173" s="117"/>
      <c r="M173" s="173"/>
      <c r="N173" s="1"/>
    </row>
    <row r="174" spans="1:14">
      <c r="A174" s="163"/>
      <c r="B174" s="117"/>
      <c r="C174" s="117"/>
      <c r="D174" s="117"/>
      <c r="E174" s="117"/>
      <c r="F174" s="117"/>
      <c r="G174" s="117"/>
      <c r="H174" s="117"/>
      <c r="I174" s="117"/>
      <c r="J174" s="117"/>
      <c r="K174" s="117"/>
      <c r="L174" s="117"/>
      <c r="M174" s="173"/>
      <c r="N174" s="1"/>
    </row>
    <row r="175" spans="1:14">
      <c r="A175" s="163"/>
      <c r="B175" s="117"/>
      <c r="C175" s="117"/>
      <c r="D175" s="117"/>
      <c r="E175" s="117"/>
      <c r="F175" s="117"/>
      <c r="G175" s="117"/>
      <c r="H175" s="117"/>
      <c r="I175" s="117"/>
      <c r="J175" s="117"/>
      <c r="K175" s="117"/>
      <c r="L175" s="117"/>
      <c r="M175" s="173"/>
      <c r="N175" s="1"/>
    </row>
    <row r="176" spans="1:14">
      <c r="A176" s="163"/>
      <c r="B176" s="117"/>
      <c r="C176" s="117"/>
      <c r="D176" s="117"/>
      <c r="E176" s="117"/>
      <c r="F176" s="117"/>
      <c r="G176" s="117"/>
      <c r="H176" s="117"/>
      <c r="I176" s="117"/>
      <c r="J176" s="117"/>
      <c r="K176" s="117"/>
      <c r="L176" s="117"/>
      <c r="M176" s="173"/>
      <c r="N176" s="1"/>
    </row>
    <row r="177" spans="1:14">
      <c r="A177" s="163"/>
      <c r="B177" s="117"/>
      <c r="C177" s="117"/>
      <c r="D177" s="117"/>
      <c r="E177" s="117"/>
      <c r="F177" s="117"/>
      <c r="G177" s="117"/>
      <c r="H177" s="117"/>
      <c r="I177" s="117"/>
      <c r="J177" s="117"/>
      <c r="K177" s="117"/>
      <c r="L177" s="117"/>
      <c r="M177" s="173"/>
      <c r="N177" s="1"/>
    </row>
    <row r="178" spans="1:14">
      <c r="A178" s="163"/>
      <c r="B178" s="117"/>
      <c r="C178" s="117"/>
      <c r="D178" s="117"/>
      <c r="E178" s="117"/>
      <c r="F178" s="117"/>
      <c r="G178" s="117"/>
      <c r="H178" s="117"/>
      <c r="I178" s="117"/>
      <c r="J178" s="117"/>
      <c r="K178" s="117"/>
      <c r="L178" s="117"/>
      <c r="M178" s="173"/>
      <c r="N178" s="1"/>
    </row>
    <row r="179" spans="1:14">
      <c r="A179" s="163"/>
      <c r="B179" s="117"/>
      <c r="C179" s="117"/>
      <c r="D179" s="117"/>
      <c r="E179" s="117"/>
      <c r="F179" s="117"/>
      <c r="G179" s="117"/>
      <c r="H179" s="117"/>
      <c r="I179" s="117"/>
      <c r="J179" s="117"/>
      <c r="K179" s="117"/>
      <c r="L179" s="117"/>
      <c r="M179" s="173"/>
      <c r="N179" s="1"/>
    </row>
    <row r="180" spans="1:14">
      <c r="A180" s="163"/>
      <c r="B180" s="117"/>
      <c r="C180" s="117"/>
      <c r="D180" s="117"/>
      <c r="E180" s="117"/>
      <c r="F180" s="117"/>
      <c r="G180" s="117"/>
      <c r="H180" s="117"/>
      <c r="I180" s="117"/>
      <c r="J180" s="117"/>
      <c r="K180" s="117"/>
      <c r="L180" s="117"/>
      <c r="M180" s="173"/>
      <c r="N180" s="1"/>
    </row>
    <row r="181" spans="1:14">
      <c r="B181" s="1"/>
      <c r="C181" s="1"/>
      <c r="D181" s="1"/>
      <c r="E181" s="1"/>
      <c r="F181" s="1"/>
      <c r="G181" s="1"/>
      <c r="H181" s="1"/>
      <c r="I181" s="1"/>
      <c r="J181" s="1"/>
      <c r="K181" s="1"/>
      <c r="L181" s="1"/>
      <c r="M181" s="173"/>
      <c r="N181" s="1"/>
    </row>
    <row r="182" spans="1:14">
      <c r="B182" s="1"/>
      <c r="C182" s="1"/>
      <c r="D182" s="1"/>
      <c r="E182" s="1"/>
      <c r="F182" s="1"/>
      <c r="G182" s="1"/>
      <c r="H182" s="1"/>
      <c r="I182" s="1"/>
      <c r="J182" s="1"/>
      <c r="K182" s="1"/>
      <c r="L182" s="1"/>
      <c r="M182" s="173"/>
      <c r="N182" s="1"/>
    </row>
    <row r="183" spans="1:14">
      <c r="B183" s="1"/>
      <c r="C183" s="1"/>
      <c r="D183" s="1"/>
      <c r="E183" s="1"/>
      <c r="F183" s="1"/>
      <c r="G183" s="1"/>
      <c r="H183" s="1"/>
      <c r="I183" s="1"/>
      <c r="J183" s="1"/>
      <c r="K183" s="1"/>
      <c r="L183" s="1"/>
      <c r="M183" s="173"/>
      <c r="N183" s="1"/>
    </row>
    <row r="184" spans="1:14">
      <c r="B184" s="1"/>
      <c r="C184" s="1"/>
      <c r="D184" s="1"/>
      <c r="E184" s="1"/>
      <c r="F184" s="1"/>
      <c r="G184" s="1"/>
      <c r="H184" s="1"/>
      <c r="I184" s="1"/>
      <c r="J184" s="1"/>
      <c r="K184" s="1"/>
      <c r="L184" s="1"/>
      <c r="M184" s="173"/>
      <c r="N184" s="1"/>
    </row>
  </sheetData>
  <mergeCells count="1">
    <mergeCell ref="J1:L1"/>
  </mergeCells>
  <pageMargins left="0.75" right="0.75" top="1" bottom="1" header="0.5" footer="0.5"/>
  <pageSetup orientation="landscape"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3"/>
  <sheetViews>
    <sheetView topLeftCell="A25" workbookViewId="0">
      <selection activeCell="C1" sqref="C1"/>
    </sheetView>
  </sheetViews>
  <sheetFormatPr defaultRowHeight="15.75"/>
  <cols>
    <col min="1" max="1" width="38.875" bestFit="1" customWidth="1"/>
    <col min="2" max="2" width="11.125" bestFit="1" customWidth="1"/>
    <col min="3" max="3" width="12.75" bestFit="1" customWidth="1"/>
    <col min="4" max="4" width="11.125" bestFit="1" customWidth="1"/>
    <col min="5" max="5" width="12.25" bestFit="1" customWidth="1"/>
    <col min="7" max="7" width="10.875" bestFit="1" customWidth="1"/>
    <col min="8" max="8" width="42.875" customWidth="1"/>
  </cols>
  <sheetData>
    <row r="2" spans="1:19" ht="36" customHeight="1">
      <c r="A2" s="466" t="s">
        <v>276</v>
      </c>
    </row>
    <row r="3" spans="1:19">
      <c r="A3" t="s">
        <v>277</v>
      </c>
    </row>
    <row r="5" spans="1:19" ht="63">
      <c r="A5" s="471" t="s">
        <v>255</v>
      </c>
      <c r="B5" s="472" t="s">
        <v>256</v>
      </c>
      <c r="C5" s="473" t="s">
        <v>257</v>
      </c>
      <c r="D5" s="473" t="s">
        <v>258</v>
      </c>
      <c r="E5" s="473" t="s">
        <v>259</v>
      </c>
      <c r="F5" s="473" t="s">
        <v>260</v>
      </c>
      <c r="G5" s="473" t="s">
        <v>261</v>
      </c>
      <c r="H5" s="469" t="s">
        <v>262</v>
      </c>
      <c r="I5" s="467"/>
      <c r="J5" s="467"/>
      <c r="K5" s="467"/>
      <c r="L5" s="467"/>
      <c r="M5" s="467"/>
      <c r="N5" s="467"/>
      <c r="O5" s="467"/>
      <c r="P5" s="467"/>
      <c r="Q5" s="467"/>
      <c r="R5" s="467"/>
      <c r="S5" s="467"/>
    </row>
    <row r="6" spans="1:19">
      <c r="A6" s="471" t="s">
        <v>263</v>
      </c>
      <c r="B6" s="474"/>
      <c r="C6" s="474"/>
      <c r="D6" s="474"/>
      <c r="E6" s="474"/>
      <c r="F6" s="474"/>
      <c r="G6" s="474"/>
      <c r="H6" s="470"/>
      <c r="I6" s="467"/>
      <c r="J6" s="467"/>
      <c r="K6" s="467"/>
      <c r="L6" s="467"/>
      <c r="M6" s="467"/>
      <c r="N6" s="467"/>
      <c r="O6" s="467"/>
      <c r="P6" s="467"/>
      <c r="Q6" s="467"/>
      <c r="R6" s="467"/>
      <c r="S6" s="467"/>
    </row>
    <row r="7" spans="1:19">
      <c r="A7" s="475" t="s">
        <v>264</v>
      </c>
      <c r="B7" s="476">
        <v>242585</v>
      </c>
      <c r="C7" s="477"/>
      <c r="D7" s="474"/>
      <c r="E7" s="478">
        <v>242585</v>
      </c>
      <c r="F7" s="478"/>
      <c r="G7" s="478"/>
      <c r="H7" s="470"/>
      <c r="I7" s="467"/>
      <c r="J7" s="467"/>
      <c r="K7" s="467"/>
      <c r="L7" s="467"/>
      <c r="M7" s="467"/>
      <c r="N7" s="467"/>
      <c r="O7" s="467"/>
      <c r="P7" s="467"/>
      <c r="Q7" s="467"/>
      <c r="R7" s="467"/>
      <c r="S7" s="467"/>
    </row>
    <row r="8" spans="1:19">
      <c r="A8" s="479"/>
      <c r="B8" s="480"/>
      <c r="C8" s="480"/>
      <c r="D8" s="480"/>
      <c r="E8" s="474"/>
      <c r="F8" s="474"/>
      <c r="G8" s="474"/>
      <c r="H8" s="470"/>
      <c r="I8" s="467"/>
      <c r="J8" s="467"/>
      <c r="K8" s="467"/>
      <c r="L8" s="467"/>
      <c r="M8" s="467"/>
      <c r="N8" s="467"/>
      <c r="O8" s="467"/>
      <c r="P8" s="467"/>
      <c r="Q8" s="467"/>
      <c r="R8" s="467"/>
      <c r="S8" s="467"/>
    </row>
    <row r="9" spans="1:19">
      <c r="A9" s="481" t="s">
        <v>265</v>
      </c>
      <c r="B9" s="477"/>
      <c r="C9" s="476">
        <v>13399662</v>
      </c>
      <c r="D9" s="474"/>
      <c r="E9" s="478">
        <v>13399662</v>
      </c>
      <c r="F9" s="478"/>
      <c r="G9" s="478"/>
      <c r="H9" s="470"/>
      <c r="I9" s="467"/>
      <c r="J9" s="467"/>
      <c r="K9" s="467"/>
      <c r="L9" s="467"/>
      <c r="M9" s="467"/>
      <c r="N9" s="467"/>
      <c r="O9" s="467"/>
      <c r="P9" s="467"/>
      <c r="Q9" s="467"/>
      <c r="R9" s="467"/>
      <c r="S9" s="467"/>
    </row>
    <row r="10" spans="1:19">
      <c r="A10" s="479"/>
      <c r="B10" s="480"/>
      <c r="C10" s="480"/>
      <c r="D10" s="480"/>
      <c r="E10" s="474"/>
      <c r="F10" s="474"/>
      <c r="G10" s="474"/>
      <c r="H10" s="470"/>
      <c r="I10" s="467"/>
      <c r="J10" s="467"/>
      <c r="K10" s="467"/>
      <c r="L10" s="467"/>
      <c r="M10" s="467"/>
      <c r="N10" s="467"/>
      <c r="O10" s="467"/>
      <c r="P10" s="467"/>
      <c r="Q10" s="467"/>
      <c r="R10" s="467"/>
      <c r="S10" s="467"/>
    </row>
    <row r="11" spans="1:19">
      <c r="A11" s="481" t="s">
        <v>266</v>
      </c>
      <c r="B11" s="477"/>
      <c r="C11" s="477"/>
      <c r="D11" s="476">
        <v>21590949</v>
      </c>
      <c r="E11" s="478">
        <v>21590949</v>
      </c>
      <c r="F11" s="478"/>
      <c r="G11" s="478"/>
      <c r="H11" s="470"/>
      <c r="I11" s="467"/>
      <c r="J11" s="467"/>
      <c r="K11" s="467"/>
      <c r="L11" s="467"/>
      <c r="M11" s="467"/>
      <c r="N11" s="467"/>
      <c r="O11" s="467"/>
      <c r="P11" s="467"/>
      <c r="Q11" s="467"/>
      <c r="R11" s="467"/>
      <c r="S11" s="467"/>
    </row>
    <row r="12" spans="1:19">
      <c r="A12" s="479"/>
      <c r="B12" s="474"/>
      <c r="C12" s="474"/>
      <c r="D12" s="474"/>
      <c r="E12" s="474"/>
      <c r="F12" s="474"/>
      <c r="G12" s="474"/>
      <c r="H12" s="470"/>
      <c r="I12" s="467"/>
      <c r="J12" s="467"/>
      <c r="K12" s="467"/>
      <c r="L12" s="467"/>
      <c r="M12" s="467"/>
      <c r="N12" s="467"/>
      <c r="O12" s="467"/>
      <c r="P12" s="467"/>
      <c r="Q12" s="467"/>
      <c r="R12" s="467"/>
      <c r="S12" s="467"/>
    </row>
    <row r="13" spans="1:19">
      <c r="A13" s="481" t="s">
        <v>259</v>
      </c>
      <c r="B13" s="476">
        <v>242585</v>
      </c>
      <c r="C13" s="476">
        <v>13399662</v>
      </c>
      <c r="D13" s="476">
        <v>35233196</v>
      </c>
      <c r="E13" s="482">
        <v>35233196</v>
      </c>
      <c r="F13" s="482"/>
      <c r="G13" s="482"/>
      <c r="H13" s="470"/>
      <c r="I13" s="467"/>
      <c r="J13" s="467"/>
      <c r="K13" s="467"/>
      <c r="L13" s="467"/>
      <c r="M13" s="467"/>
      <c r="N13" s="467"/>
      <c r="O13" s="467"/>
      <c r="P13" s="467"/>
      <c r="Q13" s="467"/>
      <c r="R13" s="467"/>
      <c r="S13" s="467"/>
    </row>
    <row r="14" spans="1:19">
      <c r="A14" s="483" t="s">
        <v>267</v>
      </c>
      <c r="B14" s="474"/>
      <c r="C14" s="474"/>
      <c r="D14" s="474"/>
      <c r="E14" s="474"/>
      <c r="F14" s="474"/>
      <c r="G14" s="474"/>
      <c r="H14" s="470"/>
      <c r="I14" s="467"/>
      <c r="J14" s="467"/>
      <c r="K14" s="467"/>
      <c r="L14" s="467"/>
      <c r="M14" s="467"/>
      <c r="N14" s="467"/>
      <c r="O14" s="467"/>
      <c r="P14" s="467"/>
      <c r="Q14" s="467"/>
      <c r="R14" s="467"/>
      <c r="S14" s="467"/>
    </row>
    <row r="15" spans="1:19">
      <c r="A15" s="484" t="s">
        <v>204</v>
      </c>
      <c r="B15" s="476">
        <v>242585</v>
      </c>
      <c r="C15" s="476"/>
      <c r="D15" s="476"/>
      <c r="E15" s="485">
        <v>242585</v>
      </c>
      <c r="F15" s="485"/>
      <c r="G15" s="485"/>
      <c r="H15" s="470"/>
      <c r="I15" s="467"/>
      <c r="J15" s="467"/>
      <c r="K15" s="467"/>
      <c r="L15" s="467"/>
      <c r="M15" s="467"/>
      <c r="N15" s="467"/>
      <c r="O15" s="467"/>
      <c r="P15" s="467"/>
      <c r="Q15" s="467"/>
      <c r="R15" s="467"/>
      <c r="S15" s="467"/>
    </row>
    <row r="16" spans="1:19">
      <c r="A16" s="484" t="s">
        <v>205</v>
      </c>
      <c r="B16" s="476"/>
      <c r="C16" s="476">
        <v>587345</v>
      </c>
      <c r="D16" s="476"/>
      <c r="E16" s="485">
        <v>587345</v>
      </c>
      <c r="F16" s="485"/>
      <c r="G16" s="485"/>
      <c r="H16" s="470"/>
    </row>
    <row r="17" spans="1:8">
      <c r="A17" s="484" t="s">
        <v>206</v>
      </c>
      <c r="B17" s="476"/>
      <c r="C17" s="476">
        <v>500000</v>
      </c>
      <c r="D17" s="476"/>
      <c r="E17" s="485">
        <v>500000</v>
      </c>
      <c r="F17" s="485"/>
      <c r="G17" s="485"/>
      <c r="H17" s="470"/>
    </row>
    <row r="18" spans="1:8">
      <c r="A18" s="484" t="s">
        <v>207</v>
      </c>
      <c r="B18" s="476"/>
      <c r="C18" s="476">
        <v>20000</v>
      </c>
      <c r="D18" s="476"/>
      <c r="E18" s="485">
        <v>20000</v>
      </c>
      <c r="F18" s="485"/>
      <c r="G18" s="485"/>
      <c r="H18" s="470"/>
    </row>
    <row r="19" spans="1:8">
      <c r="A19" s="484" t="s">
        <v>208</v>
      </c>
      <c r="B19" s="476"/>
      <c r="C19" s="476"/>
      <c r="D19" s="476">
        <v>8922748</v>
      </c>
      <c r="E19" s="485">
        <v>8922748</v>
      </c>
      <c r="F19" s="485"/>
      <c r="G19" s="485"/>
      <c r="H19" s="470"/>
    </row>
    <row r="20" spans="1:8">
      <c r="A20" s="484" t="s">
        <v>209</v>
      </c>
      <c r="B20" s="476"/>
      <c r="C20" s="476"/>
      <c r="D20" s="476">
        <v>1126343</v>
      </c>
      <c r="E20" s="485">
        <v>1126343</v>
      </c>
      <c r="F20" s="485"/>
      <c r="G20" s="485"/>
      <c r="H20" s="470"/>
    </row>
    <row r="21" spans="1:8">
      <c r="A21" s="484" t="s">
        <v>97</v>
      </c>
      <c r="B21" s="476"/>
      <c r="C21" s="476"/>
      <c r="D21" s="476">
        <v>557239</v>
      </c>
      <c r="E21" s="485">
        <v>557239</v>
      </c>
      <c r="F21" s="485"/>
      <c r="G21" s="485"/>
      <c r="H21" s="470"/>
    </row>
    <row r="22" spans="1:8">
      <c r="A22" s="484" t="s">
        <v>210</v>
      </c>
      <c r="B22" s="476"/>
      <c r="C22" s="476"/>
      <c r="D22" s="476">
        <v>450000</v>
      </c>
      <c r="E22" s="485">
        <v>450000</v>
      </c>
      <c r="F22" s="485"/>
      <c r="G22" s="485"/>
      <c r="H22" s="470"/>
    </row>
    <row r="23" spans="1:8">
      <c r="A23" s="484" t="s">
        <v>211</v>
      </c>
      <c r="B23" s="476"/>
      <c r="C23" s="476"/>
      <c r="D23" s="476">
        <v>254920</v>
      </c>
      <c r="E23" s="485">
        <v>254920</v>
      </c>
      <c r="F23" s="485"/>
      <c r="G23" s="485"/>
      <c r="H23" s="470"/>
    </row>
    <row r="24" spans="1:8">
      <c r="A24" s="484" t="s">
        <v>268</v>
      </c>
      <c r="B24" s="476">
        <v>242585</v>
      </c>
      <c r="C24" s="476">
        <v>1107345</v>
      </c>
      <c r="D24" s="476">
        <v>11311250</v>
      </c>
      <c r="E24" s="485">
        <v>12661180</v>
      </c>
      <c r="F24" s="485"/>
      <c r="G24" s="485"/>
      <c r="H24" s="470"/>
    </row>
    <row r="25" spans="1:8" ht="31.5">
      <c r="A25" s="486"/>
      <c r="B25" s="474"/>
      <c r="C25" s="474"/>
      <c r="D25" s="487" t="s">
        <v>269</v>
      </c>
      <c r="E25" s="488">
        <v>12665707</v>
      </c>
      <c r="F25" s="488">
        <v>-4527</v>
      </c>
      <c r="G25" s="488">
        <v>12661180</v>
      </c>
      <c r="H25" s="470"/>
    </row>
    <row r="26" spans="1:8">
      <c r="A26" s="483" t="s">
        <v>270</v>
      </c>
      <c r="B26" s="476"/>
      <c r="C26" s="476"/>
      <c r="D26" s="476"/>
      <c r="E26" s="485"/>
      <c r="F26" s="485"/>
      <c r="G26" s="485"/>
      <c r="H26" s="470"/>
    </row>
    <row r="27" spans="1:8">
      <c r="A27" s="484" t="s">
        <v>212</v>
      </c>
      <c r="B27" s="476"/>
      <c r="C27" s="476"/>
      <c r="D27" s="476">
        <v>1236</v>
      </c>
      <c r="E27" s="485">
        <v>1236</v>
      </c>
      <c r="F27" s="485"/>
      <c r="G27" s="485">
        <v>2472</v>
      </c>
      <c r="H27" s="470"/>
    </row>
    <row r="28" spans="1:8">
      <c r="A28" s="484" t="s">
        <v>213</v>
      </c>
      <c r="B28" s="476"/>
      <c r="C28" s="476"/>
      <c r="D28" s="476">
        <v>750000</v>
      </c>
      <c r="E28" s="485">
        <v>750000</v>
      </c>
      <c r="F28" s="485"/>
      <c r="G28" s="485">
        <v>1500000</v>
      </c>
      <c r="H28" s="470"/>
    </row>
    <row r="29" spans="1:8">
      <c r="A29" s="483"/>
      <c r="B29" s="476"/>
      <c r="C29" s="476"/>
      <c r="D29" s="476">
        <v>751236</v>
      </c>
      <c r="E29" s="476">
        <v>751236</v>
      </c>
      <c r="F29" s="485"/>
      <c r="G29" s="476">
        <v>1502472</v>
      </c>
      <c r="H29" s="470"/>
    </row>
    <row r="30" spans="1:8" ht="31.5">
      <c r="A30" s="479"/>
      <c r="B30" s="474"/>
      <c r="C30" s="474"/>
      <c r="D30" s="487" t="s">
        <v>269</v>
      </c>
      <c r="E30" s="488">
        <v>751236</v>
      </c>
      <c r="F30" s="488"/>
      <c r="G30" s="488">
        <v>751236</v>
      </c>
      <c r="H30" s="470"/>
    </row>
    <row r="31" spans="1:8">
      <c r="A31" s="489" t="s">
        <v>271</v>
      </c>
      <c r="B31" s="474"/>
      <c r="C31" s="474"/>
      <c r="D31" s="474"/>
      <c r="E31" s="474"/>
      <c r="F31" s="474"/>
      <c r="G31" s="474"/>
      <c r="H31" s="470"/>
    </row>
    <row r="32" spans="1:8">
      <c r="A32" s="490" t="s">
        <v>130</v>
      </c>
      <c r="B32" s="485"/>
      <c r="C32" s="485">
        <v>177500</v>
      </c>
      <c r="D32" s="485"/>
      <c r="E32" s="485">
        <v>177500</v>
      </c>
      <c r="F32" s="485">
        <v>65000</v>
      </c>
      <c r="G32" s="485">
        <v>242500</v>
      </c>
      <c r="H32" s="470"/>
    </row>
    <row r="33" spans="1:8">
      <c r="A33" s="489"/>
      <c r="B33" s="485"/>
      <c r="C33" s="485"/>
      <c r="D33" s="485"/>
      <c r="E33" s="485"/>
      <c r="F33" s="485"/>
      <c r="G33" s="485"/>
      <c r="H33" s="470"/>
    </row>
    <row r="34" spans="1:8" ht="31.5">
      <c r="A34" s="479"/>
      <c r="B34" s="474"/>
      <c r="C34" s="474"/>
      <c r="D34" s="487" t="s">
        <v>269</v>
      </c>
      <c r="E34" s="476">
        <v>177500</v>
      </c>
      <c r="F34" s="476">
        <v>65000</v>
      </c>
      <c r="G34" s="485">
        <v>242500</v>
      </c>
      <c r="H34" s="470"/>
    </row>
    <row r="35" spans="1:8">
      <c r="A35" s="489" t="s">
        <v>272</v>
      </c>
      <c r="B35" s="474"/>
      <c r="C35" s="474"/>
      <c r="D35" s="474"/>
      <c r="E35" s="474"/>
      <c r="F35" s="474"/>
      <c r="G35" s="474"/>
      <c r="H35" s="470"/>
    </row>
    <row r="36" spans="1:8">
      <c r="A36" s="490" t="s">
        <v>273</v>
      </c>
      <c r="B36" s="474"/>
      <c r="C36" s="474"/>
      <c r="D36" s="476">
        <v>9588936</v>
      </c>
      <c r="E36" s="476">
        <v>9588936</v>
      </c>
      <c r="F36" s="476">
        <v>-60473</v>
      </c>
      <c r="G36" s="485">
        <v>9528463</v>
      </c>
      <c r="H36" s="470"/>
    </row>
    <row r="37" spans="1:8">
      <c r="A37" s="489"/>
      <c r="B37" s="474"/>
      <c r="C37" s="474"/>
      <c r="D37" s="476"/>
      <c r="E37" s="476"/>
      <c r="F37" s="476"/>
      <c r="G37" s="476"/>
      <c r="H37" s="470"/>
    </row>
    <row r="38" spans="1:8" ht="31.5">
      <c r="A38" s="479"/>
      <c r="B38" s="474"/>
      <c r="C38" s="474"/>
      <c r="D38" s="487" t="s">
        <v>269</v>
      </c>
      <c r="E38" s="476">
        <v>9588936</v>
      </c>
      <c r="F38" s="476">
        <v>-60473</v>
      </c>
      <c r="G38" s="485">
        <v>9528463</v>
      </c>
      <c r="H38" s="470"/>
    </row>
    <row r="39" spans="1:8">
      <c r="A39" s="489" t="s">
        <v>274</v>
      </c>
      <c r="B39" s="474"/>
      <c r="C39" s="474"/>
      <c r="D39" s="474"/>
      <c r="E39" s="474"/>
      <c r="F39" s="474"/>
      <c r="G39" s="474"/>
      <c r="H39" s="470"/>
    </row>
    <row r="40" spans="1:8">
      <c r="A40" s="490" t="s">
        <v>171</v>
      </c>
      <c r="B40" s="476"/>
      <c r="C40" s="476">
        <v>12049817</v>
      </c>
      <c r="D40" s="476"/>
      <c r="E40" s="476">
        <v>12049817</v>
      </c>
      <c r="F40" s="476"/>
      <c r="G40" s="476">
        <v>12049817</v>
      </c>
      <c r="H40" s="470"/>
    </row>
    <row r="41" spans="1:8">
      <c r="A41" s="489"/>
      <c r="B41" s="476"/>
      <c r="C41" s="476"/>
      <c r="D41" s="476"/>
      <c r="E41" s="476"/>
      <c r="F41" s="476"/>
      <c r="G41" s="476"/>
      <c r="H41" s="470"/>
    </row>
    <row r="42" spans="1:8" ht="31.5">
      <c r="A42" s="491"/>
      <c r="B42" s="487"/>
      <c r="C42" s="487"/>
      <c r="D42" s="487" t="s">
        <v>269</v>
      </c>
      <c r="E42" s="476">
        <v>12049817</v>
      </c>
      <c r="F42" s="476"/>
      <c r="G42" s="476">
        <v>12049817</v>
      </c>
      <c r="H42" s="470"/>
    </row>
    <row r="43" spans="1:8" ht="31.5">
      <c r="A43" s="493" t="s">
        <v>275</v>
      </c>
      <c r="B43" s="492">
        <v>242585</v>
      </c>
      <c r="C43" s="492">
        <v>13334662</v>
      </c>
      <c r="D43" s="492">
        <v>21651422</v>
      </c>
      <c r="E43" s="492">
        <v>35233196</v>
      </c>
      <c r="F43" s="492">
        <v>0</v>
      </c>
      <c r="G43" s="492">
        <v>35233196</v>
      </c>
      <c r="H43" s="468"/>
    </row>
  </sheetData>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M24"/>
  <sheetViews>
    <sheetView workbookViewId="0">
      <selection activeCell="L7" sqref="L7:L8"/>
    </sheetView>
  </sheetViews>
  <sheetFormatPr defaultRowHeight="15.75"/>
  <cols>
    <col min="1" max="1" width="20.5" bestFit="1" customWidth="1"/>
    <col min="2" max="11" width="12.125" bestFit="1" customWidth="1"/>
    <col min="12" max="12" width="12.75" bestFit="1" customWidth="1"/>
    <col min="13" max="13" width="9.625" bestFit="1" customWidth="1"/>
  </cols>
  <sheetData>
    <row r="3" spans="1:13" ht="26.25">
      <c r="A3" s="192"/>
      <c r="B3" s="129">
        <v>2009</v>
      </c>
      <c r="C3" s="129">
        <v>2010</v>
      </c>
      <c r="D3" s="130">
        <v>2011</v>
      </c>
      <c r="E3" s="131">
        <v>2012</v>
      </c>
      <c r="F3" s="129">
        <v>2013</v>
      </c>
      <c r="G3" s="129">
        <v>2014</v>
      </c>
      <c r="H3" s="129">
        <v>2015</v>
      </c>
      <c r="I3" s="135">
        <v>2016</v>
      </c>
      <c r="J3" s="136">
        <v>2017</v>
      </c>
      <c r="K3" s="136">
        <v>2018</v>
      </c>
      <c r="L3" s="136">
        <v>2019</v>
      </c>
    </row>
    <row r="4" spans="1:13" ht="26.25">
      <c r="A4" s="192"/>
      <c r="B4" s="164"/>
      <c r="C4" s="164"/>
      <c r="D4" s="164"/>
      <c r="E4" s="165"/>
      <c r="F4" s="166"/>
      <c r="G4" s="164"/>
      <c r="H4" s="164"/>
      <c r="I4" s="164"/>
      <c r="J4" s="194"/>
      <c r="K4" s="189"/>
      <c r="L4" s="189"/>
    </row>
    <row r="5" spans="1:13" ht="26.25">
      <c r="A5" s="192"/>
      <c r="B5" s="164"/>
      <c r="C5" s="164"/>
      <c r="D5" s="164"/>
      <c r="E5" s="165"/>
      <c r="F5" s="166"/>
      <c r="G5" s="164"/>
      <c r="H5" s="164"/>
      <c r="I5" s="164"/>
      <c r="J5" s="194"/>
      <c r="K5" s="189"/>
      <c r="L5" s="189"/>
    </row>
    <row r="6" spans="1:13">
      <c r="A6" s="10" t="s">
        <v>100</v>
      </c>
      <c r="B6" s="27">
        <v>0</v>
      </c>
      <c r="C6" s="27"/>
      <c r="D6" s="27">
        <v>0</v>
      </c>
      <c r="E6" s="27">
        <v>0</v>
      </c>
      <c r="F6" s="27">
        <v>0</v>
      </c>
      <c r="G6" s="27">
        <v>0</v>
      </c>
      <c r="H6" s="27">
        <v>0</v>
      </c>
      <c r="I6" s="27">
        <f>89876681-61009725</f>
        <v>28866956</v>
      </c>
      <c r="J6" s="27">
        <f>122074195-51447244</f>
        <v>70626951</v>
      </c>
      <c r="K6" s="27">
        <f>149202689-76801049</f>
        <v>72401640</v>
      </c>
      <c r="L6" s="27">
        <f>100177509-16437748</f>
        <v>83739761</v>
      </c>
    </row>
    <row r="7" spans="1:13">
      <c r="A7" s="96" t="s">
        <v>93</v>
      </c>
      <c r="L7" s="27"/>
    </row>
    <row r="8" spans="1:13">
      <c r="A8" s="94" t="s">
        <v>101</v>
      </c>
      <c r="L8" s="27"/>
      <c r="M8" s="140">
        <f>SUM(L7:L8)</f>
        <v>0</v>
      </c>
    </row>
    <row r="9" spans="1:13">
      <c r="A9" s="73" t="s">
        <v>83</v>
      </c>
      <c r="I9" s="27">
        <f>40325725-25682356</f>
        <v>14643369</v>
      </c>
      <c r="J9" s="27">
        <f>34957141-34016037</f>
        <v>941104</v>
      </c>
      <c r="K9" s="27">
        <f>64061425-62471046</f>
        <v>1590379</v>
      </c>
      <c r="L9" s="27">
        <f>45527603-44697333</f>
        <v>830270</v>
      </c>
    </row>
    <row r="11" spans="1:13">
      <c r="F11" s="206"/>
      <c r="G11" s="206"/>
      <c r="H11" s="19"/>
      <c r="I11" s="19"/>
      <c r="J11" s="207"/>
      <c r="K11" s="207"/>
      <c r="L11" s="207"/>
    </row>
    <row r="12" spans="1:13">
      <c r="F12" s="19"/>
      <c r="G12" s="206"/>
      <c r="H12" s="19"/>
      <c r="I12" s="19"/>
      <c r="J12" s="207"/>
      <c r="K12" s="207"/>
      <c r="L12" s="207"/>
    </row>
    <row r="13" spans="1:13">
      <c r="A13" t="s">
        <v>221</v>
      </c>
      <c r="F13" s="19"/>
      <c r="G13" s="206"/>
      <c r="H13" s="19"/>
      <c r="I13" s="19"/>
      <c r="J13" s="207">
        <v>548429</v>
      </c>
      <c r="K13" s="207">
        <v>1588655</v>
      </c>
      <c r="L13" s="207">
        <v>830270</v>
      </c>
    </row>
    <row r="14" spans="1:13">
      <c r="A14" t="s">
        <v>218</v>
      </c>
      <c r="F14" s="19"/>
      <c r="G14" s="206"/>
      <c r="H14" s="19"/>
      <c r="I14" s="19"/>
      <c r="J14" s="207">
        <v>0</v>
      </c>
      <c r="K14" s="207">
        <v>771990</v>
      </c>
      <c r="L14" s="207">
        <v>271099</v>
      </c>
    </row>
    <row r="15" spans="1:13">
      <c r="F15" s="19"/>
      <c r="G15" s="206"/>
      <c r="H15" s="19"/>
      <c r="I15" s="19"/>
      <c r="J15" s="207"/>
      <c r="K15" s="207"/>
      <c r="L15" s="207"/>
    </row>
    <row r="16" spans="1:13">
      <c r="F16" s="19"/>
      <c r="G16" s="206"/>
      <c r="H16" s="19"/>
      <c r="I16" s="19"/>
      <c r="J16" s="207"/>
      <c r="K16" s="207"/>
      <c r="L16" s="207"/>
    </row>
    <row r="17" spans="6:12">
      <c r="F17" s="19"/>
      <c r="G17" s="206"/>
      <c r="H17" s="19"/>
      <c r="I17" s="19"/>
      <c r="J17" s="207"/>
      <c r="K17" s="207"/>
      <c r="L17" s="207"/>
    </row>
    <row r="18" spans="6:12">
      <c r="F18" s="19"/>
      <c r="G18" s="206"/>
      <c r="H18" s="19"/>
      <c r="I18" s="19"/>
      <c r="J18" s="207">
        <v>0</v>
      </c>
      <c r="K18" s="207">
        <v>0</v>
      </c>
      <c r="L18" s="207">
        <v>0</v>
      </c>
    </row>
    <row r="19" spans="6:12">
      <c r="F19" s="19"/>
      <c r="G19" s="206"/>
      <c r="H19" s="19"/>
      <c r="I19" s="19"/>
      <c r="J19" s="207">
        <v>0</v>
      </c>
      <c r="K19" s="207">
        <v>0</v>
      </c>
      <c r="L19" s="207">
        <v>0</v>
      </c>
    </row>
    <row r="20" spans="6:12">
      <c r="F20" s="19"/>
      <c r="G20" s="206"/>
      <c r="H20" s="19"/>
      <c r="I20" s="19"/>
      <c r="J20" s="207"/>
      <c r="K20" s="207"/>
      <c r="L20" s="207"/>
    </row>
    <row r="21" spans="6:12">
      <c r="F21" s="19"/>
      <c r="G21" s="206"/>
      <c r="H21" s="19"/>
      <c r="I21" s="19"/>
      <c r="J21" s="207"/>
      <c r="K21" s="207"/>
      <c r="L21" s="207"/>
    </row>
    <row r="22" spans="6:12">
      <c r="F22" s="19"/>
      <c r="G22" s="206"/>
      <c r="H22" s="19"/>
      <c r="I22" s="19"/>
      <c r="J22" s="207"/>
      <c r="K22" s="19"/>
      <c r="L22" s="207"/>
    </row>
    <row r="23" spans="6:12">
      <c r="F23" s="19"/>
      <c r="G23" s="225"/>
      <c r="H23" s="225"/>
      <c r="I23" s="225"/>
      <c r="J23" s="226"/>
      <c r="K23" s="226"/>
      <c r="L23" s="226"/>
    </row>
    <row r="24" spans="6:12">
      <c r="J24" s="140"/>
    </row>
  </sheetData>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66FF"/>
    <pageSetUpPr fitToPage="1"/>
  </sheetPr>
  <dimension ref="A1:N167"/>
  <sheetViews>
    <sheetView workbookViewId="0">
      <selection activeCell="E9" sqref="E9:L13"/>
    </sheetView>
  </sheetViews>
  <sheetFormatPr defaultColWidth="11" defaultRowHeight="15.75"/>
  <cols>
    <col min="1" max="1" width="33.375" customWidth="1"/>
    <col min="2" max="2" width="15.125" bestFit="1" customWidth="1"/>
    <col min="3" max="9" width="12.5" bestFit="1" customWidth="1"/>
    <col min="10" max="12" width="13.875" customWidth="1"/>
    <col min="13" max="13" width="11" style="190"/>
  </cols>
  <sheetData>
    <row r="1" spans="1:14" ht="18.75">
      <c r="J1" s="494" t="s">
        <v>68</v>
      </c>
      <c r="K1" s="494"/>
      <c r="L1" s="494"/>
    </row>
    <row r="2" spans="1:14">
      <c r="A2" s="2"/>
      <c r="B2" s="2">
        <v>2008</v>
      </c>
      <c r="C2" s="2">
        <v>2009</v>
      </c>
      <c r="D2" s="2">
        <v>2010</v>
      </c>
      <c r="E2" s="2">
        <v>2011</v>
      </c>
      <c r="F2" s="2">
        <v>2012</v>
      </c>
      <c r="G2" s="2">
        <v>2013</v>
      </c>
      <c r="H2" s="2">
        <v>2014</v>
      </c>
      <c r="I2" s="2">
        <v>2015</v>
      </c>
      <c r="J2" s="21">
        <v>2016</v>
      </c>
      <c r="K2" s="21">
        <v>2017</v>
      </c>
      <c r="L2" s="21">
        <v>2018</v>
      </c>
    </row>
    <row r="3" spans="1:14">
      <c r="A3" s="2"/>
      <c r="B3" s="19"/>
      <c r="C3" s="19"/>
      <c r="D3" s="19"/>
      <c r="E3" s="19"/>
      <c r="F3" s="19"/>
      <c r="G3" s="19"/>
      <c r="H3" s="19"/>
      <c r="I3" s="19"/>
      <c r="J3" s="82" t="s">
        <v>61</v>
      </c>
      <c r="K3" s="82" t="s">
        <v>61</v>
      </c>
      <c r="L3" s="82" t="s">
        <v>61</v>
      </c>
    </row>
    <row r="4" spans="1:14">
      <c r="A4" s="2"/>
      <c r="B4" s="31"/>
      <c r="C4" s="31"/>
      <c r="D4" s="31"/>
      <c r="E4" s="31"/>
      <c r="F4" s="31"/>
      <c r="G4" s="31"/>
      <c r="H4" s="31"/>
      <c r="I4" s="31"/>
      <c r="J4" s="30" t="s">
        <v>57</v>
      </c>
      <c r="K4" s="30" t="s">
        <v>202</v>
      </c>
      <c r="L4" s="30" t="s">
        <v>58</v>
      </c>
    </row>
    <row r="5" spans="1:14">
      <c r="A5" s="10" t="s">
        <v>45</v>
      </c>
      <c r="B5" s="32" t="s">
        <v>114</v>
      </c>
      <c r="C5" s="32" t="s">
        <v>114</v>
      </c>
      <c r="D5" s="32" t="s">
        <v>114</v>
      </c>
      <c r="E5" s="32" t="s">
        <v>114</v>
      </c>
      <c r="F5" s="32" t="s">
        <v>114</v>
      </c>
      <c r="G5" s="32" t="s">
        <v>114</v>
      </c>
      <c r="H5" s="32" t="s">
        <v>114</v>
      </c>
      <c r="I5" s="32" t="s">
        <v>114</v>
      </c>
      <c r="J5" s="32" t="s">
        <v>114</v>
      </c>
      <c r="K5" s="32" t="s">
        <v>114</v>
      </c>
      <c r="L5" s="32" t="s">
        <v>114</v>
      </c>
      <c r="M5" s="195"/>
      <c r="N5" s="2"/>
    </row>
    <row r="6" spans="1:14">
      <c r="A6" s="2"/>
      <c r="B6" s="31"/>
      <c r="C6" s="31"/>
      <c r="D6" s="31"/>
      <c r="E6" s="31"/>
      <c r="F6" s="31"/>
      <c r="G6" s="32"/>
      <c r="H6" s="31"/>
      <c r="I6" s="31"/>
      <c r="J6" s="31"/>
      <c r="K6" s="31"/>
      <c r="L6" s="31"/>
      <c r="M6" s="195"/>
      <c r="N6" s="2"/>
    </row>
    <row r="7" spans="1:14" ht="18.75">
      <c r="A7" s="93" t="s">
        <v>98</v>
      </c>
      <c r="B7" s="31"/>
      <c r="C7" s="31"/>
      <c r="D7" s="31"/>
      <c r="E7" s="31"/>
      <c r="F7" s="31"/>
      <c r="G7" s="31"/>
      <c r="H7" s="31"/>
      <c r="I7" s="31"/>
      <c r="J7" s="31"/>
      <c r="K7" s="31"/>
      <c r="L7" s="31"/>
      <c r="M7" s="195"/>
      <c r="N7" s="2"/>
    </row>
    <row r="8" spans="1:14">
      <c r="A8" s="2"/>
      <c r="B8" s="31"/>
      <c r="C8" s="31"/>
      <c r="D8" s="31"/>
      <c r="E8" s="31"/>
      <c r="F8" s="31"/>
      <c r="G8" s="31"/>
      <c r="H8" s="31"/>
      <c r="I8" s="31"/>
      <c r="J8" s="31"/>
      <c r="K8" s="31"/>
      <c r="L8" s="31"/>
      <c r="M8" s="195"/>
      <c r="N8" s="2"/>
    </row>
    <row r="9" spans="1:14">
      <c r="A9" s="10" t="s">
        <v>100</v>
      </c>
      <c r="B9" s="32"/>
      <c r="C9" s="32"/>
      <c r="D9" s="32"/>
      <c r="E9" s="32"/>
      <c r="F9" s="32"/>
      <c r="G9" s="32"/>
      <c r="H9" s="32"/>
      <c r="I9" s="32"/>
      <c r="J9" s="32"/>
      <c r="K9" s="32"/>
      <c r="L9" s="32"/>
      <c r="M9" s="174"/>
      <c r="N9" s="3"/>
    </row>
    <row r="10" spans="1:14">
      <c r="A10" s="96" t="s">
        <v>93</v>
      </c>
      <c r="B10" s="32"/>
      <c r="C10" s="32"/>
      <c r="D10" s="32"/>
      <c r="E10" s="32"/>
      <c r="F10" s="32"/>
      <c r="G10" s="32"/>
      <c r="H10" s="32"/>
      <c r="I10" s="32"/>
      <c r="J10" s="32"/>
      <c r="K10" s="32"/>
      <c r="L10" s="32"/>
      <c r="M10" s="174"/>
      <c r="N10" s="3"/>
    </row>
    <row r="11" spans="1:14">
      <c r="A11" s="94" t="s">
        <v>101</v>
      </c>
      <c r="B11" s="32"/>
      <c r="C11" s="32"/>
      <c r="D11" s="32"/>
      <c r="E11" s="32"/>
      <c r="F11" s="32"/>
      <c r="G11" s="32"/>
      <c r="H11" s="32"/>
      <c r="I11" s="32"/>
      <c r="J11" s="32"/>
      <c r="K11" s="32"/>
      <c r="L11" s="32"/>
      <c r="M11" s="174"/>
      <c r="N11" s="3"/>
    </row>
    <row r="12" spans="1:14">
      <c r="A12" s="73" t="s">
        <v>83</v>
      </c>
      <c r="B12" s="32"/>
      <c r="C12" s="32"/>
      <c r="D12" s="32"/>
      <c r="E12" s="32"/>
      <c r="F12" s="32"/>
      <c r="G12" s="32"/>
      <c r="H12" s="32"/>
      <c r="I12" s="32"/>
      <c r="J12" s="32"/>
      <c r="K12" s="32"/>
      <c r="L12" s="32"/>
      <c r="M12" s="174"/>
      <c r="N12" s="3"/>
    </row>
    <row r="13" spans="1:14" ht="16.5" thickBot="1">
      <c r="A13" s="39"/>
      <c r="B13" s="125"/>
      <c r="C13" s="125"/>
      <c r="D13" s="125"/>
      <c r="E13" s="125"/>
      <c r="F13" s="125"/>
      <c r="G13" s="125"/>
      <c r="H13" s="125"/>
      <c r="I13" s="125"/>
      <c r="J13" s="125"/>
      <c r="K13" s="125"/>
      <c r="L13" s="125"/>
      <c r="M13" s="195"/>
      <c r="N13" s="2"/>
    </row>
    <row r="14" spans="1:14">
      <c r="A14" s="95" t="s">
        <v>108</v>
      </c>
      <c r="B14" s="32" t="s">
        <v>114</v>
      </c>
      <c r="C14" s="32" t="s">
        <v>114</v>
      </c>
      <c r="D14" s="32" t="s">
        <v>114</v>
      </c>
      <c r="E14" s="32" t="s">
        <v>114</v>
      </c>
      <c r="F14" s="32" t="s">
        <v>114</v>
      </c>
      <c r="G14" s="32" t="s">
        <v>114</v>
      </c>
      <c r="H14" s="32" t="s">
        <v>114</v>
      </c>
      <c r="I14" s="32" t="s">
        <v>114</v>
      </c>
      <c r="J14" s="32" t="s">
        <v>114</v>
      </c>
      <c r="K14" s="32" t="s">
        <v>114</v>
      </c>
      <c r="L14" s="32" t="s">
        <v>114</v>
      </c>
      <c r="M14" s="195"/>
      <c r="N14" s="2"/>
    </row>
    <row r="15" spans="1:14">
      <c r="A15" s="2"/>
      <c r="B15" s="31"/>
      <c r="C15" s="31"/>
      <c r="D15" s="31"/>
      <c r="E15" s="31"/>
      <c r="F15" s="31"/>
      <c r="G15" s="31"/>
      <c r="H15" s="31"/>
      <c r="I15" s="31"/>
      <c r="J15" s="31"/>
      <c r="K15" s="31"/>
      <c r="L15" s="31"/>
      <c r="M15" s="195"/>
      <c r="N15" s="2"/>
    </row>
    <row r="16" spans="1:14" ht="18.75">
      <c r="A16" s="93" t="s">
        <v>73</v>
      </c>
      <c r="B16" s="1"/>
      <c r="C16" s="1"/>
      <c r="D16" s="1"/>
      <c r="E16" s="1"/>
      <c r="F16" s="1"/>
      <c r="G16" s="1"/>
      <c r="H16" s="1"/>
      <c r="I16" s="1"/>
      <c r="J16" s="1"/>
      <c r="K16" s="1"/>
      <c r="L16" s="1"/>
      <c r="M16" s="173"/>
      <c r="N16" s="1"/>
    </row>
    <row r="17" spans="1:14">
      <c r="A17" s="10" t="s">
        <v>100</v>
      </c>
      <c r="B17" s="1">
        <f t="shared" ref="B17:L17" si="0">+B37</f>
        <v>0</v>
      </c>
      <c r="C17" s="1">
        <f t="shared" si="0"/>
        <v>0</v>
      </c>
      <c r="D17" s="1">
        <f t="shared" si="0"/>
        <v>0</v>
      </c>
      <c r="E17" s="1">
        <f t="shared" si="0"/>
        <v>0</v>
      </c>
      <c r="F17" s="1">
        <f t="shared" si="0"/>
        <v>0</v>
      </c>
      <c r="G17" s="1">
        <f t="shared" si="0"/>
        <v>0</v>
      </c>
      <c r="H17" s="1"/>
      <c r="I17" s="1"/>
      <c r="J17" s="1">
        <f t="shared" si="0"/>
        <v>0</v>
      </c>
      <c r="K17" s="1">
        <f t="shared" si="0"/>
        <v>0</v>
      </c>
      <c r="L17" s="1">
        <f t="shared" si="0"/>
        <v>0</v>
      </c>
      <c r="M17" s="173"/>
      <c r="N17" s="1"/>
    </row>
    <row r="18" spans="1:14">
      <c r="A18" s="96" t="s">
        <v>93</v>
      </c>
      <c r="B18" s="1"/>
      <c r="C18" s="1"/>
      <c r="D18" s="1"/>
      <c r="E18" s="1"/>
      <c r="F18" s="1"/>
      <c r="G18" s="1"/>
      <c r="H18" s="1"/>
      <c r="I18" s="1"/>
      <c r="J18" s="1"/>
      <c r="K18" s="1"/>
      <c r="L18" s="1"/>
      <c r="M18" s="173"/>
      <c r="N18" s="1"/>
    </row>
    <row r="19" spans="1:14">
      <c r="A19" s="94" t="s">
        <v>101</v>
      </c>
      <c r="B19" s="1"/>
      <c r="C19" s="1"/>
      <c r="D19" s="1"/>
      <c r="E19" s="1"/>
      <c r="F19" s="1"/>
      <c r="G19" s="1"/>
      <c r="H19" s="1"/>
      <c r="I19" s="1"/>
      <c r="J19" s="1"/>
      <c r="K19" s="1"/>
      <c r="L19" s="1"/>
      <c r="M19" s="173"/>
      <c r="N19" s="1"/>
    </row>
    <row r="20" spans="1:14">
      <c r="A20" s="73" t="s">
        <v>83</v>
      </c>
      <c r="B20" s="1"/>
      <c r="C20" s="1"/>
      <c r="D20" s="1"/>
      <c r="E20" s="1"/>
      <c r="F20" s="1"/>
      <c r="G20" s="1"/>
      <c r="H20" s="1"/>
      <c r="I20" s="1"/>
      <c r="J20" s="1"/>
      <c r="K20" s="1"/>
      <c r="L20" s="1"/>
      <c r="M20" s="173"/>
      <c r="N20" s="1"/>
    </row>
    <row r="21" spans="1:14">
      <c r="A21" s="153" t="s">
        <v>157</v>
      </c>
      <c r="B21" s="1"/>
      <c r="C21" s="1"/>
      <c r="D21" s="1"/>
      <c r="E21" s="1"/>
      <c r="F21" s="1"/>
      <c r="G21" s="1"/>
      <c r="H21" s="1"/>
      <c r="I21" s="1"/>
      <c r="J21" s="1"/>
      <c r="K21" s="1"/>
      <c r="L21" s="1"/>
      <c r="M21" s="173"/>
      <c r="N21" s="1"/>
    </row>
    <row r="22" spans="1:14">
      <c r="A22" s="95" t="s">
        <v>119</v>
      </c>
      <c r="B22" s="1">
        <f t="shared" ref="B22:L22" si="1">SUM(B17:B21)</f>
        <v>0</v>
      </c>
      <c r="C22" s="1">
        <f t="shared" si="1"/>
        <v>0</v>
      </c>
      <c r="D22" s="1">
        <f t="shared" si="1"/>
        <v>0</v>
      </c>
      <c r="E22" s="1">
        <f t="shared" si="1"/>
        <v>0</v>
      </c>
      <c r="F22" s="1">
        <f t="shared" si="1"/>
        <v>0</v>
      </c>
      <c r="G22" s="1">
        <f t="shared" si="1"/>
        <v>0</v>
      </c>
      <c r="H22" s="1">
        <f t="shared" si="1"/>
        <v>0</v>
      </c>
      <c r="I22" s="1">
        <f t="shared" si="1"/>
        <v>0</v>
      </c>
      <c r="J22" s="1">
        <f t="shared" si="1"/>
        <v>0</v>
      </c>
      <c r="K22" s="1">
        <f t="shared" si="1"/>
        <v>0</v>
      </c>
      <c r="L22" s="1">
        <f t="shared" si="1"/>
        <v>0</v>
      </c>
      <c r="M22" s="173"/>
      <c r="N22" s="1"/>
    </row>
    <row r="23" spans="1:14">
      <c r="A23" s="190"/>
      <c r="B23" s="173"/>
      <c r="C23" s="173"/>
      <c r="D23" s="173"/>
      <c r="E23" s="173"/>
      <c r="F23" s="173"/>
      <c r="G23" s="173"/>
      <c r="H23" s="173"/>
      <c r="I23" s="173"/>
      <c r="J23" s="173"/>
      <c r="K23" s="173"/>
      <c r="L23" s="173"/>
      <c r="M23" s="173"/>
      <c r="N23" s="1"/>
    </row>
    <row r="24" spans="1:14" ht="18.75">
      <c r="A24" s="93"/>
      <c r="B24" s="1"/>
      <c r="C24" s="1"/>
      <c r="D24" s="1"/>
      <c r="E24" s="1"/>
      <c r="F24" s="1"/>
      <c r="G24" s="1"/>
      <c r="H24" s="1"/>
      <c r="I24" s="1"/>
      <c r="J24" s="1"/>
      <c r="K24" s="1"/>
      <c r="L24" s="1"/>
      <c r="M24" s="173"/>
      <c r="N24" s="1"/>
    </row>
    <row r="25" spans="1:14" ht="18.75">
      <c r="A25" s="93"/>
      <c r="B25" s="1"/>
      <c r="C25" s="1"/>
      <c r="D25" s="1"/>
      <c r="E25" s="1"/>
      <c r="F25" s="1"/>
      <c r="G25" s="1"/>
      <c r="H25" s="1"/>
      <c r="I25" s="1"/>
      <c r="J25" s="1"/>
      <c r="K25" s="1"/>
      <c r="L25" s="1"/>
      <c r="M25" s="173"/>
      <c r="N25" s="1"/>
    </row>
    <row r="26" spans="1:14" hidden="1">
      <c r="A26" s="10" t="s">
        <v>129</v>
      </c>
      <c r="B26" s="1"/>
      <c r="C26" s="1"/>
      <c r="D26" s="1"/>
      <c r="E26" s="1"/>
      <c r="F26" s="1"/>
      <c r="G26" s="1"/>
      <c r="H26" s="1"/>
      <c r="I26" s="1"/>
      <c r="J26" s="1"/>
      <c r="K26" s="1"/>
      <c r="L26" s="1"/>
      <c r="M26" s="173"/>
      <c r="N26" s="1"/>
    </row>
    <row r="27" spans="1:14" hidden="1">
      <c r="A27" s="40" t="s">
        <v>130</v>
      </c>
      <c r="B27" s="1">
        <v>0</v>
      </c>
      <c r="C27" s="1">
        <v>0</v>
      </c>
      <c r="D27" s="1">
        <v>0</v>
      </c>
      <c r="E27" s="1">
        <v>0</v>
      </c>
      <c r="F27" s="1">
        <v>0</v>
      </c>
      <c r="G27" s="1">
        <v>0</v>
      </c>
      <c r="H27" s="1">
        <v>177500</v>
      </c>
      <c r="I27" s="1">
        <v>177500</v>
      </c>
      <c r="J27" s="1">
        <v>0</v>
      </c>
      <c r="K27" s="1">
        <v>0</v>
      </c>
      <c r="L27" s="1">
        <v>0</v>
      </c>
    </row>
    <row r="28" spans="1:14" hidden="1">
      <c r="A28" s="40" t="s">
        <v>131</v>
      </c>
      <c r="B28" s="1">
        <v>0</v>
      </c>
      <c r="C28" s="1">
        <v>0</v>
      </c>
      <c r="D28" s="1">
        <v>0</v>
      </c>
      <c r="E28" s="1">
        <v>0</v>
      </c>
      <c r="F28" s="1">
        <v>0</v>
      </c>
      <c r="G28" s="1">
        <v>0</v>
      </c>
      <c r="H28" s="1">
        <v>0</v>
      </c>
      <c r="I28" s="1">
        <v>0</v>
      </c>
      <c r="J28" s="1">
        <v>0</v>
      </c>
      <c r="K28" s="1">
        <v>0</v>
      </c>
      <c r="L28" s="1">
        <v>0</v>
      </c>
      <c r="M28" s="173"/>
      <c r="N28" s="1"/>
    </row>
    <row r="29" spans="1:14" hidden="1">
      <c r="A29" s="40" t="s">
        <v>132</v>
      </c>
      <c r="B29" s="1">
        <v>0</v>
      </c>
      <c r="C29" s="1">
        <v>0</v>
      </c>
      <c r="D29" s="1">
        <v>0</v>
      </c>
      <c r="E29" s="1">
        <v>0</v>
      </c>
      <c r="F29" s="1">
        <v>0</v>
      </c>
      <c r="G29" s="1">
        <v>0</v>
      </c>
      <c r="H29" s="1">
        <v>0</v>
      </c>
      <c r="I29" s="1">
        <v>0</v>
      </c>
      <c r="J29" s="1">
        <v>0</v>
      </c>
      <c r="K29" s="1">
        <v>0</v>
      </c>
      <c r="L29" s="1">
        <v>0</v>
      </c>
      <c r="M29" s="173"/>
      <c r="N29" s="1"/>
    </row>
    <row r="30" spans="1:14" hidden="1">
      <c r="A30" s="40" t="s">
        <v>133</v>
      </c>
      <c r="B30" s="1">
        <v>0</v>
      </c>
      <c r="C30" s="1">
        <v>0</v>
      </c>
      <c r="D30" s="1">
        <v>0</v>
      </c>
      <c r="E30" s="1">
        <v>0</v>
      </c>
      <c r="F30" s="1">
        <v>0</v>
      </c>
      <c r="G30" s="1">
        <v>0</v>
      </c>
      <c r="H30" s="1">
        <v>0</v>
      </c>
      <c r="I30" s="1">
        <v>0</v>
      </c>
      <c r="J30" s="1">
        <v>0</v>
      </c>
      <c r="K30" s="1">
        <v>0</v>
      </c>
      <c r="L30" s="1">
        <v>0</v>
      </c>
      <c r="M30" s="173"/>
      <c r="N30" s="1"/>
    </row>
    <row r="31" spans="1:14" hidden="1">
      <c r="A31" s="40" t="s">
        <v>137</v>
      </c>
      <c r="B31" s="1">
        <v>0</v>
      </c>
      <c r="C31" s="1">
        <v>0</v>
      </c>
      <c r="D31" s="1">
        <v>0</v>
      </c>
      <c r="E31" s="1">
        <v>0</v>
      </c>
      <c r="F31" s="1">
        <v>0</v>
      </c>
      <c r="G31" s="1">
        <v>0</v>
      </c>
      <c r="H31" s="1">
        <v>0</v>
      </c>
      <c r="I31" s="1">
        <v>0</v>
      </c>
      <c r="J31" s="1">
        <v>0</v>
      </c>
      <c r="K31" s="1">
        <v>0</v>
      </c>
      <c r="L31" s="1">
        <v>0</v>
      </c>
      <c r="M31" s="173"/>
      <c r="N31" s="1"/>
    </row>
    <row r="32" spans="1:14" hidden="1">
      <c r="A32" s="40" t="s">
        <v>134</v>
      </c>
      <c r="B32" s="1">
        <v>0</v>
      </c>
      <c r="C32" s="1">
        <v>0</v>
      </c>
      <c r="D32" s="1">
        <v>0</v>
      </c>
      <c r="E32" s="1">
        <v>0</v>
      </c>
      <c r="F32" s="1">
        <v>0</v>
      </c>
      <c r="G32" s="1">
        <v>0</v>
      </c>
      <c r="H32" s="1">
        <v>0</v>
      </c>
      <c r="I32" s="1">
        <v>0</v>
      </c>
      <c r="J32" s="1">
        <v>0</v>
      </c>
      <c r="K32" s="1">
        <v>0</v>
      </c>
      <c r="L32" s="1">
        <v>0</v>
      </c>
      <c r="M32" s="173"/>
      <c r="N32" s="1"/>
    </row>
    <row r="33" spans="1:14" hidden="1">
      <c r="A33" s="40" t="s">
        <v>135</v>
      </c>
      <c r="B33" s="1">
        <v>0</v>
      </c>
      <c r="C33" s="1">
        <v>0</v>
      </c>
      <c r="D33" s="1">
        <v>0</v>
      </c>
      <c r="E33" s="1">
        <v>0</v>
      </c>
      <c r="F33" s="1">
        <v>0</v>
      </c>
      <c r="G33" s="1">
        <v>0</v>
      </c>
      <c r="H33" s="1">
        <v>0</v>
      </c>
      <c r="I33" s="1">
        <v>0</v>
      </c>
      <c r="J33" s="1">
        <v>0</v>
      </c>
      <c r="K33" s="1">
        <v>0</v>
      </c>
      <c r="L33" s="1">
        <v>0</v>
      </c>
      <c r="M33" s="173"/>
      <c r="N33" s="1"/>
    </row>
    <row r="34" spans="1:14" hidden="1">
      <c r="A34" s="40" t="s">
        <v>136</v>
      </c>
      <c r="B34" s="1">
        <v>0</v>
      </c>
      <c r="C34" s="1">
        <v>0</v>
      </c>
      <c r="D34" s="1">
        <v>0</v>
      </c>
      <c r="E34" s="1">
        <v>0</v>
      </c>
      <c r="F34" s="1">
        <v>0</v>
      </c>
      <c r="G34" s="1">
        <v>0</v>
      </c>
      <c r="H34" s="1">
        <v>0</v>
      </c>
      <c r="I34" s="1">
        <v>0</v>
      </c>
      <c r="J34" s="1">
        <v>0</v>
      </c>
      <c r="K34" s="1">
        <v>0</v>
      </c>
      <c r="L34" s="1">
        <v>0</v>
      </c>
      <c r="M34" s="173"/>
      <c r="N34" s="1"/>
    </row>
    <row r="35" spans="1:14" hidden="1">
      <c r="B35" s="1">
        <v>0</v>
      </c>
      <c r="C35" s="1">
        <v>0</v>
      </c>
      <c r="D35" s="1">
        <v>0</v>
      </c>
      <c r="E35" s="1">
        <v>0</v>
      </c>
      <c r="F35" s="1">
        <v>0</v>
      </c>
      <c r="G35" s="1">
        <v>0</v>
      </c>
      <c r="H35" s="1">
        <v>0</v>
      </c>
      <c r="I35" s="1">
        <v>0</v>
      </c>
      <c r="J35" s="1">
        <v>0</v>
      </c>
      <c r="K35" s="1">
        <v>0</v>
      </c>
      <c r="L35" s="1">
        <v>0</v>
      </c>
    </row>
    <row r="36" spans="1:14" hidden="1"/>
    <row r="37" spans="1:14" hidden="1">
      <c r="A37" s="9" t="s">
        <v>20</v>
      </c>
      <c r="B37" s="1">
        <f t="shared" ref="B37:H37" si="2">SUM(B27:B35)</f>
        <v>0</v>
      </c>
      <c r="C37" s="1">
        <f t="shared" si="2"/>
        <v>0</v>
      </c>
      <c r="D37" s="1">
        <f t="shared" si="2"/>
        <v>0</v>
      </c>
      <c r="E37" s="1">
        <f t="shared" si="2"/>
        <v>0</v>
      </c>
      <c r="F37" s="1">
        <f t="shared" si="2"/>
        <v>0</v>
      </c>
      <c r="G37" s="1">
        <f t="shared" si="2"/>
        <v>0</v>
      </c>
      <c r="H37" s="1">
        <f t="shared" si="2"/>
        <v>177500</v>
      </c>
      <c r="I37" s="1">
        <f>SUM(I27:I35)</f>
        <v>177500</v>
      </c>
      <c r="J37" s="1">
        <f>SUM(J27:J35)</f>
        <v>0</v>
      </c>
      <c r="K37" s="1">
        <f>SUM(K27:K35)</f>
        <v>0</v>
      </c>
      <c r="L37" s="5">
        <f>SUM(L27:L35)</f>
        <v>0</v>
      </c>
      <c r="M37" s="173"/>
      <c r="N37" s="1"/>
    </row>
    <row r="38" spans="1:14" hidden="1">
      <c r="A38" s="47" t="s">
        <v>74</v>
      </c>
      <c r="B38" s="1"/>
      <c r="C38" s="1"/>
      <c r="D38" s="1"/>
      <c r="E38" s="1"/>
      <c r="F38" s="1"/>
      <c r="G38" s="1"/>
      <c r="H38" s="1"/>
      <c r="I38" s="1"/>
      <c r="J38" s="1"/>
      <c r="K38" s="1"/>
      <c r="L38" s="23"/>
      <c r="M38" s="173"/>
      <c r="N38" s="1"/>
    </row>
    <row r="39" spans="1:14" hidden="1">
      <c r="B39" s="1"/>
      <c r="C39" s="1"/>
      <c r="D39" s="1"/>
      <c r="E39" s="1"/>
      <c r="F39" s="1"/>
      <c r="G39" s="1"/>
      <c r="H39" s="1"/>
      <c r="I39" s="1"/>
      <c r="J39" s="1"/>
      <c r="K39" s="1"/>
      <c r="L39" s="1"/>
      <c r="M39" s="173"/>
      <c r="N39" s="1"/>
    </row>
    <row r="40" spans="1:14" hidden="1">
      <c r="B40" s="1"/>
      <c r="C40" s="1"/>
      <c r="D40" s="1"/>
      <c r="E40" s="1"/>
      <c r="F40" s="1"/>
      <c r="G40" s="1"/>
      <c r="H40" s="1"/>
      <c r="I40" s="1"/>
      <c r="J40" s="1"/>
      <c r="K40" s="1"/>
      <c r="L40" s="1"/>
      <c r="M40" s="173"/>
      <c r="N40" s="1"/>
    </row>
    <row r="41" spans="1:14" hidden="1">
      <c r="M41" s="173"/>
      <c r="N41" s="1"/>
    </row>
    <row r="42" spans="1:14" hidden="1">
      <c r="M42" s="173"/>
      <c r="N42" s="1"/>
    </row>
    <row r="43" spans="1:14" hidden="1">
      <c r="M43" s="173"/>
      <c r="N43" s="1"/>
    </row>
    <row r="44" spans="1:14" hidden="1">
      <c r="M44" s="173"/>
      <c r="N44" s="1"/>
    </row>
    <row r="45" spans="1:14" hidden="1">
      <c r="M45" s="173"/>
      <c r="N45" s="1"/>
    </row>
    <row r="46" spans="1:14" hidden="1">
      <c r="M46" s="173"/>
      <c r="N46" s="1"/>
    </row>
    <row r="47" spans="1:14" hidden="1">
      <c r="M47" s="173"/>
      <c r="N47" s="1"/>
    </row>
    <row r="48" spans="1:14" hidden="1">
      <c r="M48" s="173"/>
      <c r="N48" s="1"/>
    </row>
    <row r="49" spans="1:14" hidden="1">
      <c r="B49" s="1"/>
      <c r="C49" s="1"/>
      <c r="D49" s="1"/>
      <c r="E49" s="1"/>
      <c r="F49" s="1"/>
      <c r="G49" s="1"/>
      <c r="H49" s="1"/>
      <c r="I49" s="1"/>
      <c r="J49" s="1"/>
      <c r="K49" s="1"/>
      <c r="L49" s="1"/>
      <c r="M49" s="173"/>
      <c r="N49" s="1"/>
    </row>
    <row r="50" spans="1:14" hidden="1">
      <c r="B50" s="1"/>
      <c r="C50" s="1"/>
      <c r="D50" s="1"/>
      <c r="E50" s="1"/>
      <c r="F50" s="1"/>
      <c r="G50" s="1"/>
      <c r="H50" s="1"/>
      <c r="I50" s="1"/>
      <c r="J50" s="1"/>
      <c r="K50" s="1"/>
      <c r="L50" s="1"/>
      <c r="M50" s="173"/>
      <c r="N50" s="1"/>
    </row>
    <row r="51" spans="1:14" hidden="1">
      <c r="B51" s="1"/>
      <c r="C51" s="1"/>
      <c r="D51" s="1"/>
      <c r="E51" s="1"/>
      <c r="F51" s="1"/>
      <c r="G51" s="1"/>
      <c r="H51" s="1"/>
      <c r="I51" s="1"/>
      <c r="J51" s="1"/>
      <c r="K51" s="1"/>
      <c r="L51" s="1"/>
      <c r="M51" s="173"/>
      <c r="N51" s="1"/>
    </row>
    <row r="52" spans="1:14" hidden="1">
      <c r="A52" s="9" t="s">
        <v>21</v>
      </c>
      <c r="B52" s="12">
        <f>[4]Stats!C4</f>
        <v>64690</v>
      </c>
      <c r="C52" s="12">
        <f>[4]Stats!D4</f>
        <v>63162</v>
      </c>
      <c r="D52" s="12">
        <f>[4]Stats!E4</f>
        <v>67742</v>
      </c>
      <c r="E52" s="12">
        <f>[4]Stats!F4</f>
        <v>68761</v>
      </c>
      <c r="F52" s="12">
        <f>[4]Stats!G4</f>
        <v>69341</v>
      </c>
      <c r="G52" s="12">
        <f>[4]Stats!H4</f>
        <v>70370</v>
      </c>
      <c r="H52" s="12">
        <f>[4]Stats!I4</f>
        <v>71027</v>
      </c>
      <c r="I52" s="12">
        <f>[4]Stats!J4</f>
        <v>73420</v>
      </c>
      <c r="J52" s="48">
        <f>[4]Stats!K4</f>
        <v>74385</v>
      </c>
      <c r="K52" s="48">
        <f>[4]Stats!L4</f>
        <v>75655</v>
      </c>
      <c r="L52" s="48">
        <f>[4]Stats!M4</f>
        <v>76899</v>
      </c>
      <c r="M52" s="173"/>
      <c r="N52" s="1"/>
    </row>
    <row r="53" spans="1:14" hidden="1">
      <c r="A53" s="9" t="s">
        <v>23</v>
      </c>
    </row>
    <row r="54" spans="1:14" hidden="1">
      <c r="A54" s="9" t="s">
        <v>22</v>
      </c>
      <c r="B54" s="1"/>
      <c r="C54" s="1"/>
      <c r="D54" s="1"/>
      <c r="E54" s="1"/>
      <c r="F54" s="1"/>
      <c r="G54" s="1"/>
      <c r="H54" s="1"/>
      <c r="I54" s="1"/>
      <c r="J54" s="1"/>
      <c r="K54" s="1"/>
      <c r="L54" s="1"/>
      <c r="M54" s="173"/>
      <c r="N54" s="1"/>
    </row>
    <row r="55" spans="1:14" hidden="1">
      <c r="A55" s="9" t="s">
        <v>63</v>
      </c>
      <c r="B55" s="15"/>
      <c r="C55" s="15"/>
      <c r="D55" s="15"/>
      <c r="E55" s="15"/>
      <c r="F55" s="15"/>
      <c r="G55" s="15"/>
      <c r="H55" s="15"/>
      <c r="I55" s="15"/>
      <c r="J55" s="15"/>
      <c r="K55" s="15"/>
      <c r="L55" s="15"/>
      <c r="M55" s="173"/>
      <c r="N55" s="1"/>
    </row>
    <row r="56" spans="1:14" hidden="1">
      <c r="A56" s="40" t="s">
        <v>76</v>
      </c>
      <c r="B56" s="22">
        <v>0</v>
      </c>
      <c r="C56" s="22">
        <v>0</v>
      </c>
      <c r="D56" s="22">
        <v>0</v>
      </c>
      <c r="E56" s="22">
        <v>0</v>
      </c>
      <c r="F56" s="22">
        <v>0</v>
      </c>
      <c r="G56" s="22">
        <v>0</v>
      </c>
      <c r="H56" s="22">
        <v>0</v>
      </c>
      <c r="I56" s="22">
        <v>0</v>
      </c>
      <c r="J56" s="22">
        <v>0</v>
      </c>
      <c r="K56" s="22">
        <v>0</v>
      </c>
      <c r="L56" s="22">
        <v>0</v>
      </c>
      <c r="M56" s="173"/>
      <c r="N56" s="1"/>
    </row>
    <row r="57" spans="1:14" hidden="1">
      <c r="A57" s="40" t="s">
        <v>77</v>
      </c>
      <c r="B57" s="22">
        <v>0</v>
      </c>
      <c r="C57" s="22">
        <v>0</v>
      </c>
      <c r="D57" s="22">
        <v>0</v>
      </c>
      <c r="E57" s="22">
        <v>0</v>
      </c>
      <c r="F57" s="22">
        <v>0</v>
      </c>
      <c r="G57" s="22">
        <v>0</v>
      </c>
      <c r="H57" s="22">
        <v>0</v>
      </c>
      <c r="I57" s="22">
        <v>0</v>
      </c>
      <c r="J57" s="22">
        <v>0</v>
      </c>
      <c r="K57" s="22">
        <v>0</v>
      </c>
      <c r="L57" s="22">
        <v>0</v>
      </c>
      <c r="M57" s="173"/>
      <c r="N57" s="1"/>
    </row>
    <row r="58" spans="1:14" hidden="1">
      <c r="A58" s="40" t="s">
        <v>78</v>
      </c>
      <c r="B58" s="22">
        <v>0</v>
      </c>
      <c r="C58" s="22">
        <v>0</v>
      </c>
      <c r="D58" s="22">
        <v>0</v>
      </c>
      <c r="E58" s="22">
        <v>0</v>
      </c>
      <c r="F58" s="22">
        <v>0</v>
      </c>
      <c r="G58" s="22">
        <v>0</v>
      </c>
      <c r="H58" s="22">
        <v>0</v>
      </c>
      <c r="I58" s="22">
        <v>0</v>
      </c>
      <c r="J58" s="22">
        <v>0</v>
      </c>
      <c r="K58" s="22">
        <v>0</v>
      </c>
      <c r="L58" s="22">
        <v>0</v>
      </c>
      <c r="M58" s="173"/>
      <c r="N58" s="1"/>
    </row>
    <row r="59" spans="1:14" ht="16.5" hidden="1" thickBot="1">
      <c r="A59" s="40" t="s">
        <v>79</v>
      </c>
      <c r="B59" s="35">
        <v>0</v>
      </c>
      <c r="C59" s="35">
        <v>0</v>
      </c>
      <c r="D59" s="35">
        <v>0</v>
      </c>
      <c r="E59" s="35">
        <v>0</v>
      </c>
      <c r="F59" s="35">
        <v>0</v>
      </c>
      <c r="G59" s="35">
        <v>0</v>
      </c>
      <c r="H59" s="35">
        <v>0</v>
      </c>
      <c r="I59" s="35">
        <v>0</v>
      </c>
      <c r="J59" s="35">
        <v>0</v>
      </c>
      <c r="K59" s="35">
        <v>0</v>
      </c>
      <c r="L59" s="35">
        <v>0</v>
      </c>
      <c r="M59" s="173"/>
      <c r="N59" s="1"/>
    </row>
    <row r="60" spans="1:14" s="17" customFormat="1" hidden="1">
      <c r="A60" s="46" t="s">
        <v>64</v>
      </c>
      <c r="B60" s="34">
        <f>SUM(B56:B59)</f>
        <v>0</v>
      </c>
      <c r="C60" s="34">
        <f>SUM(C56:C59)</f>
        <v>0</v>
      </c>
      <c r="D60" s="34">
        <f t="shared" ref="D60:L60" si="3">SUM(D56:D59)</f>
        <v>0</v>
      </c>
      <c r="E60" s="34">
        <f t="shared" si="3"/>
        <v>0</v>
      </c>
      <c r="F60" s="34">
        <f t="shared" si="3"/>
        <v>0</v>
      </c>
      <c r="G60" s="34">
        <f t="shared" si="3"/>
        <v>0</v>
      </c>
      <c r="H60" s="34">
        <f t="shared" si="3"/>
        <v>0</v>
      </c>
      <c r="I60" s="34">
        <f t="shared" si="3"/>
        <v>0</v>
      </c>
      <c r="J60" s="34">
        <f t="shared" si="3"/>
        <v>0</v>
      </c>
      <c r="K60" s="34">
        <f t="shared" si="3"/>
        <v>0</v>
      </c>
      <c r="L60" s="34">
        <f t="shared" si="3"/>
        <v>0</v>
      </c>
      <c r="M60" s="197"/>
      <c r="N60" s="33"/>
    </row>
    <row r="61" spans="1:14" hidden="1">
      <c r="A61" s="45" t="s">
        <v>72</v>
      </c>
      <c r="B61" s="15"/>
      <c r="C61" s="36" t="e">
        <f>C60/B60</f>
        <v>#DIV/0!</v>
      </c>
      <c r="D61" s="36" t="e">
        <f t="shared" ref="D61:L61" si="4">D60/C60</f>
        <v>#DIV/0!</v>
      </c>
      <c r="E61" s="36" t="e">
        <f t="shared" si="4"/>
        <v>#DIV/0!</v>
      </c>
      <c r="F61" s="36" t="e">
        <f t="shared" si="4"/>
        <v>#DIV/0!</v>
      </c>
      <c r="G61" s="36" t="e">
        <f t="shared" si="4"/>
        <v>#DIV/0!</v>
      </c>
      <c r="H61" s="36" t="e">
        <f t="shared" si="4"/>
        <v>#DIV/0!</v>
      </c>
      <c r="I61" s="36" t="e">
        <f t="shared" si="4"/>
        <v>#DIV/0!</v>
      </c>
      <c r="J61" s="36" t="e">
        <f>J60/#REF!</f>
        <v>#REF!</v>
      </c>
      <c r="K61" s="36" t="e">
        <f t="shared" si="4"/>
        <v>#DIV/0!</v>
      </c>
      <c r="L61" s="36" t="e">
        <f t="shared" si="4"/>
        <v>#DIV/0!</v>
      </c>
      <c r="M61" s="173"/>
      <c r="N61" s="1"/>
    </row>
    <row r="62" spans="1:14" hidden="1">
      <c r="A62" s="18"/>
      <c r="B62" s="15"/>
      <c r="C62" s="36"/>
      <c r="D62" s="36"/>
      <c r="E62" s="36"/>
      <c r="F62" s="36"/>
      <c r="G62" s="36"/>
      <c r="H62" s="36"/>
      <c r="I62" s="36"/>
      <c r="J62" s="36"/>
      <c r="K62" s="36"/>
      <c r="L62" s="36"/>
      <c r="M62" s="173"/>
      <c r="N62" s="1"/>
    </row>
    <row r="63" spans="1:14" hidden="1">
      <c r="B63" s="1"/>
      <c r="C63" s="1"/>
      <c r="D63" s="1"/>
      <c r="E63" s="1"/>
      <c r="F63" s="1"/>
      <c r="G63" s="1"/>
      <c r="H63" s="1"/>
      <c r="I63" s="1"/>
      <c r="J63" s="1"/>
      <c r="K63" s="1"/>
      <c r="L63" s="1"/>
      <c r="M63" s="173"/>
      <c r="N63" s="1"/>
    </row>
    <row r="64" spans="1:14" ht="18.75" hidden="1">
      <c r="A64" s="37" t="s">
        <v>26</v>
      </c>
      <c r="B64" s="1"/>
      <c r="C64" s="1"/>
      <c r="D64" s="1"/>
      <c r="E64" s="1"/>
      <c r="F64" s="1"/>
      <c r="G64" s="1"/>
      <c r="H64" s="1"/>
      <c r="I64" s="1"/>
      <c r="J64" s="1"/>
      <c r="K64" s="1"/>
      <c r="L64" s="1"/>
      <c r="M64" s="173"/>
      <c r="N64" s="1"/>
    </row>
    <row r="65" spans="1:14" hidden="1">
      <c r="A65" s="2" t="s">
        <v>65</v>
      </c>
      <c r="B65" s="8">
        <f t="shared" ref="B65:L65" si="5">B37/B52</f>
        <v>0</v>
      </c>
      <c r="C65" s="8">
        <f t="shared" si="5"/>
        <v>0</v>
      </c>
      <c r="D65" s="8">
        <f t="shared" si="5"/>
        <v>0</v>
      </c>
      <c r="E65" s="8">
        <f t="shared" si="5"/>
        <v>0</v>
      </c>
      <c r="F65" s="8">
        <f t="shared" si="5"/>
        <v>0</v>
      </c>
      <c r="G65" s="8">
        <f t="shared" si="5"/>
        <v>0</v>
      </c>
      <c r="H65" s="8">
        <f t="shared" si="5"/>
        <v>2.4990496571726246</v>
      </c>
      <c r="I65" s="8">
        <f t="shared" si="5"/>
        <v>2.4175973849087442</v>
      </c>
      <c r="J65" s="8">
        <f t="shared" si="5"/>
        <v>0</v>
      </c>
      <c r="K65" s="8">
        <f t="shared" si="5"/>
        <v>0</v>
      </c>
      <c r="L65" s="8">
        <f t="shared" si="5"/>
        <v>0</v>
      </c>
      <c r="M65" s="173"/>
      <c r="N65" s="1"/>
    </row>
    <row r="66" spans="1:14" hidden="1">
      <c r="B66" s="1"/>
      <c r="C66" s="1"/>
      <c r="D66" s="1"/>
      <c r="E66" s="1"/>
      <c r="F66" s="1"/>
      <c r="G66" s="1"/>
      <c r="H66" s="1"/>
      <c r="I66" s="1"/>
      <c r="J66" s="1"/>
      <c r="K66" s="1"/>
      <c r="L66" s="1"/>
      <c r="M66" s="173"/>
      <c r="N66" s="1"/>
    </row>
    <row r="67" spans="1:14" hidden="1">
      <c r="A67" t="s">
        <v>75</v>
      </c>
      <c r="B67" s="1"/>
      <c r="C67" s="1"/>
      <c r="D67" s="1"/>
      <c r="E67" s="1"/>
      <c r="F67" s="1"/>
      <c r="G67" s="1"/>
      <c r="H67" s="1"/>
      <c r="I67" s="1"/>
      <c r="J67" s="1"/>
      <c r="K67" s="1"/>
      <c r="L67" s="1"/>
      <c r="M67" s="173"/>
      <c r="N67" s="1"/>
    </row>
    <row r="68" spans="1:14" hidden="1">
      <c r="A68" s="40" t="s">
        <v>76</v>
      </c>
      <c r="B68" s="1" t="e">
        <f>#REF!/B56</f>
        <v>#REF!</v>
      </c>
      <c r="C68" s="1" t="e">
        <f>#REF!/C56</f>
        <v>#REF!</v>
      </c>
      <c r="D68" s="1" t="e">
        <f>#REF!/D56</f>
        <v>#REF!</v>
      </c>
      <c r="E68" s="1" t="e">
        <f>#REF!/E56</f>
        <v>#REF!</v>
      </c>
      <c r="F68" s="1" t="e">
        <f>#REF!/F56</f>
        <v>#REF!</v>
      </c>
      <c r="G68" s="1" t="e">
        <f>#REF!/G56</f>
        <v>#REF!</v>
      </c>
      <c r="H68" s="1" t="e">
        <f>#REF!/H56</f>
        <v>#REF!</v>
      </c>
      <c r="I68" s="1" t="e">
        <f>#REF!/I56</f>
        <v>#REF!</v>
      </c>
      <c r="J68" s="1" t="e">
        <f>#REF!/J56</f>
        <v>#REF!</v>
      </c>
      <c r="K68" s="1" t="e">
        <f>#REF!/K56</f>
        <v>#REF!</v>
      </c>
      <c r="L68" s="1" t="e">
        <f>#REF!/L56</f>
        <v>#REF!</v>
      </c>
      <c r="M68" s="173"/>
      <c r="N68" s="1"/>
    </row>
    <row r="69" spans="1:14" hidden="1">
      <c r="A69" s="40" t="s">
        <v>77</v>
      </c>
      <c r="B69" s="1" t="e">
        <f t="shared" ref="B69:L69" si="6">B28/B57</f>
        <v>#DIV/0!</v>
      </c>
      <c r="C69" s="1" t="e">
        <f t="shared" si="6"/>
        <v>#DIV/0!</v>
      </c>
      <c r="D69" s="1" t="e">
        <f t="shared" si="6"/>
        <v>#DIV/0!</v>
      </c>
      <c r="E69" s="1" t="e">
        <f t="shared" si="6"/>
        <v>#DIV/0!</v>
      </c>
      <c r="F69" s="1" t="e">
        <f t="shared" si="6"/>
        <v>#DIV/0!</v>
      </c>
      <c r="G69" s="1" t="e">
        <f t="shared" si="6"/>
        <v>#DIV/0!</v>
      </c>
      <c r="H69" s="1" t="e">
        <f t="shared" si="6"/>
        <v>#DIV/0!</v>
      </c>
      <c r="I69" s="1" t="e">
        <f t="shared" si="6"/>
        <v>#DIV/0!</v>
      </c>
      <c r="J69" s="1" t="e">
        <f t="shared" si="6"/>
        <v>#DIV/0!</v>
      </c>
      <c r="K69" s="1" t="e">
        <f t="shared" si="6"/>
        <v>#DIV/0!</v>
      </c>
      <c r="L69" s="1" t="e">
        <f t="shared" si="6"/>
        <v>#DIV/0!</v>
      </c>
      <c r="M69" s="173"/>
      <c r="N69" s="1"/>
    </row>
    <row r="70" spans="1:14" hidden="1">
      <c r="A70" s="40" t="s">
        <v>78</v>
      </c>
      <c r="B70" s="1" t="e">
        <f t="shared" ref="B70:L70" si="7">B29/B58</f>
        <v>#DIV/0!</v>
      </c>
      <c r="C70" s="1" t="e">
        <f t="shared" si="7"/>
        <v>#DIV/0!</v>
      </c>
      <c r="D70" s="1" t="e">
        <f t="shared" si="7"/>
        <v>#DIV/0!</v>
      </c>
      <c r="E70" s="1" t="e">
        <f t="shared" si="7"/>
        <v>#DIV/0!</v>
      </c>
      <c r="F70" s="1" t="e">
        <f t="shared" si="7"/>
        <v>#DIV/0!</v>
      </c>
      <c r="G70" s="1" t="e">
        <f t="shared" si="7"/>
        <v>#DIV/0!</v>
      </c>
      <c r="H70" s="1" t="e">
        <f t="shared" si="7"/>
        <v>#DIV/0!</v>
      </c>
      <c r="I70" s="1" t="e">
        <f t="shared" si="7"/>
        <v>#DIV/0!</v>
      </c>
      <c r="J70" s="1" t="e">
        <f t="shared" si="7"/>
        <v>#DIV/0!</v>
      </c>
      <c r="K70" s="1" t="e">
        <f t="shared" si="7"/>
        <v>#DIV/0!</v>
      </c>
      <c r="L70" s="1" t="e">
        <f t="shared" si="7"/>
        <v>#DIV/0!</v>
      </c>
      <c r="M70" s="173"/>
      <c r="N70" s="1"/>
    </row>
    <row r="71" spans="1:14" ht="16.5" hidden="1" thickBot="1">
      <c r="A71" s="40" t="s">
        <v>79</v>
      </c>
      <c r="B71" s="38" t="e">
        <f t="shared" ref="B71:L71" si="8">B34/B59</f>
        <v>#DIV/0!</v>
      </c>
      <c r="C71" s="38" t="e">
        <f t="shared" si="8"/>
        <v>#DIV/0!</v>
      </c>
      <c r="D71" s="38" t="e">
        <f t="shared" si="8"/>
        <v>#DIV/0!</v>
      </c>
      <c r="E71" s="38" t="e">
        <f t="shared" si="8"/>
        <v>#DIV/0!</v>
      </c>
      <c r="F71" s="38" t="e">
        <f t="shared" si="8"/>
        <v>#DIV/0!</v>
      </c>
      <c r="G71" s="38" t="e">
        <f t="shared" si="8"/>
        <v>#DIV/0!</v>
      </c>
      <c r="H71" s="38" t="e">
        <f t="shared" si="8"/>
        <v>#DIV/0!</v>
      </c>
      <c r="I71" s="38" t="e">
        <f t="shared" si="8"/>
        <v>#DIV/0!</v>
      </c>
      <c r="J71" s="38" t="e">
        <f t="shared" si="8"/>
        <v>#DIV/0!</v>
      </c>
      <c r="K71" s="38" t="e">
        <f t="shared" si="8"/>
        <v>#DIV/0!</v>
      </c>
      <c r="L71" s="38" t="e">
        <f t="shared" si="8"/>
        <v>#DIV/0!</v>
      </c>
      <c r="M71" s="173"/>
      <c r="N71" s="1"/>
    </row>
    <row r="72" spans="1:14" hidden="1">
      <c r="A72" s="9" t="s">
        <v>66</v>
      </c>
      <c r="B72" s="1" t="e">
        <f t="shared" ref="B72:L72" si="9">B37/B60</f>
        <v>#DIV/0!</v>
      </c>
      <c r="C72" s="1" t="e">
        <f t="shared" si="9"/>
        <v>#DIV/0!</v>
      </c>
      <c r="D72" s="1" t="e">
        <f t="shared" si="9"/>
        <v>#DIV/0!</v>
      </c>
      <c r="E72" s="1" t="e">
        <f t="shared" si="9"/>
        <v>#DIV/0!</v>
      </c>
      <c r="F72" s="1" t="e">
        <f t="shared" si="9"/>
        <v>#DIV/0!</v>
      </c>
      <c r="G72" s="1" t="e">
        <f t="shared" si="9"/>
        <v>#DIV/0!</v>
      </c>
      <c r="H72" s="1" t="e">
        <f t="shared" si="9"/>
        <v>#DIV/0!</v>
      </c>
      <c r="I72" s="1" t="e">
        <f t="shared" si="9"/>
        <v>#DIV/0!</v>
      </c>
      <c r="J72" s="1" t="e">
        <f t="shared" si="9"/>
        <v>#DIV/0!</v>
      </c>
      <c r="K72" s="1" t="e">
        <f t="shared" si="9"/>
        <v>#DIV/0!</v>
      </c>
      <c r="L72" s="1" t="e">
        <f t="shared" si="9"/>
        <v>#DIV/0!</v>
      </c>
      <c r="M72" s="173"/>
      <c r="N72" s="1"/>
    </row>
    <row r="73" spans="1:14" hidden="1">
      <c r="B73" s="1"/>
      <c r="C73" s="1"/>
      <c r="D73" s="1"/>
      <c r="E73" s="1"/>
      <c r="F73" s="1"/>
      <c r="G73" s="1"/>
      <c r="H73" s="1"/>
      <c r="I73" s="1"/>
      <c r="J73" s="1"/>
      <c r="K73" s="1"/>
      <c r="L73" s="1"/>
      <c r="M73" s="173"/>
      <c r="N73" s="1"/>
    </row>
    <row r="74" spans="1:14" hidden="1">
      <c r="B74" s="1"/>
      <c r="C74" s="1"/>
      <c r="D74" s="1"/>
      <c r="E74" s="1"/>
      <c r="F74" s="1"/>
      <c r="G74" s="1"/>
      <c r="H74" s="1"/>
      <c r="I74" s="1"/>
      <c r="J74" s="1"/>
      <c r="K74" s="1"/>
      <c r="L74" s="1"/>
      <c r="M74" s="173"/>
      <c r="N74" s="1"/>
    </row>
    <row r="75" spans="1:14" hidden="1">
      <c r="A75" t="s">
        <v>69</v>
      </c>
      <c r="B75" s="14">
        <f>B58/(B52/1000)</f>
        <v>0</v>
      </c>
      <c r="C75" s="14">
        <f t="shared" ref="C75:L75" si="10">C58/(C52/1000)</f>
        <v>0</v>
      </c>
      <c r="D75" s="14">
        <f t="shared" si="10"/>
        <v>0</v>
      </c>
      <c r="E75" s="14">
        <f t="shared" si="10"/>
        <v>0</v>
      </c>
      <c r="F75" s="14">
        <f t="shared" si="10"/>
        <v>0</v>
      </c>
      <c r="G75" s="14">
        <f t="shared" si="10"/>
        <v>0</v>
      </c>
      <c r="H75" s="14">
        <f t="shared" si="10"/>
        <v>0</v>
      </c>
      <c r="I75" s="14">
        <f t="shared" si="10"/>
        <v>0</v>
      </c>
      <c r="J75" s="14">
        <f t="shared" si="10"/>
        <v>0</v>
      </c>
      <c r="K75" s="14">
        <f t="shared" si="10"/>
        <v>0</v>
      </c>
      <c r="L75" s="14">
        <f t="shared" si="10"/>
        <v>0</v>
      </c>
      <c r="M75" s="173"/>
      <c r="N75" s="1"/>
    </row>
    <row r="76" spans="1:14" hidden="1">
      <c r="A76" t="s">
        <v>67</v>
      </c>
      <c r="B76" s="14">
        <f>B60/(B52/1000)</f>
        <v>0</v>
      </c>
      <c r="C76" s="14">
        <f t="shared" ref="C76:L76" si="11">C60/(C52/1000)</f>
        <v>0</v>
      </c>
      <c r="D76" s="14">
        <f t="shared" si="11"/>
        <v>0</v>
      </c>
      <c r="E76" s="14">
        <f t="shared" si="11"/>
        <v>0</v>
      </c>
      <c r="F76" s="14">
        <f t="shared" si="11"/>
        <v>0</v>
      </c>
      <c r="G76" s="14">
        <f t="shared" si="11"/>
        <v>0</v>
      </c>
      <c r="H76" s="14">
        <f t="shared" si="11"/>
        <v>0</v>
      </c>
      <c r="I76" s="14">
        <f t="shared" si="11"/>
        <v>0</v>
      </c>
      <c r="J76" s="14">
        <f t="shared" si="11"/>
        <v>0</v>
      </c>
      <c r="K76" s="14">
        <f t="shared" si="11"/>
        <v>0</v>
      </c>
      <c r="L76" s="14">
        <f t="shared" si="11"/>
        <v>0</v>
      </c>
      <c r="M76" s="173"/>
      <c r="N76" s="1"/>
    </row>
    <row r="77" spans="1:14" hidden="1">
      <c r="B77" s="1"/>
      <c r="C77" s="1"/>
      <c r="D77" s="1"/>
      <c r="E77" s="1"/>
      <c r="F77" s="1"/>
      <c r="G77" s="1"/>
      <c r="H77" s="1"/>
      <c r="I77" s="1"/>
      <c r="J77" s="1"/>
      <c r="K77" s="1"/>
      <c r="L77" s="1"/>
      <c r="M77" s="173"/>
      <c r="N77" s="1"/>
    </row>
    <row r="78" spans="1:14" hidden="1">
      <c r="B78" s="1"/>
      <c r="C78" s="1"/>
      <c r="D78" s="1"/>
      <c r="E78" s="1"/>
      <c r="F78" s="1"/>
      <c r="G78" s="1"/>
      <c r="H78" s="1"/>
      <c r="I78" s="1"/>
      <c r="J78" s="1"/>
      <c r="K78" s="1"/>
      <c r="L78" s="1"/>
      <c r="M78" s="173"/>
      <c r="N78" s="1"/>
    </row>
    <row r="79" spans="1:14">
      <c r="B79" s="1"/>
      <c r="C79" s="1"/>
      <c r="D79" s="1"/>
      <c r="E79" s="1"/>
      <c r="F79" s="1"/>
      <c r="G79" s="1"/>
      <c r="H79" s="1"/>
      <c r="I79" s="1"/>
      <c r="J79" s="1"/>
      <c r="K79" s="1"/>
      <c r="L79" s="1"/>
      <c r="M79" s="173"/>
      <c r="N79" s="1"/>
    </row>
    <row r="80" spans="1:14">
      <c r="B80" s="1"/>
      <c r="C80" s="1"/>
      <c r="D80" s="1"/>
      <c r="E80" s="1"/>
      <c r="F80" s="1"/>
      <c r="G80" s="1"/>
      <c r="H80" s="1"/>
      <c r="I80" s="1"/>
      <c r="J80" s="1"/>
      <c r="K80" s="1"/>
      <c r="L80" s="1"/>
      <c r="M80" s="173"/>
      <c r="N80" s="1"/>
    </row>
    <row r="81" spans="2:14">
      <c r="B81" s="1"/>
      <c r="C81" s="1"/>
      <c r="D81" s="1"/>
      <c r="E81" s="1"/>
      <c r="F81" s="1"/>
      <c r="G81" s="1"/>
      <c r="H81" s="1"/>
      <c r="I81" s="1"/>
      <c r="J81" s="1"/>
      <c r="K81" s="1"/>
      <c r="L81" s="1"/>
      <c r="M81" s="173"/>
      <c r="N81" s="1"/>
    </row>
    <row r="82" spans="2:14">
      <c r="B82" s="1"/>
      <c r="C82" s="1"/>
      <c r="D82" s="1"/>
      <c r="E82" s="1"/>
      <c r="F82" s="1"/>
      <c r="G82" s="1"/>
      <c r="H82" s="1"/>
      <c r="I82" s="1"/>
      <c r="J82" s="1"/>
      <c r="K82" s="1"/>
      <c r="L82" s="1"/>
      <c r="M82" s="173"/>
      <c r="N82" s="1"/>
    </row>
    <row r="83" spans="2:14">
      <c r="B83" s="1"/>
      <c r="C83" s="1"/>
      <c r="D83" s="1"/>
      <c r="E83" s="1"/>
      <c r="F83" s="1"/>
      <c r="G83" s="1"/>
      <c r="H83" s="1"/>
      <c r="I83" s="1"/>
      <c r="J83" s="1"/>
      <c r="K83" s="1"/>
      <c r="L83" s="1"/>
      <c r="M83" s="173"/>
      <c r="N83" s="1"/>
    </row>
    <row r="84" spans="2:14">
      <c r="B84" s="1"/>
      <c r="C84" s="1"/>
      <c r="D84" s="1"/>
      <c r="E84" s="1"/>
      <c r="F84" s="1"/>
      <c r="G84" s="1"/>
      <c r="H84" s="1"/>
      <c r="I84" s="1"/>
      <c r="J84" s="1"/>
      <c r="K84" s="1"/>
      <c r="L84" s="1"/>
      <c r="M84" s="173"/>
      <c r="N84" s="1"/>
    </row>
    <row r="85" spans="2:14">
      <c r="B85" s="1"/>
      <c r="C85" s="1"/>
      <c r="D85" s="1"/>
      <c r="E85" s="1"/>
      <c r="F85" s="1"/>
      <c r="G85" s="1"/>
      <c r="H85" s="1"/>
      <c r="I85" s="1"/>
      <c r="J85" s="1"/>
      <c r="K85" s="1"/>
      <c r="L85" s="1"/>
      <c r="M85" s="173"/>
      <c r="N85" s="1"/>
    </row>
    <row r="86" spans="2:14">
      <c r="B86" s="1"/>
      <c r="C86" s="1"/>
      <c r="D86" s="1"/>
      <c r="E86" s="1"/>
      <c r="F86" s="1"/>
      <c r="G86" s="1"/>
      <c r="H86" s="1"/>
      <c r="I86" s="1"/>
      <c r="J86" s="1"/>
      <c r="K86" s="1"/>
      <c r="L86" s="1"/>
      <c r="M86" s="173"/>
      <c r="N86" s="1"/>
    </row>
    <row r="87" spans="2:14">
      <c r="B87" s="1"/>
      <c r="C87" s="1"/>
      <c r="D87" s="1"/>
      <c r="E87" s="1"/>
      <c r="F87" s="1"/>
      <c r="G87" s="1"/>
      <c r="H87" s="1"/>
      <c r="I87" s="1"/>
      <c r="J87" s="1"/>
      <c r="K87" s="1"/>
      <c r="L87" s="1"/>
      <c r="M87" s="173"/>
      <c r="N87" s="1"/>
    </row>
    <row r="88" spans="2:14">
      <c r="B88" s="1"/>
      <c r="C88" s="1"/>
      <c r="D88" s="1"/>
      <c r="E88" s="1"/>
      <c r="F88" s="1"/>
      <c r="G88" s="1"/>
      <c r="H88" s="1"/>
      <c r="I88" s="1"/>
      <c r="J88" s="1"/>
      <c r="K88" s="1"/>
      <c r="L88" s="1"/>
      <c r="M88" s="173"/>
      <c r="N88" s="1"/>
    </row>
    <row r="89" spans="2:14">
      <c r="B89" s="1"/>
      <c r="C89" s="1"/>
      <c r="D89" s="1"/>
      <c r="E89" s="1"/>
      <c r="F89" s="1"/>
      <c r="G89" s="1"/>
      <c r="H89" s="1"/>
      <c r="I89" s="1"/>
      <c r="J89" s="1"/>
      <c r="K89" s="1"/>
      <c r="L89" s="1"/>
      <c r="M89" s="173"/>
      <c r="N89" s="1"/>
    </row>
    <row r="90" spans="2:14">
      <c r="B90" s="1"/>
      <c r="C90" s="1"/>
      <c r="D90" s="1"/>
      <c r="E90" s="1"/>
      <c r="F90" s="1"/>
      <c r="G90" s="1"/>
      <c r="H90" s="1"/>
      <c r="I90" s="1"/>
      <c r="J90" s="1"/>
      <c r="K90" s="1"/>
      <c r="L90" s="1"/>
      <c r="M90" s="173"/>
      <c r="N90" s="1"/>
    </row>
    <row r="91" spans="2:14">
      <c r="B91" s="1"/>
      <c r="C91" s="1"/>
      <c r="D91" s="1"/>
      <c r="E91" s="1"/>
      <c r="F91" s="1"/>
      <c r="G91" s="1"/>
      <c r="H91" s="1"/>
      <c r="I91" s="1"/>
      <c r="J91" s="1"/>
      <c r="K91" s="1"/>
      <c r="L91" s="1"/>
      <c r="M91" s="173"/>
      <c r="N91" s="1"/>
    </row>
    <row r="92" spans="2:14">
      <c r="B92" s="1"/>
      <c r="C92" s="1"/>
      <c r="D92" s="1"/>
      <c r="E92" s="1"/>
      <c r="F92" s="1"/>
      <c r="G92" s="1"/>
      <c r="H92" s="1"/>
      <c r="I92" s="1"/>
      <c r="J92" s="1"/>
      <c r="K92" s="1"/>
      <c r="L92" s="1"/>
      <c r="M92" s="173"/>
      <c r="N92" s="1"/>
    </row>
    <row r="93" spans="2:14">
      <c r="B93" s="1"/>
      <c r="C93" s="1"/>
      <c r="D93" s="1"/>
      <c r="E93" s="1"/>
      <c r="F93" s="1"/>
      <c r="G93" s="1"/>
      <c r="H93" s="1"/>
      <c r="I93" s="1"/>
      <c r="J93" s="1"/>
      <c r="K93" s="1"/>
      <c r="L93" s="1"/>
      <c r="M93" s="173"/>
      <c r="N93" s="1"/>
    </row>
    <row r="94" spans="2:14">
      <c r="B94" s="1"/>
      <c r="C94" s="1"/>
      <c r="D94" s="1"/>
      <c r="E94" s="1"/>
      <c r="F94" s="1"/>
      <c r="G94" s="1"/>
      <c r="H94" s="1"/>
      <c r="I94" s="1"/>
      <c r="J94" s="1"/>
      <c r="K94" s="1"/>
      <c r="L94" s="1"/>
      <c r="M94" s="173"/>
      <c r="N94" s="1"/>
    </row>
    <row r="95" spans="2:14">
      <c r="B95" s="1"/>
      <c r="C95" s="1"/>
      <c r="D95" s="1"/>
      <c r="E95" s="1"/>
      <c r="F95" s="1"/>
      <c r="G95" s="1"/>
      <c r="H95" s="1"/>
      <c r="I95" s="1"/>
      <c r="J95" s="1"/>
      <c r="K95" s="1"/>
      <c r="L95" s="1"/>
      <c r="M95" s="173"/>
      <c r="N95" s="1"/>
    </row>
    <row r="96" spans="2:14">
      <c r="B96" s="1"/>
      <c r="C96" s="1"/>
      <c r="D96" s="1"/>
      <c r="E96" s="1"/>
      <c r="F96" s="1"/>
      <c r="G96" s="1"/>
      <c r="H96" s="1"/>
      <c r="I96" s="1"/>
      <c r="J96" s="1"/>
      <c r="K96" s="1"/>
      <c r="L96" s="1"/>
      <c r="M96" s="173"/>
      <c r="N96" s="1"/>
    </row>
    <row r="97" spans="2:14">
      <c r="B97" s="1"/>
      <c r="C97" s="1"/>
      <c r="D97" s="1"/>
      <c r="E97" s="1"/>
      <c r="F97" s="1"/>
      <c r="G97" s="1"/>
      <c r="H97" s="1"/>
      <c r="I97" s="1"/>
      <c r="J97" s="1"/>
      <c r="K97" s="1"/>
      <c r="L97" s="1"/>
      <c r="M97" s="173"/>
      <c r="N97" s="1"/>
    </row>
    <row r="98" spans="2:14">
      <c r="B98" s="1"/>
      <c r="C98" s="1"/>
      <c r="D98" s="1"/>
      <c r="E98" s="1"/>
      <c r="F98" s="1"/>
      <c r="G98" s="1"/>
      <c r="H98" s="1"/>
      <c r="I98" s="1"/>
      <c r="J98" s="1"/>
      <c r="K98" s="1"/>
      <c r="L98" s="1"/>
      <c r="M98" s="173"/>
      <c r="N98" s="1"/>
    </row>
    <row r="99" spans="2:14">
      <c r="B99" s="1"/>
      <c r="C99" s="1"/>
      <c r="D99" s="1"/>
      <c r="E99" s="1"/>
      <c r="F99" s="1"/>
      <c r="G99" s="1"/>
      <c r="H99" s="1"/>
      <c r="I99" s="1"/>
      <c r="J99" s="1"/>
      <c r="K99" s="1"/>
      <c r="L99" s="1"/>
      <c r="M99" s="173"/>
      <c r="N99" s="1"/>
    </row>
    <row r="100" spans="2:14">
      <c r="B100" s="1"/>
      <c r="C100" s="1"/>
      <c r="D100" s="1"/>
      <c r="E100" s="1"/>
      <c r="F100" s="1"/>
      <c r="G100" s="1"/>
      <c r="H100" s="1"/>
      <c r="I100" s="1"/>
      <c r="J100" s="1"/>
      <c r="K100" s="1"/>
      <c r="L100" s="1"/>
      <c r="M100" s="173"/>
      <c r="N100" s="1"/>
    </row>
    <row r="101" spans="2:14">
      <c r="B101" s="1"/>
      <c r="C101" s="1"/>
      <c r="D101" s="1"/>
      <c r="E101" s="1"/>
      <c r="F101" s="1"/>
      <c r="G101" s="1"/>
      <c r="H101" s="1"/>
      <c r="I101" s="1"/>
      <c r="J101" s="1"/>
      <c r="K101" s="1"/>
      <c r="L101" s="1"/>
      <c r="M101" s="173"/>
      <c r="N101" s="1"/>
    </row>
    <row r="102" spans="2:14">
      <c r="B102" s="1"/>
      <c r="C102" s="1"/>
      <c r="D102" s="1"/>
      <c r="E102" s="1"/>
      <c r="F102" s="1"/>
      <c r="G102" s="1"/>
      <c r="H102" s="1"/>
      <c r="I102" s="1"/>
      <c r="J102" s="1"/>
      <c r="K102" s="1"/>
      <c r="L102" s="1"/>
      <c r="M102" s="173"/>
      <c r="N102" s="1"/>
    </row>
    <row r="103" spans="2:14">
      <c r="B103" s="1"/>
      <c r="C103" s="1"/>
      <c r="D103" s="1"/>
      <c r="E103" s="1"/>
      <c r="F103" s="1"/>
      <c r="G103" s="1"/>
      <c r="H103" s="1"/>
      <c r="I103" s="1"/>
      <c r="J103" s="1"/>
      <c r="K103" s="1"/>
      <c r="L103" s="1"/>
      <c r="M103" s="173"/>
      <c r="N103" s="1"/>
    </row>
    <row r="104" spans="2:14">
      <c r="B104" s="1"/>
      <c r="C104" s="1"/>
      <c r="D104" s="1"/>
      <c r="E104" s="1"/>
      <c r="F104" s="1"/>
      <c r="G104" s="1"/>
      <c r="H104" s="1"/>
      <c r="I104" s="1"/>
      <c r="J104" s="1"/>
      <c r="K104" s="1"/>
      <c r="L104" s="1"/>
      <c r="M104" s="173"/>
      <c r="N104" s="1"/>
    </row>
    <row r="105" spans="2:14">
      <c r="B105" s="1"/>
      <c r="C105" s="1"/>
      <c r="D105" s="1"/>
      <c r="E105" s="1"/>
      <c r="F105" s="1"/>
      <c r="G105" s="1"/>
      <c r="H105" s="1"/>
      <c r="I105" s="1"/>
      <c r="J105" s="1"/>
      <c r="K105" s="1"/>
      <c r="L105" s="1"/>
      <c r="M105" s="173"/>
      <c r="N105" s="1"/>
    </row>
    <row r="106" spans="2:14">
      <c r="B106" s="1"/>
      <c r="C106" s="1"/>
      <c r="D106" s="1"/>
      <c r="E106" s="1"/>
      <c r="F106" s="1"/>
      <c r="G106" s="1"/>
      <c r="H106" s="1"/>
      <c r="I106" s="1"/>
      <c r="J106" s="1"/>
      <c r="K106" s="1"/>
      <c r="L106" s="1"/>
      <c r="M106" s="173"/>
      <c r="N106" s="1"/>
    </row>
    <row r="107" spans="2:14">
      <c r="B107" s="1"/>
      <c r="C107" s="1"/>
      <c r="D107" s="1"/>
      <c r="E107" s="1"/>
      <c r="F107" s="1"/>
      <c r="G107" s="1"/>
      <c r="H107" s="1"/>
      <c r="I107" s="1"/>
      <c r="J107" s="1"/>
      <c r="K107" s="1"/>
      <c r="L107" s="1"/>
      <c r="M107" s="173"/>
      <c r="N107" s="1"/>
    </row>
    <row r="108" spans="2:14">
      <c r="B108" s="1"/>
      <c r="C108" s="1"/>
      <c r="D108" s="1"/>
      <c r="E108" s="1"/>
      <c r="F108" s="1"/>
      <c r="G108" s="1"/>
      <c r="H108" s="1"/>
      <c r="I108" s="1"/>
      <c r="J108" s="1"/>
      <c r="K108" s="1"/>
      <c r="L108" s="1"/>
      <c r="M108" s="173"/>
      <c r="N108" s="1"/>
    </row>
    <row r="109" spans="2:14">
      <c r="B109" s="1"/>
      <c r="C109" s="1"/>
      <c r="D109" s="1"/>
      <c r="E109" s="1"/>
      <c r="F109" s="1"/>
      <c r="G109" s="1"/>
      <c r="H109" s="1"/>
      <c r="I109" s="1"/>
      <c r="J109" s="1"/>
      <c r="K109" s="1"/>
      <c r="L109" s="1"/>
      <c r="M109" s="173"/>
      <c r="N109" s="1"/>
    </row>
    <row r="110" spans="2:14">
      <c r="B110" s="1"/>
      <c r="C110" s="1"/>
      <c r="D110" s="1"/>
      <c r="E110" s="1"/>
      <c r="F110" s="1"/>
      <c r="G110" s="1"/>
      <c r="H110" s="1"/>
      <c r="I110" s="1"/>
      <c r="J110" s="1"/>
      <c r="K110" s="1"/>
      <c r="L110" s="1"/>
      <c r="M110" s="173"/>
      <c r="N110" s="1"/>
    </row>
    <row r="111" spans="2:14">
      <c r="B111" s="1"/>
      <c r="C111" s="1"/>
      <c r="D111" s="1"/>
      <c r="E111" s="1"/>
      <c r="F111" s="1"/>
      <c r="G111" s="1"/>
      <c r="H111" s="1"/>
      <c r="I111" s="1"/>
      <c r="J111" s="1"/>
      <c r="K111" s="1"/>
      <c r="L111" s="1"/>
      <c r="M111" s="173"/>
      <c r="N111" s="1"/>
    </row>
    <row r="112" spans="2:14">
      <c r="B112" s="1"/>
      <c r="C112" s="1"/>
      <c r="D112" s="1"/>
      <c r="E112" s="1"/>
      <c r="F112" s="1"/>
      <c r="G112" s="1"/>
      <c r="H112" s="1"/>
      <c r="I112" s="1"/>
      <c r="J112" s="1"/>
      <c r="K112" s="1"/>
      <c r="L112" s="1"/>
      <c r="M112" s="173"/>
      <c r="N112" s="1"/>
    </row>
    <row r="113" spans="2:14">
      <c r="B113" s="1"/>
      <c r="C113" s="1"/>
      <c r="D113" s="1"/>
      <c r="E113" s="1"/>
      <c r="F113" s="1"/>
      <c r="G113" s="1"/>
      <c r="H113" s="1"/>
      <c r="I113" s="1"/>
      <c r="J113" s="1"/>
      <c r="K113" s="1"/>
      <c r="L113" s="1"/>
      <c r="M113" s="173"/>
      <c r="N113" s="1"/>
    </row>
    <row r="114" spans="2:14">
      <c r="B114" s="1"/>
      <c r="C114" s="1"/>
      <c r="D114" s="1"/>
      <c r="E114" s="1"/>
      <c r="F114" s="1"/>
      <c r="G114" s="1"/>
      <c r="H114" s="1"/>
      <c r="I114" s="1"/>
      <c r="J114" s="1"/>
      <c r="K114" s="1"/>
      <c r="L114" s="1"/>
      <c r="M114" s="173"/>
      <c r="N114" s="1"/>
    </row>
    <row r="115" spans="2:14">
      <c r="B115" s="1"/>
      <c r="C115" s="1"/>
      <c r="D115" s="1"/>
      <c r="E115" s="1"/>
      <c r="F115" s="1"/>
      <c r="G115" s="1"/>
      <c r="H115" s="1"/>
      <c r="I115" s="1"/>
      <c r="J115" s="1"/>
      <c r="K115" s="1"/>
      <c r="L115" s="1"/>
      <c r="M115" s="173"/>
      <c r="N115" s="1"/>
    </row>
    <row r="116" spans="2:14">
      <c r="B116" s="1"/>
      <c r="C116" s="1"/>
      <c r="D116" s="1"/>
      <c r="E116" s="1"/>
      <c r="F116" s="1"/>
      <c r="G116" s="1"/>
      <c r="H116" s="1"/>
      <c r="I116" s="1"/>
      <c r="J116" s="1"/>
      <c r="K116" s="1"/>
      <c r="L116" s="1"/>
      <c r="M116" s="173"/>
      <c r="N116" s="1"/>
    </row>
    <row r="117" spans="2:14">
      <c r="B117" s="1"/>
      <c r="C117" s="1"/>
      <c r="D117" s="1"/>
      <c r="E117" s="1"/>
      <c r="F117" s="1"/>
      <c r="G117" s="1"/>
      <c r="H117" s="1"/>
      <c r="I117" s="1"/>
      <c r="J117" s="1"/>
      <c r="K117" s="1"/>
      <c r="L117" s="1"/>
      <c r="M117" s="173"/>
      <c r="N117" s="1"/>
    </row>
    <row r="118" spans="2:14">
      <c r="B118" s="1"/>
      <c r="C118" s="1"/>
      <c r="D118" s="1"/>
      <c r="E118" s="1"/>
      <c r="F118" s="1"/>
      <c r="G118" s="1"/>
      <c r="H118" s="1"/>
      <c r="I118" s="1"/>
      <c r="J118" s="1"/>
      <c r="K118" s="1"/>
      <c r="L118" s="1"/>
      <c r="M118" s="173"/>
      <c r="N118" s="1"/>
    </row>
    <row r="119" spans="2:14">
      <c r="B119" s="1"/>
      <c r="C119" s="1"/>
      <c r="D119" s="1"/>
      <c r="E119" s="1"/>
      <c r="F119" s="1"/>
      <c r="G119" s="1"/>
      <c r="H119" s="1"/>
      <c r="I119" s="1"/>
      <c r="J119" s="1"/>
      <c r="K119" s="1"/>
      <c r="L119" s="1"/>
      <c r="M119" s="173"/>
      <c r="N119" s="1"/>
    </row>
    <row r="120" spans="2:14">
      <c r="B120" s="1"/>
      <c r="C120" s="1"/>
      <c r="D120" s="1"/>
      <c r="E120" s="1"/>
      <c r="F120" s="1"/>
      <c r="G120" s="1"/>
      <c r="H120" s="1"/>
      <c r="I120" s="1"/>
      <c r="J120" s="1"/>
      <c r="K120" s="1"/>
      <c r="L120" s="1"/>
      <c r="M120" s="173"/>
      <c r="N120" s="1"/>
    </row>
    <row r="121" spans="2:14">
      <c r="B121" s="1"/>
      <c r="C121" s="1"/>
      <c r="D121" s="1"/>
      <c r="E121" s="1"/>
      <c r="F121" s="1"/>
      <c r="G121" s="1"/>
      <c r="H121" s="1"/>
      <c r="I121" s="1"/>
      <c r="J121" s="1"/>
      <c r="K121" s="1"/>
      <c r="L121" s="1"/>
      <c r="M121" s="173"/>
      <c r="N121" s="1"/>
    </row>
    <row r="122" spans="2:14">
      <c r="B122" s="1"/>
      <c r="C122" s="1"/>
      <c r="D122" s="1"/>
      <c r="E122" s="1"/>
      <c r="F122" s="1"/>
      <c r="G122" s="1"/>
      <c r="H122" s="1"/>
      <c r="I122" s="1"/>
      <c r="J122" s="1"/>
      <c r="K122" s="1"/>
      <c r="L122" s="1"/>
      <c r="M122" s="173"/>
      <c r="N122" s="1"/>
    </row>
    <row r="123" spans="2:14">
      <c r="B123" s="1"/>
      <c r="C123" s="1"/>
      <c r="D123" s="1"/>
      <c r="E123" s="1"/>
      <c r="F123" s="1"/>
      <c r="G123" s="1"/>
      <c r="H123" s="1"/>
      <c r="I123" s="1"/>
      <c r="J123" s="1"/>
      <c r="K123" s="1"/>
      <c r="L123" s="1"/>
      <c r="M123" s="173"/>
      <c r="N123" s="1"/>
    </row>
    <row r="124" spans="2:14">
      <c r="B124" s="1"/>
      <c r="C124" s="1"/>
      <c r="D124" s="1"/>
      <c r="E124" s="1"/>
      <c r="F124" s="1"/>
      <c r="G124" s="1"/>
      <c r="H124" s="1"/>
      <c r="I124" s="1"/>
      <c r="J124" s="1"/>
      <c r="K124" s="1"/>
      <c r="L124" s="1"/>
      <c r="M124" s="173"/>
      <c r="N124" s="1"/>
    </row>
    <row r="125" spans="2:14">
      <c r="B125" s="1"/>
      <c r="C125" s="1"/>
      <c r="D125" s="1"/>
      <c r="E125" s="1"/>
      <c r="F125" s="1"/>
      <c r="G125" s="1"/>
      <c r="H125" s="1"/>
      <c r="I125" s="1"/>
      <c r="J125" s="1"/>
      <c r="K125" s="1"/>
      <c r="L125" s="1"/>
      <c r="M125" s="173"/>
      <c r="N125" s="1"/>
    </row>
    <row r="126" spans="2:14">
      <c r="B126" s="1"/>
      <c r="C126" s="1"/>
      <c r="D126" s="1"/>
      <c r="E126" s="1"/>
      <c r="F126" s="1"/>
      <c r="G126" s="1"/>
      <c r="H126" s="1"/>
      <c r="I126" s="1"/>
      <c r="J126" s="1"/>
      <c r="K126" s="1"/>
      <c r="L126" s="1"/>
      <c r="M126" s="173"/>
      <c r="N126" s="1"/>
    </row>
    <row r="127" spans="2:14">
      <c r="B127" s="1"/>
      <c r="C127" s="1"/>
      <c r="D127" s="1"/>
      <c r="E127" s="1"/>
      <c r="F127" s="1"/>
      <c r="G127" s="1"/>
      <c r="H127" s="1"/>
      <c r="I127" s="1"/>
      <c r="J127" s="1"/>
      <c r="K127" s="1"/>
      <c r="L127" s="1"/>
      <c r="M127" s="173"/>
      <c r="N127" s="1"/>
    </row>
    <row r="128" spans="2:14">
      <c r="B128" s="1"/>
      <c r="C128" s="1"/>
      <c r="D128" s="1"/>
      <c r="E128" s="1"/>
      <c r="F128" s="1"/>
      <c r="G128" s="1"/>
      <c r="H128" s="1"/>
      <c r="I128" s="1"/>
      <c r="J128" s="1"/>
      <c r="K128" s="1"/>
      <c r="L128" s="1"/>
      <c r="M128" s="173"/>
      <c r="N128" s="1"/>
    </row>
    <row r="129" spans="2:14">
      <c r="B129" s="1"/>
      <c r="C129" s="1"/>
      <c r="D129" s="1"/>
      <c r="E129" s="1"/>
      <c r="F129" s="1"/>
      <c r="G129" s="1"/>
      <c r="H129" s="1"/>
      <c r="I129" s="1"/>
      <c r="J129" s="1"/>
      <c r="K129" s="1"/>
      <c r="L129" s="1"/>
      <c r="M129" s="173"/>
      <c r="N129" s="1"/>
    </row>
    <row r="130" spans="2:14">
      <c r="B130" s="1"/>
      <c r="C130" s="1"/>
      <c r="D130" s="1"/>
      <c r="E130" s="1"/>
      <c r="F130" s="1"/>
      <c r="G130" s="1"/>
      <c r="H130" s="1"/>
      <c r="I130" s="1"/>
      <c r="J130" s="1"/>
      <c r="K130" s="1"/>
      <c r="L130" s="1"/>
      <c r="M130" s="173"/>
      <c r="N130" s="1"/>
    </row>
    <row r="131" spans="2:14">
      <c r="B131" s="1"/>
      <c r="C131" s="1"/>
      <c r="D131" s="1"/>
      <c r="E131" s="1"/>
      <c r="F131" s="1"/>
      <c r="G131" s="1"/>
      <c r="H131" s="1"/>
      <c r="I131" s="1"/>
      <c r="J131" s="1"/>
      <c r="K131" s="1"/>
      <c r="L131" s="1"/>
      <c r="M131" s="173"/>
      <c r="N131" s="1"/>
    </row>
    <row r="132" spans="2:14">
      <c r="B132" s="1"/>
      <c r="C132" s="1"/>
      <c r="D132" s="1"/>
      <c r="E132" s="1"/>
      <c r="F132" s="1"/>
      <c r="G132" s="1"/>
      <c r="H132" s="1"/>
      <c r="I132" s="1"/>
      <c r="J132" s="1"/>
      <c r="K132" s="1"/>
      <c r="L132" s="1"/>
      <c r="M132" s="173"/>
      <c r="N132" s="1"/>
    </row>
    <row r="133" spans="2:14">
      <c r="B133" s="1"/>
      <c r="C133" s="1"/>
      <c r="D133" s="1"/>
      <c r="E133" s="1"/>
      <c r="F133" s="1"/>
      <c r="G133" s="1"/>
      <c r="H133" s="1"/>
      <c r="I133" s="1"/>
      <c r="J133" s="1"/>
      <c r="K133" s="1"/>
      <c r="L133" s="1"/>
      <c r="M133" s="173"/>
      <c r="N133" s="1"/>
    </row>
    <row r="134" spans="2:14">
      <c r="B134" s="1"/>
      <c r="C134" s="1"/>
      <c r="D134" s="1"/>
      <c r="E134" s="1"/>
      <c r="F134" s="1"/>
      <c r="G134" s="1"/>
      <c r="H134" s="1"/>
      <c r="I134" s="1"/>
      <c r="J134" s="1"/>
      <c r="K134" s="1"/>
      <c r="L134" s="1"/>
      <c r="M134" s="173"/>
      <c r="N134" s="1"/>
    </row>
    <row r="135" spans="2:14">
      <c r="B135" s="1"/>
      <c r="C135" s="1"/>
      <c r="D135" s="1"/>
      <c r="E135" s="1"/>
      <c r="F135" s="1"/>
      <c r="G135" s="1"/>
      <c r="H135" s="1"/>
      <c r="I135" s="1"/>
      <c r="J135" s="1"/>
      <c r="K135" s="1"/>
      <c r="L135" s="1"/>
      <c r="M135" s="173"/>
      <c r="N135" s="1"/>
    </row>
    <row r="136" spans="2:14">
      <c r="B136" s="1"/>
      <c r="C136" s="1"/>
      <c r="D136" s="1"/>
      <c r="E136" s="1"/>
      <c r="F136" s="1"/>
      <c r="G136" s="1"/>
      <c r="H136" s="1"/>
      <c r="I136" s="1"/>
      <c r="J136" s="1"/>
      <c r="K136" s="1"/>
      <c r="L136" s="1"/>
      <c r="M136" s="173"/>
      <c r="N136" s="1"/>
    </row>
    <row r="137" spans="2:14">
      <c r="B137" s="1"/>
      <c r="C137" s="1"/>
      <c r="D137" s="1"/>
      <c r="E137" s="1"/>
      <c r="F137" s="1"/>
      <c r="G137" s="1"/>
      <c r="H137" s="1"/>
      <c r="I137" s="1"/>
      <c r="J137" s="1"/>
      <c r="K137" s="1"/>
      <c r="L137" s="1"/>
      <c r="M137" s="173"/>
      <c r="N137" s="1"/>
    </row>
    <row r="138" spans="2:14">
      <c r="B138" s="1"/>
      <c r="C138" s="1"/>
      <c r="D138" s="1"/>
      <c r="E138" s="1"/>
      <c r="F138" s="1"/>
      <c r="G138" s="1"/>
      <c r="H138" s="1"/>
      <c r="I138" s="1"/>
      <c r="J138" s="1"/>
      <c r="K138" s="1"/>
      <c r="L138" s="1"/>
      <c r="M138" s="173"/>
      <c r="N138" s="1"/>
    </row>
    <row r="139" spans="2:14">
      <c r="B139" s="1"/>
      <c r="C139" s="1"/>
      <c r="D139" s="1"/>
      <c r="E139" s="1"/>
      <c r="F139" s="1"/>
      <c r="G139" s="1"/>
      <c r="H139" s="1"/>
      <c r="I139" s="1"/>
      <c r="J139" s="1"/>
      <c r="K139" s="1"/>
      <c r="L139" s="1"/>
      <c r="M139" s="173"/>
      <c r="N139" s="1"/>
    </row>
    <row r="140" spans="2:14">
      <c r="B140" s="1"/>
      <c r="C140" s="1"/>
      <c r="D140" s="1"/>
      <c r="E140" s="1"/>
      <c r="F140" s="1"/>
      <c r="G140" s="1"/>
      <c r="H140" s="1"/>
      <c r="I140" s="1"/>
      <c r="J140" s="1"/>
      <c r="K140" s="1"/>
      <c r="L140" s="1"/>
      <c r="M140" s="173"/>
      <c r="N140" s="1"/>
    </row>
    <row r="141" spans="2:14">
      <c r="B141" s="1"/>
      <c r="C141" s="1"/>
      <c r="D141" s="1"/>
      <c r="E141" s="1"/>
      <c r="F141" s="1"/>
      <c r="G141" s="1"/>
      <c r="H141" s="1"/>
      <c r="I141" s="1"/>
      <c r="J141" s="1"/>
      <c r="K141" s="1"/>
      <c r="L141" s="1"/>
      <c r="M141" s="173"/>
      <c r="N141" s="1"/>
    </row>
    <row r="142" spans="2:14">
      <c r="B142" s="1"/>
      <c r="C142" s="1"/>
      <c r="D142" s="1"/>
      <c r="E142" s="1"/>
      <c r="F142" s="1"/>
      <c r="G142" s="1"/>
      <c r="H142" s="1"/>
      <c r="I142" s="1"/>
      <c r="J142" s="1"/>
      <c r="K142" s="1"/>
      <c r="L142" s="1"/>
      <c r="M142" s="173"/>
      <c r="N142" s="1"/>
    </row>
    <row r="143" spans="2:14">
      <c r="B143" s="1"/>
      <c r="C143" s="1"/>
      <c r="D143" s="1"/>
      <c r="E143" s="1"/>
      <c r="F143" s="1"/>
      <c r="G143" s="1"/>
      <c r="H143" s="1"/>
      <c r="I143" s="1"/>
      <c r="J143" s="1"/>
      <c r="K143" s="1"/>
      <c r="L143" s="1"/>
      <c r="M143" s="173"/>
      <c r="N143" s="1"/>
    </row>
    <row r="144" spans="2:14">
      <c r="B144" s="1"/>
      <c r="C144" s="1"/>
      <c r="D144" s="1"/>
      <c r="E144" s="1"/>
      <c r="F144" s="1"/>
      <c r="G144" s="1"/>
      <c r="H144" s="1"/>
      <c r="I144" s="1"/>
      <c r="J144" s="1"/>
      <c r="K144" s="1"/>
      <c r="L144" s="1"/>
      <c r="M144" s="173"/>
      <c r="N144" s="1"/>
    </row>
    <row r="145" spans="2:14">
      <c r="B145" s="1"/>
      <c r="C145" s="1"/>
      <c r="D145" s="1"/>
      <c r="E145" s="1"/>
      <c r="F145" s="1"/>
      <c r="G145" s="1"/>
      <c r="H145" s="1"/>
      <c r="I145" s="1"/>
      <c r="J145" s="1"/>
      <c r="K145" s="1"/>
      <c r="L145" s="1"/>
      <c r="M145" s="173"/>
      <c r="N145" s="1"/>
    </row>
    <row r="146" spans="2:14">
      <c r="B146" s="1"/>
      <c r="C146" s="1"/>
      <c r="D146" s="1"/>
      <c r="E146" s="1"/>
      <c r="F146" s="1"/>
      <c r="G146" s="1"/>
      <c r="H146" s="1"/>
      <c r="I146" s="1"/>
      <c r="J146" s="1"/>
      <c r="K146" s="1"/>
      <c r="L146" s="1"/>
      <c r="M146" s="173"/>
      <c r="N146" s="1"/>
    </row>
    <row r="147" spans="2:14">
      <c r="B147" s="1"/>
      <c r="C147" s="1"/>
      <c r="D147" s="1"/>
      <c r="E147" s="1"/>
      <c r="F147" s="1"/>
      <c r="G147" s="1"/>
      <c r="H147" s="1"/>
      <c r="I147" s="1"/>
      <c r="J147" s="1"/>
      <c r="K147" s="1"/>
      <c r="L147" s="1"/>
      <c r="M147" s="173"/>
      <c r="N147" s="1"/>
    </row>
    <row r="148" spans="2:14">
      <c r="B148" s="1"/>
      <c r="C148" s="1"/>
      <c r="D148" s="1"/>
      <c r="E148" s="1"/>
      <c r="F148" s="1"/>
      <c r="G148" s="1"/>
      <c r="H148" s="1"/>
      <c r="I148" s="1"/>
      <c r="J148" s="1"/>
      <c r="K148" s="1"/>
      <c r="L148" s="1"/>
      <c r="M148" s="173"/>
      <c r="N148" s="1"/>
    </row>
    <row r="149" spans="2:14">
      <c r="B149" s="1"/>
      <c r="C149" s="1"/>
      <c r="D149" s="1"/>
      <c r="E149" s="1"/>
      <c r="F149" s="1"/>
      <c r="G149" s="1"/>
      <c r="H149" s="1"/>
      <c r="I149" s="1"/>
      <c r="J149" s="1"/>
      <c r="K149" s="1"/>
      <c r="L149" s="1"/>
      <c r="M149" s="173"/>
      <c r="N149" s="1"/>
    </row>
    <row r="150" spans="2:14">
      <c r="B150" s="1"/>
      <c r="C150" s="1"/>
      <c r="D150" s="1"/>
      <c r="E150" s="1"/>
      <c r="F150" s="1"/>
      <c r="G150" s="1"/>
      <c r="H150" s="1"/>
      <c r="I150" s="1"/>
      <c r="J150" s="1"/>
      <c r="K150" s="1"/>
      <c r="L150" s="1"/>
      <c r="M150" s="173"/>
      <c r="N150" s="1"/>
    </row>
    <row r="151" spans="2:14">
      <c r="B151" s="1"/>
      <c r="C151" s="1"/>
      <c r="D151" s="1"/>
      <c r="E151" s="1"/>
      <c r="F151" s="1"/>
      <c r="G151" s="1"/>
      <c r="H151" s="1"/>
      <c r="I151" s="1"/>
      <c r="J151" s="1"/>
      <c r="K151" s="1"/>
      <c r="L151" s="1"/>
      <c r="M151" s="173"/>
      <c r="N151" s="1"/>
    </row>
    <row r="152" spans="2:14">
      <c r="B152" s="1"/>
      <c r="C152" s="1"/>
      <c r="D152" s="1"/>
      <c r="E152" s="1"/>
      <c r="F152" s="1"/>
      <c r="G152" s="1"/>
      <c r="H152" s="1"/>
      <c r="I152" s="1"/>
      <c r="J152" s="1"/>
      <c r="K152" s="1"/>
      <c r="L152" s="1"/>
      <c r="M152" s="173"/>
      <c r="N152" s="1"/>
    </row>
    <row r="153" spans="2:14">
      <c r="B153" s="1"/>
      <c r="C153" s="1"/>
      <c r="D153" s="1"/>
      <c r="E153" s="1"/>
      <c r="F153" s="1"/>
      <c r="G153" s="1"/>
      <c r="H153" s="1"/>
      <c r="I153" s="1"/>
      <c r="J153" s="1"/>
      <c r="K153" s="1"/>
      <c r="L153" s="1"/>
      <c r="M153" s="173"/>
      <c r="N153" s="1"/>
    </row>
    <row r="154" spans="2:14">
      <c r="B154" s="1"/>
      <c r="C154" s="1"/>
      <c r="D154" s="1"/>
      <c r="E154" s="1"/>
      <c r="F154" s="1"/>
      <c r="G154" s="1"/>
      <c r="H154" s="1"/>
      <c r="I154" s="1"/>
      <c r="J154" s="1"/>
      <c r="K154" s="1"/>
      <c r="L154" s="1"/>
      <c r="M154" s="173"/>
      <c r="N154" s="1"/>
    </row>
    <row r="155" spans="2:14">
      <c r="B155" s="1"/>
      <c r="C155" s="1"/>
      <c r="D155" s="1"/>
      <c r="E155" s="1"/>
      <c r="F155" s="1"/>
      <c r="G155" s="1"/>
      <c r="H155" s="1"/>
      <c r="I155" s="1"/>
      <c r="J155" s="1"/>
      <c r="K155" s="1"/>
      <c r="L155" s="1"/>
      <c r="M155" s="173"/>
      <c r="N155" s="1"/>
    </row>
    <row r="156" spans="2:14">
      <c r="B156" s="1"/>
      <c r="C156" s="1"/>
      <c r="D156" s="1"/>
      <c r="E156" s="1"/>
      <c r="F156" s="1"/>
      <c r="G156" s="1"/>
      <c r="H156" s="1"/>
      <c r="I156" s="1"/>
      <c r="J156" s="1"/>
      <c r="K156" s="1"/>
      <c r="L156" s="1"/>
      <c r="M156" s="173"/>
      <c r="N156" s="1"/>
    </row>
    <row r="157" spans="2:14">
      <c r="B157" s="1"/>
      <c r="C157" s="1"/>
      <c r="D157" s="1"/>
      <c r="E157" s="1"/>
      <c r="F157" s="1"/>
      <c r="G157" s="1"/>
      <c r="H157" s="1"/>
      <c r="I157" s="1"/>
      <c r="J157" s="1"/>
      <c r="K157" s="1"/>
      <c r="L157" s="1"/>
      <c r="M157" s="173"/>
      <c r="N157" s="1"/>
    </row>
    <row r="158" spans="2:14">
      <c r="B158" s="1"/>
      <c r="C158" s="1"/>
      <c r="D158" s="1"/>
      <c r="E158" s="1"/>
      <c r="F158" s="1"/>
      <c r="G158" s="1"/>
      <c r="H158" s="1"/>
      <c r="I158" s="1"/>
      <c r="J158" s="1"/>
      <c r="K158" s="1"/>
      <c r="L158" s="1"/>
      <c r="M158" s="173"/>
      <c r="N158" s="1"/>
    </row>
    <row r="159" spans="2:14">
      <c r="B159" s="1"/>
      <c r="C159" s="1"/>
      <c r="D159" s="1"/>
      <c r="E159" s="1"/>
      <c r="F159" s="1"/>
      <c r="G159" s="1"/>
      <c r="H159" s="1"/>
      <c r="I159" s="1"/>
      <c r="J159" s="1"/>
      <c r="K159" s="1"/>
      <c r="L159" s="1"/>
      <c r="M159" s="173"/>
      <c r="N159" s="1"/>
    </row>
    <row r="160" spans="2:14">
      <c r="B160" s="1"/>
      <c r="C160" s="1"/>
      <c r="D160" s="1"/>
      <c r="E160" s="1"/>
      <c r="F160" s="1"/>
      <c r="G160" s="1"/>
      <c r="H160" s="1"/>
      <c r="I160" s="1"/>
      <c r="J160" s="1"/>
      <c r="K160" s="1"/>
      <c r="L160" s="1"/>
      <c r="M160" s="173"/>
      <c r="N160" s="1"/>
    </row>
    <row r="161" spans="2:14">
      <c r="B161" s="1"/>
      <c r="C161" s="1"/>
      <c r="D161" s="1"/>
      <c r="E161" s="1"/>
      <c r="F161" s="1"/>
      <c r="G161" s="1"/>
      <c r="H161" s="1"/>
      <c r="I161" s="1"/>
      <c r="J161" s="1"/>
      <c r="K161" s="1"/>
      <c r="L161" s="1"/>
      <c r="M161" s="173"/>
      <c r="N161" s="1"/>
    </row>
    <row r="162" spans="2:14">
      <c r="B162" s="1"/>
      <c r="C162" s="1"/>
      <c r="D162" s="1"/>
      <c r="E162" s="1"/>
      <c r="F162" s="1"/>
      <c r="G162" s="1"/>
      <c r="H162" s="1"/>
      <c r="I162" s="1"/>
      <c r="J162" s="1"/>
      <c r="K162" s="1"/>
      <c r="L162" s="1"/>
      <c r="M162" s="173"/>
      <c r="N162" s="1"/>
    </row>
    <row r="163" spans="2:14">
      <c r="B163" s="1"/>
      <c r="C163" s="1"/>
      <c r="D163" s="1"/>
      <c r="E163" s="1"/>
      <c r="F163" s="1"/>
      <c r="G163" s="1"/>
      <c r="H163" s="1"/>
      <c r="I163" s="1"/>
      <c r="J163" s="1"/>
      <c r="K163" s="1"/>
      <c r="L163" s="1"/>
      <c r="M163" s="173"/>
      <c r="N163" s="1"/>
    </row>
    <row r="164" spans="2:14">
      <c r="B164" s="1"/>
      <c r="C164" s="1"/>
      <c r="D164" s="1"/>
      <c r="E164" s="1"/>
      <c r="F164" s="1"/>
      <c r="G164" s="1"/>
      <c r="H164" s="1"/>
      <c r="I164" s="1"/>
      <c r="J164" s="1"/>
      <c r="K164" s="1"/>
      <c r="L164" s="1"/>
      <c r="M164" s="173"/>
      <c r="N164" s="1"/>
    </row>
    <row r="165" spans="2:14">
      <c r="B165" s="1"/>
      <c r="C165" s="1"/>
      <c r="D165" s="1"/>
      <c r="E165" s="1"/>
      <c r="F165" s="1"/>
      <c r="G165" s="1"/>
      <c r="H165" s="1"/>
      <c r="I165" s="1"/>
      <c r="J165" s="1"/>
      <c r="K165" s="1"/>
      <c r="L165" s="1"/>
      <c r="M165" s="173"/>
      <c r="N165" s="1"/>
    </row>
    <row r="166" spans="2:14">
      <c r="B166" s="1"/>
      <c r="C166" s="1"/>
      <c r="D166" s="1"/>
      <c r="E166" s="1"/>
      <c r="F166" s="1"/>
      <c r="G166" s="1"/>
      <c r="H166" s="1"/>
      <c r="I166" s="1"/>
      <c r="J166" s="1"/>
      <c r="K166" s="1"/>
      <c r="L166" s="1"/>
      <c r="M166" s="173"/>
      <c r="N166" s="1"/>
    </row>
    <row r="167" spans="2:14">
      <c r="B167" s="1"/>
      <c r="C167" s="1"/>
      <c r="D167" s="1"/>
      <c r="E167" s="1"/>
      <c r="F167" s="1"/>
      <c r="G167" s="1"/>
      <c r="H167" s="1"/>
      <c r="I167" s="1"/>
      <c r="J167" s="1"/>
      <c r="K167" s="1"/>
      <c r="L167" s="1"/>
      <c r="M167" s="173"/>
      <c r="N167" s="1"/>
    </row>
  </sheetData>
  <mergeCells count="1">
    <mergeCell ref="J1:L1"/>
  </mergeCells>
  <pageMargins left="0.75" right="0.75" top="1" bottom="1" header="0.5" footer="0.5"/>
  <pageSetup scale="11" orientation="landscape" r:id="rId1"/>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66FF"/>
    <pageSetUpPr fitToPage="1"/>
  </sheetPr>
  <dimension ref="A1:N161"/>
  <sheetViews>
    <sheetView workbookViewId="0">
      <selection activeCell="E9" sqref="E9:L13"/>
    </sheetView>
  </sheetViews>
  <sheetFormatPr defaultColWidth="11" defaultRowHeight="15.75"/>
  <cols>
    <col min="1" max="1" width="25.625" customWidth="1"/>
    <col min="2" max="2" width="15.125" bestFit="1" customWidth="1"/>
    <col min="3" max="9" width="12.5" bestFit="1" customWidth="1"/>
    <col min="10" max="12" width="13.875" customWidth="1"/>
    <col min="13" max="13" width="11" style="190"/>
  </cols>
  <sheetData>
    <row r="1" spans="1:14" ht="18.75">
      <c r="A1" s="37" t="s">
        <v>113</v>
      </c>
      <c r="J1" s="494" t="s">
        <v>215</v>
      </c>
      <c r="K1" s="494"/>
      <c r="L1" s="494"/>
    </row>
    <row r="2" spans="1:14">
      <c r="A2" s="2"/>
      <c r="B2" s="2">
        <v>2009</v>
      </c>
      <c r="C2" s="2">
        <v>2010</v>
      </c>
      <c r="D2" s="2">
        <v>2011</v>
      </c>
      <c r="E2" s="2">
        <v>2012</v>
      </c>
      <c r="F2" s="2">
        <v>2013</v>
      </c>
      <c r="G2" s="2">
        <v>2014</v>
      </c>
      <c r="H2" s="2">
        <v>2015</v>
      </c>
      <c r="I2" s="340">
        <v>2016</v>
      </c>
      <c r="J2" s="340">
        <v>2017</v>
      </c>
      <c r="K2" s="340">
        <v>2018</v>
      </c>
      <c r="L2" s="21">
        <v>2019</v>
      </c>
    </row>
    <row r="3" spans="1:14">
      <c r="A3" s="2"/>
      <c r="B3" s="19"/>
      <c r="C3" s="19"/>
      <c r="D3" s="19"/>
      <c r="E3" s="19"/>
      <c r="F3" s="19"/>
      <c r="G3" s="19"/>
      <c r="H3" s="19"/>
      <c r="I3" s="19"/>
      <c r="J3" s="82" t="s">
        <v>61</v>
      </c>
      <c r="K3" s="82" t="s">
        <v>61</v>
      </c>
      <c r="L3" s="82" t="s">
        <v>61</v>
      </c>
    </row>
    <row r="4" spans="1:14">
      <c r="A4" s="2"/>
      <c r="B4" s="31"/>
      <c r="C4" s="31"/>
      <c r="D4" s="31"/>
      <c r="E4" s="31"/>
      <c r="F4" s="31"/>
      <c r="G4" s="31"/>
      <c r="H4" s="31"/>
      <c r="I4" s="31"/>
      <c r="J4" s="30" t="s">
        <v>57</v>
      </c>
      <c r="K4" s="30" t="s">
        <v>202</v>
      </c>
      <c r="L4" s="30" t="s">
        <v>58</v>
      </c>
    </row>
    <row r="5" spans="1:14">
      <c r="A5" s="10" t="s">
        <v>45</v>
      </c>
      <c r="B5" s="32" t="s">
        <v>114</v>
      </c>
      <c r="C5" s="32" t="s">
        <v>114</v>
      </c>
      <c r="D5" s="32" t="s">
        <v>114</v>
      </c>
      <c r="E5" s="32" t="s">
        <v>114</v>
      </c>
      <c r="F5" s="32" t="s">
        <v>114</v>
      </c>
      <c r="G5" s="32" t="s">
        <v>114</v>
      </c>
      <c r="H5" s="32" t="s">
        <v>114</v>
      </c>
      <c r="I5" s="32" t="s">
        <v>114</v>
      </c>
      <c r="J5" s="32" t="s">
        <v>114</v>
      </c>
      <c r="K5" s="32" t="s">
        <v>114</v>
      </c>
      <c r="L5" s="32" t="s">
        <v>114</v>
      </c>
      <c r="M5" s="195"/>
      <c r="N5" s="2"/>
    </row>
    <row r="6" spans="1:14">
      <c r="A6" s="2"/>
      <c r="B6" s="31"/>
      <c r="C6" s="31"/>
      <c r="D6" s="31"/>
      <c r="E6" s="31"/>
      <c r="F6" s="31"/>
      <c r="G6" s="32"/>
      <c r="H6" s="31"/>
      <c r="I6" s="31"/>
      <c r="J6" s="31"/>
      <c r="K6" s="31"/>
      <c r="L6" s="31"/>
      <c r="M6" s="195"/>
      <c r="N6" s="2"/>
    </row>
    <row r="7" spans="1:14" ht="18.75">
      <c r="A7" s="93" t="s">
        <v>98</v>
      </c>
      <c r="B7" s="31"/>
      <c r="C7" s="31"/>
      <c r="D7" s="31"/>
      <c r="E7" s="31"/>
      <c r="F7" s="31"/>
      <c r="G7" s="31"/>
      <c r="H7" s="31"/>
      <c r="I7" s="31"/>
      <c r="J7" s="31"/>
      <c r="K7" s="31"/>
      <c r="L7" s="31"/>
      <c r="M7" s="195"/>
      <c r="N7" s="2"/>
    </row>
    <row r="8" spans="1:14">
      <c r="A8" s="2"/>
      <c r="B8" s="31"/>
      <c r="C8" s="31"/>
      <c r="D8" s="31"/>
      <c r="E8" s="31"/>
      <c r="F8" s="31"/>
      <c r="G8" s="31"/>
      <c r="H8" s="31"/>
      <c r="I8" s="31"/>
      <c r="J8" s="31"/>
      <c r="K8" s="31"/>
      <c r="L8" s="31"/>
      <c r="M8" s="195"/>
      <c r="N8" s="2"/>
    </row>
    <row r="9" spans="1:14">
      <c r="A9" s="10" t="s">
        <v>100</v>
      </c>
      <c r="B9" s="32"/>
      <c r="C9" s="32"/>
      <c r="D9" s="32"/>
      <c r="E9" s="32"/>
      <c r="F9" s="32"/>
      <c r="G9" s="32"/>
      <c r="H9" s="32"/>
      <c r="I9" s="32"/>
      <c r="J9" s="32"/>
      <c r="K9" s="32"/>
      <c r="L9" s="32"/>
      <c r="M9" s="174"/>
      <c r="N9" s="3"/>
    </row>
    <row r="10" spans="1:14">
      <c r="A10" s="96" t="s">
        <v>93</v>
      </c>
      <c r="B10" s="32"/>
      <c r="C10" s="32"/>
      <c r="D10" s="32"/>
      <c r="E10" s="32"/>
      <c r="F10" s="32"/>
      <c r="G10" s="32"/>
      <c r="H10" s="32"/>
      <c r="I10" s="32"/>
      <c r="J10" s="32"/>
      <c r="K10" s="32"/>
      <c r="L10" s="32"/>
      <c r="M10" s="174"/>
      <c r="N10" s="3"/>
    </row>
    <row r="11" spans="1:14">
      <c r="A11" s="94" t="s">
        <v>101</v>
      </c>
      <c r="B11" s="32"/>
      <c r="C11" s="32"/>
      <c r="D11" s="32"/>
      <c r="E11" s="32"/>
      <c r="F11" s="32"/>
      <c r="G11" s="32"/>
      <c r="H11" s="32"/>
      <c r="I11" s="32"/>
      <c r="J11" s="32"/>
      <c r="K11" s="32"/>
      <c r="L11" s="32"/>
      <c r="M11" s="174"/>
      <c r="N11" s="3"/>
    </row>
    <row r="12" spans="1:14">
      <c r="A12" s="73" t="s">
        <v>83</v>
      </c>
      <c r="B12" s="32"/>
      <c r="C12" s="32"/>
      <c r="D12" s="32"/>
      <c r="E12" s="32"/>
      <c r="F12" s="32"/>
      <c r="G12" s="32"/>
      <c r="H12" s="32"/>
      <c r="I12" s="32"/>
      <c r="J12" s="32"/>
      <c r="K12" s="32"/>
      <c r="L12" s="32"/>
      <c r="M12" s="174"/>
      <c r="N12" s="3"/>
    </row>
    <row r="13" spans="1:14" ht="16.5" thickBot="1">
      <c r="A13" s="39"/>
      <c r="B13" s="125"/>
      <c r="C13" s="125"/>
      <c r="D13" s="125"/>
      <c r="E13" s="125"/>
      <c r="F13" s="125"/>
      <c r="G13" s="125"/>
      <c r="H13" s="125"/>
      <c r="I13" s="125"/>
      <c r="J13" s="125"/>
      <c r="K13" s="125"/>
      <c r="L13" s="125"/>
      <c r="M13" s="195"/>
      <c r="N13" s="2"/>
    </row>
    <row r="14" spans="1:14">
      <c r="A14" s="95" t="s">
        <v>108</v>
      </c>
      <c r="B14" s="32" t="s">
        <v>114</v>
      </c>
      <c r="C14" s="32" t="s">
        <v>114</v>
      </c>
      <c r="D14" s="32" t="s">
        <v>114</v>
      </c>
      <c r="E14" s="32" t="s">
        <v>114</v>
      </c>
      <c r="F14" s="32" t="s">
        <v>114</v>
      </c>
      <c r="G14" s="32" t="s">
        <v>114</v>
      </c>
      <c r="H14" s="32" t="s">
        <v>114</v>
      </c>
      <c r="I14" s="32" t="s">
        <v>114</v>
      </c>
      <c r="J14" s="32" t="s">
        <v>114</v>
      </c>
      <c r="K14" s="32" t="s">
        <v>114</v>
      </c>
      <c r="L14" s="32" t="s">
        <v>114</v>
      </c>
      <c r="M14" s="195"/>
      <c r="N14" s="2"/>
    </row>
    <row r="15" spans="1:14">
      <c r="A15" s="2"/>
      <c r="B15" s="31"/>
      <c r="C15" s="31"/>
      <c r="D15" s="31"/>
      <c r="E15" s="31"/>
      <c r="F15" s="31"/>
      <c r="G15" s="31"/>
      <c r="H15" s="31"/>
      <c r="I15" s="31"/>
      <c r="J15" s="31"/>
      <c r="K15" s="31"/>
      <c r="L15" s="31"/>
      <c r="M15" s="195"/>
      <c r="N15" s="2"/>
    </row>
    <row r="16" spans="1:14" ht="18.75">
      <c r="A16" s="93"/>
      <c r="B16" s="1"/>
      <c r="C16" s="1"/>
      <c r="D16" s="1"/>
      <c r="E16" s="1"/>
      <c r="F16" s="1"/>
      <c r="G16" s="1"/>
      <c r="H16" s="1"/>
      <c r="I16" s="1"/>
      <c r="J16" s="1"/>
      <c r="K16" s="1"/>
      <c r="L16" s="1"/>
      <c r="M16" s="173"/>
      <c r="N16" s="1"/>
    </row>
    <row r="17" spans="1:14" ht="18.75">
      <c r="A17" s="93" t="s">
        <v>73</v>
      </c>
      <c r="B17" s="1"/>
      <c r="C17" s="1"/>
      <c r="D17" s="1"/>
      <c r="E17" s="1"/>
      <c r="F17" s="1"/>
      <c r="G17" s="1"/>
      <c r="H17" s="1"/>
      <c r="I17" s="1"/>
      <c r="J17" s="1"/>
      <c r="K17" s="1"/>
      <c r="L17" s="1"/>
      <c r="M17" s="173"/>
      <c r="N17" s="1"/>
    </row>
    <row r="18" spans="1:14">
      <c r="A18" s="10" t="s">
        <v>100</v>
      </c>
      <c r="B18" s="1"/>
      <c r="C18" s="1"/>
      <c r="D18" s="1"/>
      <c r="E18" s="1"/>
      <c r="F18" s="1"/>
      <c r="G18" s="1"/>
      <c r="H18" s="1"/>
      <c r="I18" s="1">
        <v>0</v>
      </c>
      <c r="J18" s="1">
        <v>0</v>
      </c>
      <c r="K18" s="1">
        <v>0</v>
      </c>
      <c r="L18" s="1">
        <v>0</v>
      </c>
      <c r="M18" s="173"/>
      <c r="N18" s="1"/>
    </row>
    <row r="19" spans="1:14">
      <c r="A19" s="96" t="s">
        <v>93</v>
      </c>
      <c r="B19" s="1"/>
      <c r="C19" s="1"/>
      <c r="D19" s="1"/>
      <c r="E19" s="1"/>
      <c r="F19" s="1"/>
      <c r="G19" s="1"/>
      <c r="H19" s="1"/>
      <c r="I19" s="1"/>
      <c r="J19" s="1"/>
      <c r="K19" s="1"/>
      <c r="L19" s="1"/>
      <c r="M19" s="173"/>
      <c r="N19" s="1"/>
    </row>
    <row r="20" spans="1:14">
      <c r="A20" s="94" t="s">
        <v>101</v>
      </c>
      <c r="B20" s="1"/>
      <c r="C20" s="1"/>
      <c r="D20" s="1"/>
      <c r="E20" s="1"/>
      <c r="F20" s="1"/>
      <c r="G20" s="1"/>
      <c r="H20" s="1"/>
      <c r="I20" s="1"/>
      <c r="J20" s="1"/>
      <c r="K20" s="1"/>
      <c r="L20" s="1"/>
      <c r="M20" s="173"/>
      <c r="N20" s="1"/>
    </row>
    <row r="21" spans="1:14">
      <c r="A21" s="73" t="s">
        <v>83</v>
      </c>
      <c r="B21" s="1"/>
      <c r="C21" s="1"/>
      <c r="D21" s="1"/>
      <c r="E21" s="1"/>
      <c r="F21" s="1"/>
      <c r="G21" s="1"/>
      <c r="H21" s="1"/>
      <c r="I21" s="1"/>
      <c r="J21" s="1"/>
      <c r="K21" s="1"/>
      <c r="L21" s="1"/>
      <c r="M21" s="173"/>
      <c r="N21" s="1"/>
    </row>
    <row r="22" spans="1:14">
      <c r="A22" s="153" t="s">
        <v>157</v>
      </c>
      <c r="B22" s="1"/>
      <c r="C22" s="1"/>
      <c r="D22" s="1"/>
      <c r="E22" s="1"/>
      <c r="F22" s="1"/>
      <c r="G22" s="1"/>
      <c r="H22" s="1"/>
      <c r="I22" s="1"/>
      <c r="J22" s="1"/>
      <c r="K22" s="1"/>
      <c r="L22" s="1"/>
      <c r="M22" s="173"/>
      <c r="N22" s="1"/>
    </row>
    <row r="23" spans="1:14">
      <c r="A23" s="95" t="s">
        <v>119</v>
      </c>
      <c r="B23" s="1">
        <f t="shared" ref="B23:L23" si="0">SUM(B18:B22)</f>
        <v>0</v>
      </c>
      <c r="C23" s="1">
        <f t="shared" si="0"/>
        <v>0</v>
      </c>
      <c r="D23" s="1">
        <f t="shared" si="0"/>
        <v>0</v>
      </c>
      <c r="E23" s="1">
        <f t="shared" si="0"/>
        <v>0</v>
      </c>
      <c r="F23" s="1">
        <f t="shared" si="0"/>
        <v>0</v>
      </c>
      <c r="G23" s="1">
        <f t="shared" si="0"/>
        <v>0</v>
      </c>
      <c r="H23" s="1">
        <f t="shared" si="0"/>
        <v>0</v>
      </c>
      <c r="I23" s="1">
        <f t="shared" si="0"/>
        <v>0</v>
      </c>
      <c r="J23" s="1">
        <f t="shared" si="0"/>
        <v>0</v>
      </c>
      <c r="K23" s="1">
        <f t="shared" si="0"/>
        <v>0</v>
      </c>
      <c r="L23" s="1">
        <f t="shared" si="0"/>
        <v>0</v>
      </c>
      <c r="M23" s="173"/>
      <c r="N23" s="1"/>
    </row>
    <row r="24" spans="1:14" ht="18.75">
      <c r="A24" s="223"/>
      <c r="B24" s="173"/>
      <c r="C24" s="173"/>
      <c r="D24" s="173"/>
      <c r="E24" s="173"/>
      <c r="F24" s="173"/>
      <c r="G24" s="173"/>
      <c r="H24" s="173"/>
      <c r="I24" s="173"/>
      <c r="J24" s="173"/>
      <c r="K24" s="173"/>
      <c r="L24" s="173"/>
      <c r="M24" s="173"/>
      <c r="N24" s="1"/>
    </row>
    <row r="25" spans="1:14">
      <c r="A25" s="366"/>
      <c r="B25" s="117"/>
      <c r="C25" s="117"/>
      <c r="D25" s="117"/>
      <c r="E25" s="117"/>
      <c r="F25" s="117"/>
      <c r="G25" s="117"/>
      <c r="H25" s="117"/>
      <c r="I25" s="117"/>
      <c r="J25" s="117"/>
      <c r="K25" s="117"/>
      <c r="L25" s="117"/>
      <c r="M25" s="173"/>
      <c r="N25" s="1"/>
    </row>
    <row r="26" spans="1:14">
      <c r="A26" s="359"/>
      <c r="B26" s="117"/>
      <c r="C26" s="117"/>
      <c r="D26" s="117"/>
      <c r="E26" s="117"/>
      <c r="F26" s="117"/>
      <c r="G26" s="117"/>
      <c r="H26" s="117"/>
      <c r="I26" s="117"/>
      <c r="J26" s="117"/>
      <c r="K26" s="117"/>
      <c r="L26" s="117"/>
      <c r="M26" s="173"/>
      <c r="N26" s="1"/>
    </row>
    <row r="27" spans="1:14">
      <c r="A27" s="359"/>
      <c r="B27" s="117"/>
      <c r="C27" s="117"/>
      <c r="D27" s="117"/>
      <c r="E27" s="117"/>
      <c r="F27" s="117"/>
      <c r="G27" s="117"/>
      <c r="H27" s="117"/>
      <c r="I27" s="117"/>
      <c r="J27" s="117"/>
      <c r="K27" s="117"/>
      <c r="L27" s="117"/>
      <c r="M27" s="173"/>
      <c r="N27" s="1"/>
    </row>
    <row r="28" spans="1:14">
      <c r="A28" s="359"/>
      <c r="B28" s="117"/>
      <c r="C28" s="117"/>
      <c r="D28" s="117"/>
      <c r="E28" s="117"/>
      <c r="F28" s="117"/>
      <c r="G28" s="117"/>
      <c r="H28" s="117"/>
      <c r="I28" s="117"/>
      <c r="J28" s="117"/>
      <c r="K28" s="117"/>
      <c r="L28" s="117"/>
      <c r="M28" s="173"/>
      <c r="N28" s="1"/>
    </row>
    <row r="29" spans="1:14">
      <c r="A29" s="359"/>
      <c r="B29" s="117"/>
      <c r="C29" s="117"/>
      <c r="D29" s="117"/>
      <c r="E29" s="117"/>
      <c r="F29" s="117"/>
      <c r="G29" s="117"/>
      <c r="H29" s="117"/>
      <c r="I29" s="117"/>
      <c r="J29" s="117"/>
      <c r="K29" s="117"/>
      <c r="L29" s="117"/>
      <c r="M29" s="173"/>
      <c r="N29" s="1"/>
    </row>
    <row r="30" spans="1:14">
      <c r="A30" s="163"/>
      <c r="B30" s="117"/>
      <c r="C30" s="117"/>
      <c r="D30" s="117"/>
      <c r="E30" s="117"/>
      <c r="F30" s="117"/>
      <c r="G30" s="117"/>
      <c r="H30" s="117"/>
      <c r="I30" s="117"/>
      <c r="J30" s="117"/>
      <c r="K30" s="117"/>
      <c r="L30" s="117"/>
      <c r="M30" s="173"/>
      <c r="N30" s="1"/>
    </row>
    <row r="31" spans="1:14">
      <c r="A31" s="357"/>
      <c r="B31" s="117"/>
      <c r="C31" s="117"/>
      <c r="D31" s="117"/>
      <c r="E31" s="117"/>
      <c r="F31" s="117"/>
      <c r="G31" s="117"/>
      <c r="H31" s="117"/>
      <c r="I31" s="117"/>
      <c r="J31" s="117"/>
      <c r="K31" s="117"/>
      <c r="L31" s="117"/>
      <c r="M31" s="173"/>
      <c r="N31" s="1"/>
    </row>
    <row r="32" spans="1:14">
      <c r="A32" s="363"/>
      <c r="B32" s="117"/>
      <c r="C32" s="339"/>
      <c r="D32" s="339"/>
      <c r="E32" s="339"/>
      <c r="F32" s="339"/>
      <c r="G32" s="339"/>
      <c r="H32" s="339"/>
      <c r="I32" s="339"/>
      <c r="J32" s="339"/>
      <c r="K32" s="339"/>
      <c r="L32" s="339"/>
      <c r="M32" s="173"/>
      <c r="N32" s="1"/>
    </row>
    <row r="33" spans="1:14">
      <c r="A33" s="368"/>
      <c r="B33" s="117"/>
      <c r="C33" s="117"/>
      <c r="D33" s="117"/>
      <c r="E33" s="117"/>
      <c r="F33" s="117"/>
      <c r="G33" s="117"/>
      <c r="H33" s="117"/>
      <c r="I33" s="117"/>
      <c r="J33" s="117"/>
      <c r="K33" s="117"/>
      <c r="L33" s="339"/>
      <c r="M33" s="173"/>
      <c r="N33" s="1"/>
    </row>
    <row r="34" spans="1:14">
      <c r="A34" s="163"/>
      <c r="B34" s="117"/>
      <c r="C34" s="117"/>
      <c r="D34" s="117"/>
      <c r="E34" s="117"/>
      <c r="F34" s="117"/>
      <c r="G34" s="117"/>
      <c r="H34" s="117"/>
      <c r="I34" s="117"/>
      <c r="J34" s="117"/>
      <c r="K34" s="117"/>
      <c r="L34" s="117"/>
      <c r="M34" s="173"/>
      <c r="N34" s="1"/>
    </row>
    <row r="35" spans="1:14">
      <c r="A35" s="163"/>
      <c r="B35" s="163"/>
      <c r="C35" s="163"/>
      <c r="D35" s="163"/>
      <c r="E35" s="163"/>
      <c r="F35" s="163"/>
      <c r="G35" s="163"/>
      <c r="H35" s="163"/>
      <c r="I35" s="163"/>
      <c r="J35" s="163"/>
      <c r="K35" s="163"/>
      <c r="L35" s="163"/>
      <c r="M35" s="173"/>
      <c r="N35" s="1"/>
    </row>
    <row r="36" spans="1:14">
      <c r="A36" s="163"/>
      <c r="B36" s="163"/>
      <c r="C36" s="163"/>
      <c r="D36" s="163"/>
      <c r="E36" s="163"/>
      <c r="F36" s="163"/>
      <c r="G36" s="163"/>
      <c r="H36" s="163"/>
      <c r="I36" s="163"/>
      <c r="J36" s="163"/>
      <c r="K36" s="163"/>
      <c r="L36" s="163"/>
      <c r="M36" s="173"/>
      <c r="N36" s="1"/>
    </row>
    <row r="37" spans="1:14">
      <c r="A37" s="163"/>
      <c r="B37" s="163"/>
      <c r="C37" s="163"/>
      <c r="D37" s="163"/>
      <c r="E37" s="163"/>
      <c r="F37" s="163"/>
      <c r="G37" s="163"/>
      <c r="H37" s="163"/>
      <c r="I37" s="163"/>
      <c r="J37" s="163"/>
      <c r="K37" s="163"/>
      <c r="L37" s="163"/>
      <c r="M37" s="173"/>
      <c r="N37" s="1"/>
    </row>
    <row r="38" spans="1:14">
      <c r="A38" s="163"/>
      <c r="B38" s="163"/>
      <c r="C38" s="163"/>
      <c r="D38" s="163"/>
      <c r="E38" s="163"/>
      <c r="F38" s="163"/>
      <c r="G38" s="163"/>
      <c r="H38" s="163"/>
      <c r="I38" s="163"/>
      <c r="J38" s="163"/>
      <c r="K38" s="163"/>
      <c r="L38" s="163"/>
      <c r="M38" s="173"/>
      <c r="N38" s="1"/>
    </row>
    <row r="39" spans="1:14">
      <c r="A39" s="163"/>
      <c r="B39" s="163"/>
      <c r="C39" s="163"/>
      <c r="D39" s="163"/>
      <c r="E39" s="163"/>
      <c r="F39" s="163"/>
      <c r="G39" s="163"/>
      <c r="H39" s="163"/>
      <c r="I39" s="163"/>
      <c r="J39" s="163"/>
      <c r="K39" s="163"/>
      <c r="L39" s="163"/>
      <c r="M39" s="173"/>
      <c r="N39" s="1"/>
    </row>
    <row r="40" spans="1:14">
      <c r="A40" s="163"/>
      <c r="B40" s="163"/>
      <c r="C40" s="163"/>
      <c r="D40" s="163"/>
      <c r="E40" s="163"/>
      <c r="F40" s="163"/>
      <c r="G40" s="163"/>
      <c r="H40" s="163"/>
      <c r="I40" s="163"/>
      <c r="J40" s="163"/>
      <c r="K40" s="163"/>
      <c r="L40" s="163"/>
      <c r="M40" s="173"/>
      <c r="N40" s="1"/>
    </row>
    <row r="41" spans="1:14">
      <c r="A41" s="163"/>
      <c r="B41" s="163"/>
      <c r="C41" s="163"/>
      <c r="D41" s="163"/>
      <c r="E41" s="163"/>
      <c r="F41" s="163"/>
      <c r="G41" s="163"/>
      <c r="H41" s="163"/>
      <c r="I41" s="163"/>
      <c r="J41" s="163"/>
      <c r="K41" s="163"/>
      <c r="L41" s="163"/>
      <c r="M41" s="173"/>
      <c r="N41" s="1"/>
    </row>
    <row r="42" spans="1:14">
      <c r="A42" s="163"/>
      <c r="B42" s="117"/>
      <c r="C42" s="117"/>
      <c r="D42" s="117"/>
      <c r="E42" s="117"/>
      <c r="F42" s="117"/>
      <c r="G42" s="117"/>
      <c r="H42" s="117"/>
      <c r="I42" s="117"/>
      <c r="J42" s="117"/>
      <c r="K42" s="117"/>
      <c r="L42" s="117"/>
      <c r="M42" s="173"/>
      <c r="N42" s="1"/>
    </row>
    <row r="43" spans="1:14">
      <c r="A43" s="163"/>
      <c r="B43" s="117"/>
      <c r="C43" s="117"/>
      <c r="D43" s="117"/>
      <c r="E43" s="117"/>
      <c r="F43" s="117"/>
      <c r="G43" s="117"/>
      <c r="H43" s="117"/>
      <c r="I43" s="117"/>
      <c r="J43" s="117"/>
      <c r="K43" s="117"/>
      <c r="L43" s="117"/>
      <c r="M43" s="173"/>
      <c r="N43" s="1"/>
    </row>
    <row r="44" spans="1:14">
      <c r="A44" s="163"/>
      <c r="B44" s="117"/>
      <c r="C44" s="117"/>
      <c r="D44" s="117"/>
      <c r="E44" s="117"/>
      <c r="F44" s="117"/>
      <c r="G44" s="117"/>
      <c r="H44" s="117"/>
      <c r="I44" s="117"/>
      <c r="J44" s="117"/>
      <c r="K44" s="117"/>
      <c r="L44" s="117"/>
      <c r="M44" s="173"/>
      <c r="N44" s="1"/>
    </row>
    <row r="45" spans="1:14">
      <c r="A45" s="163"/>
      <c r="B45" s="117"/>
      <c r="C45" s="117"/>
      <c r="D45" s="117"/>
      <c r="E45" s="117"/>
      <c r="F45" s="117"/>
      <c r="G45" s="117"/>
      <c r="H45" s="117"/>
      <c r="I45" s="117"/>
      <c r="J45" s="117"/>
      <c r="K45" s="117"/>
      <c r="L45" s="117"/>
      <c r="M45" s="173"/>
      <c r="N45" s="1"/>
    </row>
    <row r="46" spans="1:14" hidden="1">
      <c r="A46" s="357"/>
      <c r="B46" s="193"/>
      <c r="C46" s="193"/>
      <c r="D46" s="193"/>
      <c r="E46" s="193"/>
      <c r="F46" s="193"/>
      <c r="G46" s="193"/>
      <c r="H46" s="193"/>
      <c r="I46" s="193"/>
      <c r="J46" s="193"/>
      <c r="K46" s="193"/>
      <c r="L46" s="193"/>
      <c r="M46" s="173"/>
      <c r="N46" s="1"/>
    </row>
    <row r="47" spans="1:14" hidden="1">
      <c r="A47" s="357"/>
      <c r="B47" s="163"/>
      <c r="C47" s="163"/>
      <c r="D47" s="163"/>
      <c r="E47" s="163"/>
      <c r="F47" s="163"/>
      <c r="G47" s="163"/>
      <c r="H47" s="163"/>
      <c r="I47" s="163"/>
      <c r="J47" s="163"/>
      <c r="K47" s="163"/>
      <c r="L47" s="163"/>
    </row>
    <row r="48" spans="1:14" hidden="1">
      <c r="A48" s="357"/>
      <c r="B48" s="117"/>
      <c r="C48" s="117"/>
      <c r="D48" s="117"/>
      <c r="E48" s="117"/>
      <c r="F48" s="117"/>
      <c r="G48" s="117"/>
      <c r="H48" s="117"/>
      <c r="I48" s="117"/>
      <c r="J48" s="117"/>
      <c r="K48" s="117"/>
      <c r="L48" s="117"/>
      <c r="M48" s="173"/>
      <c r="N48" s="1"/>
    </row>
    <row r="49" spans="1:14" hidden="1">
      <c r="A49" s="357"/>
      <c r="B49" s="358"/>
      <c r="C49" s="358"/>
      <c r="D49" s="358"/>
      <c r="E49" s="358"/>
      <c r="F49" s="358"/>
      <c r="G49" s="358"/>
      <c r="H49" s="358"/>
      <c r="I49" s="358"/>
      <c r="J49" s="358"/>
      <c r="K49" s="358"/>
      <c r="L49" s="358"/>
      <c r="M49" s="173"/>
      <c r="N49" s="1"/>
    </row>
    <row r="50" spans="1:14" hidden="1">
      <c r="A50" s="359"/>
      <c r="B50" s="360"/>
      <c r="C50" s="360"/>
      <c r="D50" s="360"/>
      <c r="E50" s="360"/>
      <c r="F50" s="360"/>
      <c r="G50" s="360"/>
      <c r="H50" s="360"/>
      <c r="I50" s="360"/>
      <c r="J50" s="360"/>
      <c r="K50" s="360"/>
      <c r="L50" s="360"/>
      <c r="M50" s="173"/>
      <c r="N50" s="1"/>
    </row>
    <row r="51" spans="1:14" hidden="1">
      <c r="A51" s="359"/>
      <c r="B51" s="360"/>
      <c r="C51" s="360"/>
      <c r="D51" s="360"/>
      <c r="E51" s="360"/>
      <c r="F51" s="360"/>
      <c r="G51" s="360"/>
      <c r="H51" s="360"/>
      <c r="I51" s="360"/>
      <c r="J51" s="360"/>
      <c r="K51" s="360"/>
      <c r="L51" s="360"/>
      <c r="M51" s="173"/>
      <c r="N51" s="1"/>
    </row>
    <row r="52" spans="1:14" hidden="1">
      <c r="A52" s="359"/>
      <c r="B52" s="360"/>
      <c r="C52" s="360"/>
      <c r="D52" s="360"/>
      <c r="E52" s="360"/>
      <c r="F52" s="360"/>
      <c r="G52" s="360"/>
      <c r="H52" s="360"/>
      <c r="I52" s="360"/>
      <c r="J52" s="360"/>
      <c r="K52" s="360"/>
      <c r="L52" s="360"/>
      <c r="M52" s="173"/>
      <c r="N52" s="1"/>
    </row>
    <row r="53" spans="1:14" hidden="1">
      <c r="A53" s="359"/>
      <c r="B53" s="360"/>
      <c r="C53" s="360"/>
      <c r="D53" s="360"/>
      <c r="E53" s="360"/>
      <c r="F53" s="360"/>
      <c r="G53" s="360"/>
      <c r="H53" s="360"/>
      <c r="I53" s="360"/>
      <c r="J53" s="360"/>
      <c r="K53" s="360"/>
      <c r="L53" s="360"/>
      <c r="M53" s="173"/>
      <c r="N53" s="1"/>
    </row>
    <row r="54" spans="1:14" s="17" customFormat="1" hidden="1">
      <c r="A54" s="361"/>
      <c r="B54" s="362"/>
      <c r="C54" s="362"/>
      <c r="D54" s="362"/>
      <c r="E54" s="362"/>
      <c r="F54" s="362"/>
      <c r="G54" s="362"/>
      <c r="H54" s="362"/>
      <c r="I54" s="362"/>
      <c r="J54" s="362"/>
      <c r="K54" s="362"/>
      <c r="L54" s="362"/>
      <c r="M54" s="197"/>
      <c r="N54" s="33"/>
    </row>
    <row r="55" spans="1:14" hidden="1">
      <c r="A55" s="363"/>
      <c r="B55" s="358"/>
      <c r="C55" s="237"/>
      <c r="D55" s="237"/>
      <c r="E55" s="237"/>
      <c r="F55" s="237"/>
      <c r="G55" s="237"/>
      <c r="H55" s="237"/>
      <c r="I55" s="237"/>
      <c r="J55" s="237"/>
      <c r="K55" s="237"/>
      <c r="L55" s="237"/>
      <c r="M55" s="173"/>
      <c r="N55" s="1"/>
    </row>
    <row r="56" spans="1:14" hidden="1">
      <c r="A56" s="242"/>
      <c r="B56" s="358"/>
      <c r="C56" s="237"/>
      <c r="D56" s="237"/>
      <c r="E56" s="237"/>
      <c r="F56" s="237"/>
      <c r="G56" s="237"/>
      <c r="H56" s="237"/>
      <c r="I56" s="237"/>
      <c r="J56" s="237"/>
      <c r="K56" s="237"/>
      <c r="L56" s="237"/>
      <c r="M56" s="173"/>
      <c r="N56" s="1"/>
    </row>
    <row r="57" spans="1:14" hidden="1">
      <c r="A57" s="163"/>
      <c r="B57" s="117"/>
      <c r="C57" s="117"/>
      <c r="D57" s="117"/>
      <c r="E57" s="117"/>
      <c r="F57" s="117"/>
      <c r="G57" s="117"/>
      <c r="H57" s="117"/>
      <c r="I57" s="117"/>
      <c r="J57" s="117"/>
      <c r="K57" s="117"/>
      <c r="L57" s="117"/>
      <c r="M57" s="173"/>
      <c r="N57" s="1"/>
    </row>
    <row r="58" spans="1:14" ht="18.75" hidden="1">
      <c r="A58" s="364"/>
      <c r="B58" s="117"/>
      <c r="C58" s="117"/>
      <c r="D58" s="117"/>
      <c r="E58" s="117"/>
      <c r="F58" s="117"/>
      <c r="G58" s="117"/>
      <c r="H58" s="117"/>
      <c r="I58" s="117"/>
      <c r="J58" s="117"/>
      <c r="K58" s="117"/>
      <c r="L58" s="117"/>
      <c r="M58" s="173"/>
      <c r="N58" s="1"/>
    </row>
    <row r="59" spans="1:14" hidden="1">
      <c r="A59" s="165"/>
      <c r="B59" s="365"/>
      <c r="C59" s="365"/>
      <c r="D59" s="365"/>
      <c r="E59" s="365"/>
      <c r="F59" s="365"/>
      <c r="G59" s="365"/>
      <c r="H59" s="365"/>
      <c r="I59" s="365"/>
      <c r="J59" s="365"/>
      <c r="K59" s="365"/>
      <c r="L59" s="365"/>
      <c r="M59" s="173"/>
      <c r="N59" s="1"/>
    </row>
    <row r="60" spans="1:14" hidden="1">
      <c r="A60" s="163"/>
      <c r="B60" s="117"/>
      <c r="C60" s="117"/>
      <c r="D60" s="117"/>
      <c r="E60" s="117"/>
      <c r="F60" s="117"/>
      <c r="G60" s="117"/>
      <c r="H60" s="117"/>
      <c r="I60" s="117"/>
      <c r="J60" s="117"/>
      <c r="K60" s="117"/>
      <c r="L60" s="117"/>
      <c r="M60" s="173"/>
      <c r="N60" s="1"/>
    </row>
    <row r="61" spans="1:14" hidden="1">
      <c r="A61" s="163"/>
      <c r="B61" s="117"/>
      <c r="C61" s="117"/>
      <c r="D61" s="117"/>
      <c r="E61" s="117"/>
      <c r="F61" s="117"/>
      <c r="G61" s="117"/>
      <c r="H61" s="117"/>
      <c r="I61" s="117"/>
      <c r="J61" s="117"/>
      <c r="K61" s="117"/>
      <c r="L61" s="117"/>
      <c r="M61" s="173"/>
      <c r="N61" s="1"/>
    </row>
    <row r="62" spans="1:14" hidden="1">
      <c r="A62" s="359"/>
      <c r="B62" s="117"/>
      <c r="C62" s="117"/>
      <c r="D62" s="117"/>
      <c r="E62" s="117"/>
      <c r="F62" s="117"/>
      <c r="G62" s="117"/>
      <c r="H62" s="117"/>
      <c r="I62" s="117"/>
      <c r="J62" s="117"/>
      <c r="K62" s="117"/>
      <c r="L62" s="117"/>
      <c r="M62" s="173"/>
      <c r="N62" s="1"/>
    </row>
    <row r="63" spans="1:14" hidden="1">
      <c r="A63" s="359"/>
      <c r="B63" s="117"/>
      <c r="C63" s="117"/>
      <c r="D63" s="117"/>
      <c r="E63" s="117"/>
      <c r="F63" s="117"/>
      <c r="G63" s="117"/>
      <c r="H63" s="117"/>
      <c r="I63" s="117"/>
      <c r="J63" s="117"/>
      <c r="K63" s="117"/>
      <c r="L63" s="117"/>
      <c r="M63" s="173"/>
      <c r="N63" s="1"/>
    </row>
    <row r="64" spans="1:14" hidden="1">
      <c r="A64" s="359"/>
      <c r="B64" s="117"/>
      <c r="C64" s="117"/>
      <c r="D64" s="117"/>
      <c r="E64" s="117"/>
      <c r="F64" s="117"/>
      <c r="G64" s="117"/>
      <c r="H64" s="117"/>
      <c r="I64" s="117"/>
      <c r="J64" s="117"/>
      <c r="K64" s="117"/>
      <c r="L64" s="117"/>
      <c r="M64" s="173"/>
      <c r="N64" s="1"/>
    </row>
    <row r="65" spans="1:14" hidden="1">
      <c r="A65" s="359"/>
      <c r="B65" s="117"/>
      <c r="C65" s="117"/>
      <c r="D65" s="117"/>
      <c r="E65" s="117"/>
      <c r="F65" s="117"/>
      <c r="G65" s="117"/>
      <c r="H65" s="117"/>
      <c r="I65" s="117"/>
      <c r="J65" s="117"/>
      <c r="K65" s="117"/>
      <c r="L65" s="117"/>
      <c r="M65" s="173"/>
      <c r="N65" s="1"/>
    </row>
    <row r="66" spans="1:14" hidden="1">
      <c r="A66" s="357"/>
      <c r="B66" s="117"/>
      <c r="C66" s="117"/>
      <c r="D66" s="117"/>
      <c r="E66" s="117"/>
      <c r="F66" s="117"/>
      <c r="G66" s="117"/>
      <c r="H66" s="117"/>
      <c r="I66" s="117"/>
      <c r="J66" s="117"/>
      <c r="K66" s="117"/>
      <c r="L66" s="117"/>
      <c r="M66" s="173"/>
      <c r="N66" s="1"/>
    </row>
    <row r="67" spans="1:14" hidden="1">
      <c r="A67" s="163"/>
      <c r="B67" s="117"/>
      <c r="C67" s="117"/>
      <c r="D67" s="117"/>
      <c r="E67" s="117"/>
      <c r="F67" s="117"/>
      <c r="G67" s="117"/>
      <c r="H67" s="117"/>
      <c r="I67" s="117"/>
      <c r="J67" s="117"/>
      <c r="K67" s="117"/>
      <c r="L67" s="117"/>
      <c r="M67" s="173"/>
      <c r="N67" s="1"/>
    </row>
    <row r="68" spans="1:14" hidden="1">
      <c r="A68" s="163"/>
      <c r="B68" s="117"/>
      <c r="C68" s="117"/>
      <c r="D68" s="117"/>
      <c r="E68" s="117"/>
      <c r="F68" s="117"/>
      <c r="G68" s="117"/>
      <c r="H68" s="117"/>
      <c r="I68" s="117"/>
      <c r="J68" s="117"/>
      <c r="K68" s="117"/>
      <c r="L68" s="117"/>
      <c r="M68" s="173"/>
      <c r="N68" s="1"/>
    </row>
    <row r="69" spans="1:14" hidden="1">
      <c r="A69" s="163"/>
      <c r="B69" s="159"/>
      <c r="C69" s="159"/>
      <c r="D69" s="159"/>
      <c r="E69" s="159"/>
      <c r="F69" s="159"/>
      <c r="G69" s="159"/>
      <c r="H69" s="159"/>
      <c r="I69" s="159"/>
      <c r="J69" s="159"/>
      <c r="K69" s="159"/>
      <c r="L69" s="159"/>
      <c r="M69" s="173"/>
      <c r="N69" s="1"/>
    </row>
    <row r="70" spans="1:14" hidden="1">
      <c r="A70" s="163"/>
      <c r="B70" s="159"/>
      <c r="C70" s="159"/>
      <c r="D70" s="159"/>
      <c r="E70" s="159"/>
      <c r="F70" s="159"/>
      <c r="G70" s="159"/>
      <c r="H70" s="159"/>
      <c r="I70" s="159"/>
      <c r="J70" s="159"/>
      <c r="K70" s="159"/>
      <c r="L70" s="159"/>
      <c r="M70" s="173"/>
      <c r="N70" s="1"/>
    </row>
    <row r="71" spans="1:14" hidden="1">
      <c r="A71" s="163"/>
      <c r="B71" s="117"/>
      <c r="C71" s="117"/>
      <c r="D71" s="117"/>
      <c r="E71" s="117"/>
      <c r="F71" s="117"/>
      <c r="G71" s="117"/>
      <c r="H71" s="117"/>
      <c r="I71" s="117"/>
      <c r="J71" s="117"/>
      <c r="K71" s="117"/>
      <c r="L71" s="117"/>
      <c r="M71" s="173"/>
      <c r="N71" s="1"/>
    </row>
    <row r="72" spans="1:14" hidden="1">
      <c r="A72" s="163"/>
      <c r="B72" s="117"/>
      <c r="C72" s="117"/>
      <c r="D72" s="117"/>
      <c r="E72" s="117"/>
      <c r="F72" s="117"/>
      <c r="G72" s="117"/>
      <c r="H72" s="117"/>
      <c r="I72" s="117"/>
      <c r="J72" s="117"/>
      <c r="K72" s="117"/>
      <c r="L72" s="117"/>
      <c r="M72" s="173"/>
      <c r="N72" s="1"/>
    </row>
    <row r="73" spans="1:14" hidden="1">
      <c r="A73" s="163"/>
      <c r="B73" s="117"/>
      <c r="C73" s="117"/>
      <c r="D73" s="117"/>
      <c r="E73" s="117"/>
      <c r="F73" s="117"/>
      <c r="G73" s="117"/>
      <c r="H73" s="117"/>
      <c r="I73" s="117"/>
      <c r="J73" s="117"/>
      <c r="K73" s="117"/>
      <c r="L73" s="117"/>
      <c r="M73" s="173"/>
      <c r="N73" s="1"/>
    </row>
    <row r="74" spans="1:14" hidden="1">
      <c r="A74" s="163"/>
      <c r="B74" s="117"/>
      <c r="C74" s="117"/>
      <c r="D74" s="117"/>
      <c r="E74" s="117"/>
      <c r="F74" s="117"/>
      <c r="G74" s="117"/>
      <c r="H74" s="117"/>
      <c r="I74" s="117"/>
      <c r="J74" s="117"/>
      <c r="K74" s="117"/>
      <c r="L74" s="117"/>
      <c r="M74" s="173"/>
      <c r="N74" s="1"/>
    </row>
    <row r="75" spans="1:14" hidden="1">
      <c r="A75" s="163"/>
      <c r="B75" s="117"/>
      <c r="C75" s="117"/>
      <c r="D75" s="117"/>
      <c r="E75" s="117"/>
      <c r="F75" s="117"/>
      <c r="G75" s="117"/>
      <c r="H75" s="117"/>
      <c r="I75" s="117"/>
      <c r="J75" s="117"/>
      <c r="K75" s="117"/>
      <c r="L75" s="117"/>
      <c r="M75" s="173"/>
      <c r="N75" s="1"/>
    </row>
    <row r="76" spans="1:14">
      <c r="A76" s="163"/>
      <c r="B76" s="117"/>
      <c r="C76" s="117"/>
      <c r="D76" s="117"/>
      <c r="E76" s="117"/>
      <c r="F76" s="117"/>
      <c r="G76" s="117"/>
      <c r="H76" s="117"/>
      <c r="I76" s="117"/>
      <c r="J76" s="117"/>
      <c r="K76" s="117"/>
      <c r="L76" s="117"/>
      <c r="M76" s="173"/>
      <c r="N76" s="1"/>
    </row>
    <row r="77" spans="1:14">
      <c r="A77" s="163"/>
      <c r="B77" s="117"/>
      <c r="C77" s="117"/>
      <c r="D77" s="117"/>
      <c r="E77" s="117"/>
      <c r="F77" s="117"/>
      <c r="G77" s="117"/>
      <c r="H77" s="117"/>
      <c r="I77" s="117"/>
      <c r="J77" s="117"/>
      <c r="K77" s="117"/>
      <c r="L77" s="117"/>
      <c r="M77" s="173"/>
      <c r="N77" s="1"/>
    </row>
    <row r="78" spans="1:14">
      <c r="A78" s="163"/>
      <c r="B78" s="117"/>
      <c r="C78" s="117"/>
      <c r="D78" s="117"/>
      <c r="E78" s="117"/>
      <c r="F78" s="117"/>
      <c r="G78" s="117"/>
      <c r="H78" s="117"/>
      <c r="I78" s="117"/>
      <c r="J78" s="117"/>
      <c r="K78" s="117"/>
      <c r="L78" s="117"/>
      <c r="M78" s="173"/>
      <c r="N78" s="1"/>
    </row>
    <row r="79" spans="1:14">
      <c r="A79" s="163"/>
      <c r="B79" s="117"/>
      <c r="C79" s="117"/>
      <c r="D79" s="117"/>
      <c r="E79" s="117"/>
      <c r="F79" s="117"/>
      <c r="G79" s="117"/>
      <c r="H79" s="117"/>
      <c r="I79" s="117"/>
      <c r="J79" s="117"/>
      <c r="K79" s="117"/>
      <c r="L79" s="117"/>
      <c r="M79" s="173"/>
      <c r="N79" s="1"/>
    </row>
    <row r="80" spans="1:14">
      <c r="A80" s="163"/>
      <c r="B80" s="117"/>
      <c r="C80" s="117"/>
      <c r="D80" s="117"/>
      <c r="E80" s="117"/>
      <c r="F80" s="117"/>
      <c r="G80" s="117"/>
      <c r="H80" s="117"/>
      <c r="I80" s="117"/>
      <c r="J80" s="117"/>
      <c r="K80" s="117"/>
      <c r="L80" s="117"/>
      <c r="M80" s="173"/>
      <c r="N80" s="1"/>
    </row>
    <row r="81" spans="1:14">
      <c r="A81" s="163"/>
      <c r="B81" s="117"/>
      <c r="C81" s="117"/>
      <c r="D81" s="117"/>
      <c r="E81" s="117"/>
      <c r="F81" s="117"/>
      <c r="G81" s="117"/>
      <c r="H81" s="117"/>
      <c r="I81" s="117"/>
      <c r="J81" s="117"/>
      <c r="K81" s="117"/>
      <c r="L81" s="117"/>
      <c r="M81" s="173"/>
      <c r="N81" s="1"/>
    </row>
    <row r="82" spans="1:14">
      <c r="A82" s="163"/>
      <c r="B82" s="117"/>
      <c r="C82" s="117"/>
      <c r="D82" s="117"/>
      <c r="E82" s="117"/>
      <c r="F82" s="117"/>
      <c r="G82" s="117"/>
      <c r="H82" s="117"/>
      <c r="I82" s="117"/>
      <c r="J82" s="117"/>
      <c r="K82" s="117"/>
      <c r="L82" s="117"/>
      <c r="M82" s="173"/>
      <c r="N82" s="1"/>
    </row>
    <row r="83" spans="1:14">
      <c r="A83" s="163"/>
      <c r="B83" s="117"/>
      <c r="C83" s="117"/>
      <c r="D83" s="117"/>
      <c r="E83" s="117"/>
      <c r="F83" s="117"/>
      <c r="G83" s="117"/>
      <c r="H83" s="117"/>
      <c r="I83" s="117"/>
      <c r="J83" s="117"/>
      <c r="K83" s="117"/>
      <c r="L83" s="117"/>
      <c r="M83" s="173"/>
      <c r="N83" s="1"/>
    </row>
    <row r="84" spans="1:14">
      <c r="A84" s="163"/>
      <c r="B84" s="117"/>
      <c r="C84" s="117"/>
      <c r="D84" s="117"/>
      <c r="E84" s="117"/>
      <c r="F84" s="117"/>
      <c r="G84" s="117"/>
      <c r="H84" s="117"/>
      <c r="I84" s="117"/>
      <c r="J84" s="117"/>
      <c r="K84" s="117"/>
      <c r="L84" s="117"/>
      <c r="M84" s="173"/>
      <c r="N84" s="1"/>
    </row>
    <row r="85" spans="1:14">
      <c r="A85" s="163"/>
      <c r="B85" s="117"/>
      <c r="C85" s="117"/>
      <c r="D85" s="117"/>
      <c r="E85" s="117"/>
      <c r="F85" s="117"/>
      <c r="G85" s="117"/>
      <c r="H85" s="117"/>
      <c r="I85" s="117"/>
      <c r="J85" s="117"/>
      <c r="K85" s="117"/>
      <c r="L85" s="117"/>
      <c r="M85" s="173"/>
      <c r="N85" s="1"/>
    </row>
    <row r="86" spans="1:14">
      <c r="A86" s="163"/>
      <c r="B86" s="117"/>
      <c r="C86" s="117"/>
      <c r="D86" s="117"/>
      <c r="E86" s="117"/>
      <c r="F86" s="117"/>
      <c r="G86" s="117"/>
      <c r="H86" s="117"/>
      <c r="I86" s="117"/>
      <c r="J86" s="117"/>
      <c r="K86" s="117"/>
      <c r="L86" s="117"/>
      <c r="M86" s="173"/>
      <c r="N86" s="1"/>
    </row>
    <row r="87" spans="1:14">
      <c r="A87" s="163"/>
      <c r="B87" s="117"/>
      <c r="C87" s="117"/>
      <c r="D87" s="117"/>
      <c r="E87" s="117"/>
      <c r="F87" s="117"/>
      <c r="G87" s="117"/>
      <c r="H87" s="117"/>
      <c r="I87" s="117"/>
      <c r="J87" s="117"/>
      <c r="K87" s="117"/>
      <c r="L87" s="117"/>
      <c r="M87" s="173"/>
      <c r="N87" s="1"/>
    </row>
    <row r="88" spans="1:14">
      <c r="A88" s="163"/>
      <c r="B88" s="117"/>
      <c r="C88" s="117"/>
      <c r="D88" s="117"/>
      <c r="E88" s="117"/>
      <c r="F88" s="117"/>
      <c r="G88" s="117"/>
      <c r="H88" s="117"/>
      <c r="I88" s="117"/>
      <c r="J88" s="117"/>
      <c r="K88" s="117"/>
      <c r="L88" s="117"/>
      <c r="M88" s="173"/>
      <c r="N88" s="1"/>
    </row>
    <row r="89" spans="1:14">
      <c r="A89" s="163"/>
      <c r="B89" s="117"/>
      <c r="C89" s="117"/>
      <c r="D89" s="117"/>
      <c r="E89" s="117"/>
      <c r="F89" s="117"/>
      <c r="G89" s="117"/>
      <c r="H89" s="117"/>
      <c r="I89" s="117"/>
      <c r="J89" s="117"/>
      <c r="K89" s="117"/>
      <c r="L89" s="117"/>
      <c r="M89" s="173"/>
      <c r="N89" s="1"/>
    </row>
    <row r="90" spans="1:14">
      <c r="A90" s="163"/>
      <c r="B90" s="117"/>
      <c r="C90" s="117"/>
      <c r="D90" s="117"/>
      <c r="E90" s="117"/>
      <c r="F90" s="117"/>
      <c r="G90" s="117"/>
      <c r="H90" s="117"/>
      <c r="I90" s="117"/>
      <c r="J90" s="117"/>
      <c r="K90" s="117"/>
      <c r="L90" s="117"/>
      <c r="M90" s="173"/>
      <c r="N90" s="1"/>
    </row>
    <row r="91" spans="1:14">
      <c r="A91" s="163"/>
      <c r="B91" s="117"/>
      <c r="C91" s="117"/>
      <c r="D91" s="117"/>
      <c r="E91" s="117"/>
      <c r="F91" s="117"/>
      <c r="G91" s="117"/>
      <c r="H91" s="117"/>
      <c r="I91" s="117"/>
      <c r="J91" s="117"/>
      <c r="K91" s="117"/>
      <c r="L91" s="117"/>
      <c r="M91" s="173"/>
      <c r="N91" s="1"/>
    </row>
    <row r="92" spans="1:14">
      <c r="A92" s="163"/>
      <c r="B92" s="117"/>
      <c r="C92" s="117"/>
      <c r="D92" s="117"/>
      <c r="E92" s="117"/>
      <c r="F92" s="117"/>
      <c r="G92" s="117"/>
      <c r="H92" s="117"/>
      <c r="I92" s="117"/>
      <c r="J92" s="117"/>
      <c r="K92" s="117"/>
      <c r="L92" s="117"/>
      <c r="M92" s="173"/>
      <c r="N92" s="1"/>
    </row>
    <row r="93" spans="1:14">
      <c r="A93" s="163"/>
      <c r="B93" s="117"/>
      <c r="C93" s="117"/>
      <c r="D93" s="117"/>
      <c r="E93" s="117"/>
      <c r="F93" s="117"/>
      <c r="G93" s="117"/>
      <c r="H93" s="117"/>
      <c r="I93" s="117"/>
      <c r="J93" s="117"/>
      <c r="K93" s="117"/>
      <c r="L93" s="117"/>
      <c r="M93" s="173"/>
      <c r="N93" s="1"/>
    </row>
    <row r="94" spans="1:14">
      <c r="A94" s="163"/>
      <c r="B94" s="117"/>
      <c r="C94" s="117"/>
      <c r="D94" s="117"/>
      <c r="E94" s="117"/>
      <c r="F94" s="117"/>
      <c r="G94" s="117"/>
      <c r="H94" s="117"/>
      <c r="I94" s="117"/>
      <c r="J94" s="117"/>
      <c r="K94" s="117"/>
      <c r="L94" s="117"/>
      <c r="M94" s="173"/>
      <c r="N94" s="1"/>
    </row>
    <row r="95" spans="1:14">
      <c r="A95" s="163"/>
      <c r="B95" s="117"/>
      <c r="C95" s="117"/>
      <c r="D95" s="117"/>
      <c r="E95" s="117"/>
      <c r="F95" s="117"/>
      <c r="G95" s="117"/>
      <c r="H95" s="117"/>
      <c r="I95" s="117"/>
      <c r="J95" s="117"/>
      <c r="K95" s="117"/>
      <c r="L95" s="117"/>
      <c r="M95" s="173"/>
      <c r="N95" s="1"/>
    </row>
    <row r="96" spans="1:14">
      <c r="A96" s="163"/>
      <c r="B96" s="117"/>
      <c r="C96" s="117"/>
      <c r="D96" s="117"/>
      <c r="E96" s="117"/>
      <c r="F96" s="117"/>
      <c r="G96" s="117"/>
      <c r="H96" s="117"/>
      <c r="I96" s="117"/>
      <c r="J96" s="117"/>
      <c r="K96" s="117"/>
      <c r="L96" s="117"/>
      <c r="M96" s="173"/>
      <c r="N96" s="1"/>
    </row>
    <row r="97" spans="1:14">
      <c r="A97" s="163"/>
      <c r="B97" s="117"/>
      <c r="C97" s="117"/>
      <c r="D97" s="117"/>
      <c r="E97" s="117"/>
      <c r="F97" s="117"/>
      <c r="G97" s="117"/>
      <c r="H97" s="117"/>
      <c r="I97" s="117"/>
      <c r="J97" s="117"/>
      <c r="K97" s="117"/>
      <c r="L97" s="117"/>
      <c r="M97" s="173"/>
      <c r="N97" s="1"/>
    </row>
    <row r="98" spans="1:14">
      <c r="A98" s="163"/>
      <c r="B98" s="117"/>
      <c r="C98" s="117"/>
      <c r="D98" s="117"/>
      <c r="E98" s="117"/>
      <c r="F98" s="117"/>
      <c r="G98" s="117"/>
      <c r="H98" s="117"/>
      <c r="I98" s="117"/>
      <c r="J98" s="117"/>
      <c r="K98" s="117"/>
      <c r="L98" s="117"/>
      <c r="M98" s="173"/>
      <c r="N98" s="1"/>
    </row>
    <row r="99" spans="1:14">
      <c r="A99" s="163"/>
      <c r="B99" s="117"/>
      <c r="C99" s="117"/>
      <c r="D99" s="117"/>
      <c r="E99" s="117"/>
      <c r="F99" s="117"/>
      <c r="G99" s="117"/>
      <c r="H99" s="117"/>
      <c r="I99" s="117"/>
      <c r="J99" s="117"/>
      <c r="K99" s="117"/>
      <c r="L99" s="117"/>
      <c r="M99" s="173"/>
      <c r="N99" s="1"/>
    </row>
    <row r="100" spans="1:14">
      <c r="A100" s="163"/>
      <c r="B100" s="117"/>
      <c r="C100" s="117"/>
      <c r="D100" s="117"/>
      <c r="E100" s="117"/>
      <c r="F100" s="117"/>
      <c r="G100" s="117"/>
      <c r="H100" s="117"/>
      <c r="I100" s="117"/>
      <c r="J100" s="117"/>
      <c r="K100" s="117"/>
      <c r="L100" s="117"/>
      <c r="M100" s="173"/>
      <c r="N100" s="1"/>
    </row>
    <row r="101" spans="1:14">
      <c r="A101" s="163"/>
      <c r="B101" s="117"/>
      <c r="C101" s="117"/>
      <c r="D101" s="117"/>
      <c r="E101" s="117"/>
      <c r="F101" s="117"/>
      <c r="G101" s="117"/>
      <c r="H101" s="117"/>
      <c r="I101" s="117"/>
      <c r="J101" s="117"/>
      <c r="K101" s="117"/>
      <c r="L101" s="117"/>
      <c r="M101" s="173"/>
      <c r="N101" s="1"/>
    </row>
    <row r="102" spans="1:14">
      <c r="A102" s="163"/>
      <c r="B102" s="117"/>
      <c r="C102" s="117"/>
      <c r="D102" s="117"/>
      <c r="E102" s="117"/>
      <c r="F102" s="117"/>
      <c r="G102" s="117"/>
      <c r="H102" s="117"/>
      <c r="I102" s="117"/>
      <c r="J102" s="117"/>
      <c r="K102" s="117"/>
      <c r="L102" s="117"/>
      <c r="M102" s="173"/>
      <c r="N102" s="1"/>
    </row>
    <row r="103" spans="1:14">
      <c r="A103" s="163"/>
      <c r="B103" s="117"/>
      <c r="C103" s="117"/>
      <c r="D103" s="117"/>
      <c r="E103" s="117"/>
      <c r="F103" s="117"/>
      <c r="G103" s="117"/>
      <c r="H103" s="117"/>
      <c r="I103" s="117"/>
      <c r="J103" s="117"/>
      <c r="K103" s="117"/>
      <c r="L103" s="117"/>
      <c r="M103" s="173"/>
      <c r="N103" s="1"/>
    </row>
    <row r="104" spans="1:14">
      <c r="A104" s="163"/>
      <c r="B104" s="117"/>
      <c r="C104" s="117"/>
      <c r="D104" s="117"/>
      <c r="E104" s="117"/>
      <c r="F104" s="117"/>
      <c r="G104" s="117"/>
      <c r="H104" s="117"/>
      <c r="I104" s="117"/>
      <c r="J104" s="117"/>
      <c r="K104" s="117"/>
      <c r="L104" s="117"/>
      <c r="M104" s="173"/>
      <c r="N104" s="1"/>
    </row>
    <row r="105" spans="1:14">
      <c r="A105" s="163"/>
      <c r="B105" s="117"/>
      <c r="C105" s="117"/>
      <c r="D105" s="117"/>
      <c r="E105" s="117"/>
      <c r="F105" s="117"/>
      <c r="G105" s="117"/>
      <c r="H105" s="117"/>
      <c r="I105" s="117"/>
      <c r="J105" s="117"/>
      <c r="K105" s="117"/>
      <c r="L105" s="117"/>
      <c r="M105" s="173"/>
      <c r="N105" s="1"/>
    </row>
    <row r="106" spans="1:14">
      <c r="A106" s="163"/>
      <c r="B106" s="117"/>
      <c r="C106" s="117"/>
      <c r="D106" s="117"/>
      <c r="E106" s="117"/>
      <c r="F106" s="117"/>
      <c r="G106" s="117"/>
      <c r="H106" s="117"/>
      <c r="I106" s="117"/>
      <c r="J106" s="117"/>
      <c r="K106" s="117"/>
      <c r="L106" s="117"/>
      <c r="M106" s="173"/>
      <c r="N106" s="1"/>
    </row>
    <row r="107" spans="1:14">
      <c r="A107" s="163"/>
      <c r="B107" s="117"/>
      <c r="C107" s="117"/>
      <c r="D107" s="117"/>
      <c r="E107" s="117"/>
      <c r="F107" s="117"/>
      <c r="G107" s="117"/>
      <c r="H107" s="117"/>
      <c r="I107" s="117"/>
      <c r="J107" s="117"/>
      <c r="K107" s="117"/>
      <c r="L107" s="117"/>
      <c r="M107" s="173"/>
      <c r="N107" s="1"/>
    </row>
    <row r="108" spans="1:14">
      <c r="A108" s="163"/>
      <c r="B108" s="117"/>
      <c r="C108" s="117"/>
      <c r="D108" s="117"/>
      <c r="E108" s="117"/>
      <c r="F108" s="117"/>
      <c r="G108" s="117"/>
      <c r="H108" s="117"/>
      <c r="I108" s="117"/>
      <c r="J108" s="117"/>
      <c r="K108" s="117"/>
      <c r="L108" s="117"/>
      <c r="M108" s="173"/>
      <c r="N108" s="1"/>
    </row>
    <row r="109" spans="1:14">
      <c r="A109" s="163"/>
      <c r="B109" s="117"/>
      <c r="C109" s="117"/>
      <c r="D109" s="117"/>
      <c r="E109" s="117"/>
      <c r="F109" s="117"/>
      <c r="G109" s="117"/>
      <c r="H109" s="117"/>
      <c r="I109" s="117"/>
      <c r="J109" s="117"/>
      <c r="K109" s="117"/>
      <c r="L109" s="117"/>
      <c r="M109" s="173"/>
      <c r="N109" s="1"/>
    </row>
    <row r="110" spans="1:14">
      <c r="A110" s="163"/>
      <c r="B110" s="117"/>
      <c r="C110" s="117"/>
      <c r="D110" s="117"/>
      <c r="E110" s="117"/>
      <c r="F110" s="117"/>
      <c r="G110" s="117"/>
      <c r="H110" s="117"/>
      <c r="I110" s="117"/>
      <c r="J110" s="117"/>
      <c r="K110" s="117"/>
      <c r="L110" s="117"/>
      <c r="M110" s="173"/>
      <c r="N110" s="1"/>
    </row>
    <row r="111" spans="1:14">
      <c r="A111" s="163"/>
      <c r="B111" s="117"/>
      <c r="C111" s="117"/>
      <c r="D111" s="117"/>
      <c r="E111" s="117"/>
      <c r="F111" s="117"/>
      <c r="G111" s="117"/>
      <c r="H111" s="117"/>
      <c r="I111" s="117"/>
      <c r="J111" s="117"/>
      <c r="K111" s="117"/>
      <c r="L111" s="117"/>
      <c r="M111" s="173"/>
      <c r="N111" s="1"/>
    </row>
    <row r="112" spans="1:14">
      <c r="A112" s="163"/>
      <c r="B112" s="117"/>
      <c r="C112" s="117"/>
      <c r="D112" s="117"/>
      <c r="E112" s="117"/>
      <c r="F112" s="117"/>
      <c r="G112" s="117"/>
      <c r="H112" s="117"/>
      <c r="I112" s="117"/>
      <c r="J112" s="117"/>
      <c r="K112" s="117"/>
      <c r="L112" s="117"/>
      <c r="M112" s="173"/>
      <c r="N112" s="1"/>
    </row>
    <row r="113" spans="1:14">
      <c r="A113" s="163"/>
      <c r="B113" s="117"/>
      <c r="C113" s="117"/>
      <c r="D113" s="117"/>
      <c r="E113" s="117"/>
      <c r="F113" s="117"/>
      <c r="G113" s="117"/>
      <c r="H113" s="117"/>
      <c r="I113" s="117"/>
      <c r="J113" s="117"/>
      <c r="K113" s="117"/>
      <c r="L113" s="117"/>
      <c r="M113" s="173"/>
      <c r="N113" s="1"/>
    </row>
    <row r="114" spans="1:14">
      <c r="A114" s="163"/>
      <c r="B114" s="117"/>
      <c r="C114" s="117"/>
      <c r="D114" s="117"/>
      <c r="E114" s="117"/>
      <c r="F114" s="117"/>
      <c r="G114" s="117"/>
      <c r="H114" s="117"/>
      <c r="I114" s="117"/>
      <c r="J114" s="117"/>
      <c r="K114" s="117"/>
      <c r="L114" s="117"/>
      <c r="M114" s="173"/>
      <c r="N114" s="1"/>
    </row>
    <row r="115" spans="1:14">
      <c r="A115" s="163"/>
      <c r="B115" s="117"/>
      <c r="C115" s="117"/>
      <c r="D115" s="117"/>
      <c r="E115" s="117"/>
      <c r="F115" s="117"/>
      <c r="G115" s="117"/>
      <c r="H115" s="117"/>
      <c r="I115" s="117"/>
      <c r="J115" s="117"/>
      <c r="K115" s="117"/>
      <c r="L115" s="117"/>
      <c r="M115" s="173"/>
      <c r="N115" s="1"/>
    </row>
    <row r="116" spans="1:14">
      <c r="A116" s="163"/>
      <c r="B116" s="117"/>
      <c r="C116" s="117"/>
      <c r="D116" s="117"/>
      <c r="E116" s="117"/>
      <c r="F116" s="117"/>
      <c r="G116" s="117"/>
      <c r="H116" s="117"/>
      <c r="I116" s="117"/>
      <c r="J116" s="117"/>
      <c r="K116" s="117"/>
      <c r="L116" s="117"/>
      <c r="M116" s="173"/>
      <c r="N116" s="1"/>
    </row>
    <row r="117" spans="1:14">
      <c r="A117" s="163"/>
      <c r="B117" s="117"/>
      <c r="C117" s="117"/>
      <c r="D117" s="117"/>
      <c r="E117" s="117"/>
      <c r="F117" s="117"/>
      <c r="G117" s="117"/>
      <c r="H117" s="117"/>
      <c r="I117" s="117"/>
      <c r="J117" s="117"/>
      <c r="K117" s="117"/>
      <c r="L117" s="117"/>
      <c r="M117" s="173"/>
      <c r="N117" s="1"/>
    </row>
    <row r="118" spans="1:14">
      <c r="A118" s="163"/>
      <c r="B118" s="117"/>
      <c r="C118" s="117"/>
      <c r="D118" s="117"/>
      <c r="E118" s="117"/>
      <c r="F118" s="117"/>
      <c r="G118" s="117"/>
      <c r="H118" s="117"/>
      <c r="I118" s="117"/>
      <c r="J118" s="117"/>
      <c r="K118" s="117"/>
      <c r="L118" s="117"/>
      <c r="M118" s="173"/>
      <c r="N118" s="1"/>
    </row>
    <row r="119" spans="1:14">
      <c r="A119" s="163"/>
      <c r="B119" s="117"/>
      <c r="C119" s="117"/>
      <c r="D119" s="117"/>
      <c r="E119" s="117"/>
      <c r="F119" s="117"/>
      <c r="G119" s="117"/>
      <c r="H119" s="117"/>
      <c r="I119" s="117"/>
      <c r="J119" s="117"/>
      <c r="K119" s="117"/>
      <c r="L119" s="117"/>
      <c r="M119" s="173"/>
      <c r="N119" s="1"/>
    </row>
    <row r="120" spans="1:14">
      <c r="A120" s="163"/>
      <c r="B120" s="117"/>
      <c r="C120" s="117"/>
      <c r="D120" s="117"/>
      <c r="E120" s="117"/>
      <c r="F120" s="117"/>
      <c r="G120" s="117"/>
      <c r="H120" s="117"/>
      <c r="I120" s="117"/>
      <c r="J120" s="117"/>
      <c r="K120" s="117"/>
      <c r="L120" s="117"/>
      <c r="M120" s="173"/>
      <c r="N120" s="1"/>
    </row>
    <row r="121" spans="1:14">
      <c r="A121" s="163"/>
      <c r="B121" s="117"/>
      <c r="C121" s="117"/>
      <c r="D121" s="117"/>
      <c r="E121" s="117"/>
      <c r="F121" s="117"/>
      <c r="G121" s="117"/>
      <c r="H121" s="117"/>
      <c r="I121" s="117"/>
      <c r="J121" s="117"/>
      <c r="K121" s="117"/>
      <c r="L121" s="117"/>
      <c r="M121" s="173"/>
      <c r="N121" s="1"/>
    </row>
    <row r="122" spans="1:14">
      <c r="A122" s="163"/>
      <c r="B122" s="117"/>
      <c r="C122" s="117"/>
      <c r="D122" s="117"/>
      <c r="E122" s="117"/>
      <c r="F122" s="117"/>
      <c r="G122" s="117"/>
      <c r="H122" s="117"/>
      <c r="I122" s="117"/>
      <c r="J122" s="117"/>
      <c r="K122" s="117"/>
      <c r="L122" s="117"/>
      <c r="M122" s="173"/>
      <c r="N122" s="1"/>
    </row>
    <row r="123" spans="1:14">
      <c r="A123" s="163"/>
      <c r="B123" s="117"/>
      <c r="C123" s="117"/>
      <c r="D123" s="117"/>
      <c r="E123" s="117"/>
      <c r="F123" s="117"/>
      <c r="G123" s="117"/>
      <c r="H123" s="117"/>
      <c r="I123" s="117"/>
      <c r="J123" s="117"/>
      <c r="K123" s="117"/>
      <c r="L123" s="117"/>
      <c r="M123" s="173"/>
      <c r="N123" s="1"/>
    </row>
    <row r="124" spans="1:14">
      <c r="A124" s="163"/>
      <c r="B124" s="117"/>
      <c r="C124" s="117"/>
      <c r="D124" s="117"/>
      <c r="E124" s="117"/>
      <c r="F124" s="117"/>
      <c r="G124" s="117"/>
      <c r="H124" s="117"/>
      <c r="I124" s="117"/>
      <c r="J124" s="117"/>
      <c r="K124" s="117"/>
      <c r="L124" s="117"/>
      <c r="M124" s="173"/>
      <c r="N124" s="1"/>
    </row>
    <row r="125" spans="1:14">
      <c r="A125" s="163"/>
      <c r="B125" s="117"/>
      <c r="C125" s="117"/>
      <c r="D125" s="117"/>
      <c r="E125" s="117"/>
      <c r="F125" s="117"/>
      <c r="G125" s="117"/>
      <c r="H125" s="117"/>
      <c r="I125" s="117"/>
      <c r="J125" s="117"/>
      <c r="K125" s="117"/>
      <c r="L125" s="117"/>
      <c r="M125" s="173"/>
      <c r="N125" s="1"/>
    </row>
    <row r="126" spans="1:14">
      <c r="A126" s="163"/>
      <c r="B126" s="117"/>
      <c r="C126" s="117"/>
      <c r="D126" s="117"/>
      <c r="E126" s="117"/>
      <c r="F126" s="117"/>
      <c r="G126" s="117"/>
      <c r="H126" s="117"/>
      <c r="I126" s="117"/>
      <c r="J126" s="117"/>
      <c r="K126" s="117"/>
      <c r="L126" s="117"/>
      <c r="M126" s="173"/>
      <c r="N126" s="1"/>
    </row>
    <row r="127" spans="1:14">
      <c r="A127" s="163"/>
      <c r="B127" s="117"/>
      <c r="C127" s="117"/>
      <c r="D127" s="117"/>
      <c r="E127" s="117"/>
      <c r="F127" s="117"/>
      <c r="G127" s="117"/>
      <c r="H127" s="117"/>
      <c r="I127" s="117"/>
      <c r="J127" s="117"/>
      <c r="K127" s="117"/>
      <c r="L127" s="117"/>
      <c r="M127" s="173"/>
      <c r="N127" s="1"/>
    </row>
    <row r="128" spans="1:14">
      <c r="A128" s="163"/>
      <c r="B128" s="117"/>
      <c r="C128" s="117"/>
      <c r="D128" s="117"/>
      <c r="E128" s="117"/>
      <c r="F128" s="117"/>
      <c r="G128" s="117"/>
      <c r="H128" s="117"/>
      <c r="I128" s="117"/>
      <c r="J128" s="117"/>
      <c r="K128" s="117"/>
      <c r="L128" s="117"/>
      <c r="M128" s="173"/>
      <c r="N128" s="1"/>
    </row>
    <row r="129" spans="1:14">
      <c r="A129" s="163"/>
      <c r="B129" s="117"/>
      <c r="C129" s="117"/>
      <c r="D129" s="117"/>
      <c r="E129" s="117"/>
      <c r="F129" s="117"/>
      <c r="G129" s="117"/>
      <c r="H129" s="117"/>
      <c r="I129" s="117"/>
      <c r="J129" s="117"/>
      <c r="K129" s="117"/>
      <c r="L129" s="117"/>
      <c r="M129" s="173"/>
      <c r="N129" s="1"/>
    </row>
    <row r="130" spans="1:14">
      <c r="A130" s="163"/>
      <c r="B130" s="117"/>
      <c r="C130" s="117"/>
      <c r="D130" s="117"/>
      <c r="E130" s="117"/>
      <c r="F130" s="117"/>
      <c r="G130" s="117"/>
      <c r="H130" s="117"/>
      <c r="I130" s="117"/>
      <c r="J130" s="117"/>
      <c r="K130" s="117"/>
      <c r="L130" s="117"/>
      <c r="M130" s="173"/>
      <c r="N130" s="1"/>
    </row>
    <row r="131" spans="1:14">
      <c r="A131" s="163"/>
      <c r="B131" s="117"/>
      <c r="C131" s="117"/>
      <c r="D131" s="117"/>
      <c r="E131" s="117"/>
      <c r="F131" s="117"/>
      <c r="G131" s="117"/>
      <c r="H131" s="117"/>
      <c r="I131" s="117"/>
      <c r="J131" s="117"/>
      <c r="K131" s="117"/>
      <c r="L131" s="117"/>
      <c r="M131" s="173"/>
      <c r="N131" s="1"/>
    </row>
    <row r="132" spans="1:14">
      <c r="A132" s="163"/>
      <c r="B132" s="117"/>
      <c r="C132" s="117"/>
      <c r="D132" s="117"/>
      <c r="E132" s="117"/>
      <c r="F132" s="117"/>
      <c r="G132" s="117"/>
      <c r="H132" s="117"/>
      <c r="I132" s="117"/>
      <c r="J132" s="117"/>
      <c r="K132" s="117"/>
      <c r="L132" s="117"/>
      <c r="M132" s="173"/>
      <c r="N132" s="1"/>
    </row>
    <row r="133" spans="1:14">
      <c r="A133" s="163"/>
      <c r="B133" s="117"/>
      <c r="C133" s="117"/>
      <c r="D133" s="117"/>
      <c r="E133" s="117"/>
      <c r="F133" s="117"/>
      <c r="G133" s="117"/>
      <c r="H133" s="117"/>
      <c r="I133" s="117"/>
      <c r="J133" s="117"/>
      <c r="K133" s="117"/>
      <c r="L133" s="117"/>
      <c r="M133" s="173"/>
      <c r="N133" s="1"/>
    </row>
    <row r="134" spans="1:14">
      <c r="A134" s="163"/>
      <c r="B134" s="117"/>
      <c r="C134" s="117"/>
      <c r="D134" s="117"/>
      <c r="E134" s="117"/>
      <c r="F134" s="117"/>
      <c r="G134" s="117"/>
      <c r="H134" s="117"/>
      <c r="I134" s="117"/>
      <c r="J134" s="117"/>
      <c r="K134" s="117"/>
      <c r="L134" s="117"/>
      <c r="M134" s="173"/>
      <c r="N134" s="1"/>
    </row>
    <row r="135" spans="1:14">
      <c r="A135" s="163"/>
      <c r="B135" s="117"/>
      <c r="C135" s="117"/>
      <c r="D135" s="117"/>
      <c r="E135" s="117"/>
      <c r="F135" s="117"/>
      <c r="G135" s="117"/>
      <c r="H135" s="117"/>
      <c r="I135" s="117"/>
      <c r="J135" s="117"/>
      <c r="K135" s="117"/>
      <c r="L135" s="117"/>
      <c r="M135" s="173"/>
      <c r="N135" s="1"/>
    </row>
    <row r="136" spans="1:14">
      <c r="A136" s="163"/>
      <c r="B136" s="117"/>
      <c r="C136" s="117"/>
      <c r="D136" s="117"/>
      <c r="E136" s="117"/>
      <c r="F136" s="117"/>
      <c r="G136" s="117"/>
      <c r="H136" s="117"/>
      <c r="I136" s="117"/>
      <c r="J136" s="117"/>
      <c r="K136" s="117"/>
      <c r="L136" s="117"/>
      <c r="M136" s="173"/>
      <c r="N136" s="1"/>
    </row>
    <row r="137" spans="1:14">
      <c r="A137" s="163"/>
      <c r="B137" s="117"/>
      <c r="C137" s="117"/>
      <c r="D137" s="117"/>
      <c r="E137" s="117"/>
      <c r="F137" s="117"/>
      <c r="G137" s="117"/>
      <c r="H137" s="117"/>
      <c r="I137" s="117"/>
      <c r="J137" s="117"/>
      <c r="K137" s="117"/>
      <c r="L137" s="117"/>
      <c r="M137" s="173"/>
      <c r="N137" s="1"/>
    </row>
    <row r="138" spans="1:14">
      <c r="A138" s="163"/>
      <c r="B138" s="117"/>
      <c r="C138" s="117"/>
      <c r="D138" s="117"/>
      <c r="E138" s="117"/>
      <c r="F138" s="117"/>
      <c r="G138" s="117"/>
      <c r="H138" s="117"/>
      <c r="I138" s="117"/>
      <c r="J138" s="117"/>
      <c r="K138" s="117"/>
      <c r="L138" s="117"/>
      <c r="M138" s="173"/>
      <c r="N138" s="1"/>
    </row>
    <row r="139" spans="1:14">
      <c r="A139" s="163"/>
      <c r="B139" s="117"/>
      <c r="C139" s="117"/>
      <c r="D139" s="117"/>
      <c r="E139" s="117"/>
      <c r="F139" s="117"/>
      <c r="G139" s="117"/>
      <c r="H139" s="117"/>
      <c r="I139" s="117"/>
      <c r="J139" s="117"/>
      <c r="K139" s="117"/>
      <c r="L139" s="117"/>
      <c r="M139" s="173"/>
      <c r="N139" s="1"/>
    </row>
    <row r="140" spans="1:14">
      <c r="A140" s="163"/>
      <c r="B140" s="117"/>
      <c r="C140" s="117"/>
      <c r="D140" s="117"/>
      <c r="E140" s="117"/>
      <c r="F140" s="117"/>
      <c r="G140" s="117"/>
      <c r="H140" s="117"/>
      <c r="I140" s="117"/>
      <c r="J140" s="117"/>
      <c r="K140" s="117"/>
      <c r="L140" s="117"/>
      <c r="M140" s="173"/>
      <c r="N140" s="1"/>
    </row>
    <row r="141" spans="1:14">
      <c r="A141" s="163"/>
      <c r="B141" s="117"/>
      <c r="C141" s="117"/>
      <c r="D141" s="117"/>
      <c r="E141" s="117"/>
      <c r="F141" s="117"/>
      <c r="G141" s="117"/>
      <c r="H141" s="117"/>
      <c r="I141" s="117"/>
      <c r="J141" s="117"/>
      <c r="K141" s="117"/>
      <c r="L141" s="117"/>
      <c r="M141" s="173"/>
      <c r="N141" s="1"/>
    </row>
    <row r="142" spans="1:14">
      <c r="A142" s="163"/>
      <c r="B142" s="117"/>
      <c r="C142" s="117"/>
      <c r="D142" s="117"/>
      <c r="E142" s="117"/>
      <c r="F142" s="117"/>
      <c r="G142" s="117"/>
      <c r="H142" s="117"/>
      <c r="I142" s="117"/>
      <c r="J142" s="117"/>
      <c r="K142" s="117"/>
      <c r="L142" s="117"/>
      <c r="M142" s="173"/>
      <c r="N142" s="1"/>
    </row>
    <row r="143" spans="1:14">
      <c r="A143" s="163"/>
      <c r="B143" s="117"/>
      <c r="C143" s="117"/>
      <c r="D143" s="117"/>
      <c r="E143" s="117"/>
      <c r="F143" s="117"/>
      <c r="G143" s="117"/>
      <c r="H143" s="117"/>
      <c r="I143" s="117"/>
      <c r="J143" s="117"/>
      <c r="K143" s="117"/>
      <c r="L143" s="117"/>
      <c r="M143" s="173"/>
      <c r="N143" s="1"/>
    </row>
    <row r="144" spans="1:14">
      <c r="A144" s="163"/>
      <c r="B144" s="117"/>
      <c r="C144" s="117"/>
      <c r="D144" s="117"/>
      <c r="E144" s="117"/>
      <c r="F144" s="117"/>
      <c r="G144" s="117"/>
      <c r="H144" s="117"/>
      <c r="I144" s="117"/>
      <c r="J144" s="117"/>
      <c r="K144" s="117"/>
      <c r="L144" s="117"/>
      <c r="M144" s="173"/>
      <c r="N144" s="1"/>
    </row>
    <row r="145" spans="1:14">
      <c r="A145" s="163"/>
      <c r="B145" s="117"/>
      <c r="C145" s="117"/>
      <c r="D145" s="117"/>
      <c r="E145" s="117"/>
      <c r="F145" s="117"/>
      <c r="G145" s="117"/>
      <c r="H145" s="117"/>
      <c r="I145" s="117"/>
      <c r="J145" s="117"/>
      <c r="K145" s="117"/>
      <c r="L145" s="117"/>
      <c r="M145" s="173"/>
      <c r="N145" s="1"/>
    </row>
    <row r="146" spans="1:14">
      <c r="A146" s="163"/>
      <c r="B146" s="117"/>
      <c r="C146" s="117"/>
      <c r="D146" s="117"/>
      <c r="E146" s="117"/>
      <c r="F146" s="117"/>
      <c r="G146" s="117"/>
      <c r="H146" s="117"/>
      <c r="I146" s="117"/>
      <c r="J146" s="117"/>
      <c r="K146" s="117"/>
      <c r="L146" s="117"/>
      <c r="M146" s="173"/>
      <c r="N146" s="1"/>
    </row>
    <row r="147" spans="1:14">
      <c r="A147" s="163"/>
      <c r="B147" s="117"/>
      <c r="C147" s="117"/>
      <c r="D147" s="117"/>
      <c r="E147" s="117"/>
      <c r="F147" s="117"/>
      <c r="G147" s="117"/>
      <c r="H147" s="117"/>
      <c r="I147" s="117"/>
      <c r="J147" s="117"/>
      <c r="K147" s="117"/>
      <c r="L147" s="117"/>
      <c r="M147" s="173"/>
      <c r="N147" s="1"/>
    </row>
    <row r="148" spans="1:14">
      <c r="A148" s="163"/>
      <c r="B148" s="117"/>
      <c r="C148" s="117"/>
      <c r="D148" s="117"/>
      <c r="E148" s="117"/>
      <c r="F148" s="117"/>
      <c r="G148" s="117"/>
      <c r="H148" s="117"/>
      <c r="I148" s="117"/>
      <c r="J148" s="117"/>
      <c r="K148" s="117"/>
      <c r="L148" s="117"/>
      <c r="M148" s="173"/>
      <c r="N148" s="1"/>
    </row>
    <row r="149" spans="1:14">
      <c r="A149" s="163"/>
      <c r="B149" s="117"/>
      <c r="C149" s="117"/>
      <c r="D149" s="117"/>
      <c r="E149" s="117"/>
      <c r="F149" s="117"/>
      <c r="G149" s="117"/>
      <c r="H149" s="117"/>
      <c r="I149" s="117"/>
      <c r="J149" s="117"/>
      <c r="K149" s="117"/>
      <c r="L149" s="117"/>
      <c r="M149" s="173"/>
      <c r="N149" s="1"/>
    </row>
    <row r="150" spans="1:14">
      <c r="A150" s="163"/>
      <c r="B150" s="117"/>
      <c r="C150" s="117"/>
      <c r="D150" s="117"/>
      <c r="E150" s="117"/>
      <c r="F150" s="117"/>
      <c r="G150" s="117"/>
      <c r="H150" s="117"/>
      <c r="I150" s="117"/>
      <c r="J150" s="117"/>
      <c r="K150" s="117"/>
      <c r="L150" s="117"/>
      <c r="M150" s="173"/>
      <c r="N150" s="1"/>
    </row>
    <row r="151" spans="1:14">
      <c r="A151" s="163"/>
      <c r="B151" s="117"/>
      <c r="C151" s="117"/>
      <c r="D151" s="117"/>
      <c r="E151" s="117"/>
      <c r="F151" s="117"/>
      <c r="G151" s="117"/>
      <c r="H151" s="117"/>
      <c r="I151" s="117"/>
      <c r="J151" s="117"/>
      <c r="K151" s="117"/>
      <c r="L151" s="117"/>
      <c r="M151" s="173"/>
      <c r="N151" s="1"/>
    </row>
    <row r="152" spans="1:14">
      <c r="A152" s="163"/>
      <c r="B152" s="117"/>
      <c r="C152" s="117"/>
      <c r="D152" s="117"/>
      <c r="E152" s="117"/>
      <c r="F152" s="117"/>
      <c r="G152" s="117"/>
      <c r="H152" s="117"/>
      <c r="I152" s="117"/>
      <c r="J152" s="117"/>
      <c r="K152" s="117"/>
      <c r="L152" s="117"/>
      <c r="M152" s="173"/>
      <c r="N152" s="1"/>
    </row>
    <row r="153" spans="1:14">
      <c r="A153" s="163"/>
      <c r="B153" s="117"/>
      <c r="C153" s="117"/>
      <c r="D153" s="117"/>
      <c r="E153" s="117"/>
      <c r="F153" s="117"/>
      <c r="G153" s="117"/>
      <c r="H153" s="117"/>
      <c r="I153" s="117"/>
      <c r="J153" s="117"/>
      <c r="K153" s="117"/>
      <c r="L153" s="117"/>
      <c r="M153" s="173"/>
      <c r="N153" s="1"/>
    </row>
    <row r="154" spans="1:14">
      <c r="A154" s="163"/>
      <c r="B154" s="117"/>
      <c r="C154" s="117"/>
      <c r="D154" s="117"/>
      <c r="E154" s="117"/>
      <c r="F154" s="117"/>
      <c r="G154" s="117"/>
      <c r="H154" s="117"/>
      <c r="I154" s="117"/>
      <c r="J154" s="117"/>
      <c r="K154" s="117"/>
      <c r="L154" s="117"/>
      <c r="M154" s="173"/>
      <c r="N154" s="1"/>
    </row>
    <row r="155" spans="1:14">
      <c r="A155" s="163"/>
      <c r="B155" s="117"/>
      <c r="C155" s="117"/>
      <c r="D155" s="117"/>
      <c r="E155" s="117"/>
      <c r="F155" s="117"/>
      <c r="G155" s="117"/>
      <c r="H155" s="117"/>
      <c r="I155" s="117"/>
      <c r="J155" s="117"/>
      <c r="K155" s="117"/>
      <c r="L155" s="117"/>
      <c r="M155" s="173"/>
      <c r="N155" s="1"/>
    </row>
    <row r="156" spans="1:14">
      <c r="A156" s="163"/>
      <c r="B156" s="117"/>
      <c r="C156" s="117"/>
      <c r="D156" s="117"/>
      <c r="E156" s="117"/>
      <c r="F156" s="117"/>
      <c r="G156" s="117"/>
      <c r="H156" s="117"/>
      <c r="I156" s="117"/>
      <c r="J156" s="117"/>
      <c r="K156" s="117"/>
      <c r="L156" s="117"/>
      <c r="M156" s="173"/>
      <c r="N156" s="1"/>
    </row>
    <row r="157" spans="1:14">
      <c r="A157" s="163"/>
      <c r="B157" s="117"/>
      <c r="C157" s="117"/>
      <c r="D157" s="117"/>
      <c r="E157" s="117"/>
      <c r="F157" s="117"/>
      <c r="G157" s="117"/>
      <c r="H157" s="117"/>
      <c r="I157" s="117"/>
      <c r="J157" s="117"/>
      <c r="K157" s="117"/>
      <c r="L157" s="117"/>
      <c r="M157" s="173"/>
      <c r="N157" s="1"/>
    </row>
    <row r="158" spans="1:14">
      <c r="A158" s="163"/>
      <c r="B158" s="117"/>
      <c r="C158" s="117"/>
      <c r="D158" s="117"/>
      <c r="E158" s="117"/>
      <c r="F158" s="117"/>
      <c r="G158" s="117"/>
      <c r="H158" s="117"/>
      <c r="I158" s="117"/>
      <c r="J158" s="117"/>
      <c r="K158" s="117"/>
      <c r="L158" s="117"/>
      <c r="M158" s="173"/>
      <c r="N158" s="1"/>
    </row>
    <row r="159" spans="1:14">
      <c r="B159" s="1"/>
      <c r="C159" s="1"/>
      <c r="D159" s="1"/>
      <c r="E159" s="1"/>
      <c r="F159" s="1"/>
      <c r="G159" s="1"/>
      <c r="H159" s="1"/>
      <c r="I159" s="1"/>
      <c r="J159" s="1"/>
      <c r="K159" s="1"/>
      <c r="L159" s="1"/>
      <c r="M159" s="173"/>
      <c r="N159" s="1"/>
    </row>
    <row r="160" spans="1:14">
      <c r="B160" s="1"/>
      <c r="C160" s="1"/>
      <c r="D160" s="1"/>
      <c r="E160" s="1"/>
      <c r="F160" s="1"/>
      <c r="G160" s="1"/>
      <c r="H160" s="1"/>
      <c r="I160" s="1"/>
      <c r="J160" s="1"/>
      <c r="K160" s="1"/>
      <c r="L160" s="1"/>
      <c r="M160" s="173"/>
      <c r="N160" s="1"/>
    </row>
    <row r="161" spans="2:14">
      <c r="B161" s="1"/>
      <c r="C161" s="1"/>
      <c r="D161" s="1"/>
      <c r="E161" s="1"/>
      <c r="F161" s="1"/>
      <c r="G161" s="1"/>
      <c r="H161" s="1"/>
      <c r="I161" s="1"/>
      <c r="J161" s="1"/>
      <c r="K161" s="1"/>
      <c r="L161" s="1"/>
      <c r="M161" s="173"/>
      <c r="N161" s="1"/>
    </row>
  </sheetData>
  <mergeCells count="1">
    <mergeCell ref="J1:L1"/>
  </mergeCells>
  <pageMargins left="0.75" right="0.75" top="1" bottom="1" header="0.5" footer="0.5"/>
  <pageSetup scale="12" orientation="landscape" r:id="rId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08001"/>
  </sheetPr>
  <dimension ref="A1:N178"/>
  <sheetViews>
    <sheetView topLeftCell="A8" workbookViewId="0">
      <selection activeCell="E9" sqref="E9:L13"/>
    </sheetView>
  </sheetViews>
  <sheetFormatPr defaultColWidth="11" defaultRowHeight="15.75"/>
  <cols>
    <col min="1" max="1" width="25.625" customWidth="1"/>
    <col min="2" max="2" width="15.125" bestFit="1" customWidth="1"/>
    <col min="3" max="9" width="12.5" bestFit="1" customWidth="1"/>
    <col min="10" max="12" width="13.875" customWidth="1"/>
    <col min="13" max="13" width="11" style="190"/>
  </cols>
  <sheetData>
    <row r="1" spans="1:14" ht="18.75">
      <c r="J1" s="494" t="s">
        <v>215</v>
      </c>
      <c r="K1" s="494"/>
      <c r="L1" s="494"/>
    </row>
    <row r="2" spans="1:14">
      <c r="A2" s="2"/>
      <c r="B2" s="2">
        <v>2009</v>
      </c>
      <c r="C2" s="2">
        <v>2010</v>
      </c>
      <c r="D2" s="2">
        <v>2011</v>
      </c>
      <c r="E2" s="2">
        <v>2012</v>
      </c>
      <c r="F2" s="2">
        <v>2013</v>
      </c>
      <c r="G2" s="2">
        <v>2014</v>
      </c>
      <c r="H2" s="2">
        <v>2015</v>
      </c>
      <c r="I2" s="340">
        <v>2016</v>
      </c>
      <c r="J2" s="340">
        <v>2017</v>
      </c>
      <c r="K2" s="340">
        <v>2018</v>
      </c>
      <c r="L2" s="21">
        <v>2019</v>
      </c>
    </row>
    <row r="3" spans="1:14">
      <c r="A3" s="2"/>
      <c r="B3" s="19"/>
      <c r="C3" s="19"/>
      <c r="D3" s="19"/>
      <c r="E3" s="19"/>
      <c r="F3" s="19"/>
      <c r="G3" s="19"/>
      <c r="H3" s="19"/>
      <c r="I3" s="19"/>
      <c r="J3" s="82" t="s">
        <v>61</v>
      </c>
      <c r="K3" s="82" t="s">
        <v>61</v>
      </c>
      <c r="L3" s="82" t="s">
        <v>61</v>
      </c>
    </row>
    <row r="4" spans="1:14">
      <c r="A4" s="2"/>
      <c r="B4" s="31"/>
      <c r="C4" s="31"/>
      <c r="D4" s="31"/>
      <c r="E4" s="31"/>
      <c r="F4" s="31"/>
      <c r="G4" s="31"/>
      <c r="H4" s="31"/>
      <c r="I4" s="31"/>
      <c r="J4" s="30" t="s">
        <v>57</v>
      </c>
      <c r="K4" s="30" t="s">
        <v>202</v>
      </c>
      <c r="L4" s="30" t="s">
        <v>58</v>
      </c>
    </row>
    <row r="5" spans="1:14">
      <c r="A5" s="10" t="s">
        <v>45</v>
      </c>
      <c r="B5" s="32" t="s">
        <v>103</v>
      </c>
      <c r="C5" s="32" t="s">
        <v>103</v>
      </c>
      <c r="D5" s="32" t="s">
        <v>103</v>
      </c>
      <c r="E5" s="32" t="s">
        <v>103</v>
      </c>
      <c r="F5" s="32" t="s">
        <v>103</v>
      </c>
      <c r="G5" s="32" t="s">
        <v>103</v>
      </c>
      <c r="H5" s="32" t="s">
        <v>103</v>
      </c>
      <c r="I5" s="32" t="s">
        <v>103</v>
      </c>
      <c r="J5" s="32" t="s">
        <v>103</v>
      </c>
      <c r="K5" s="32" t="s">
        <v>103</v>
      </c>
      <c r="L5" s="32" t="s">
        <v>103</v>
      </c>
      <c r="M5" s="195"/>
      <c r="N5" s="2"/>
    </row>
    <row r="6" spans="1:14">
      <c r="A6" s="2"/>
      <c r="B6" s="31"/>
      <c r="C6" s="31"/>
      <c r="D6" s="31"/>
      <c r="E6" s="31"/>
      <c r="F6" s="31"/>
      <c r="G6" s="32"/>
      <c r="H6" s="31"/>
      <c r="I6" s="31"/>
      <c r="J6" s="31"/>
      <c r="K6" s="31"/>
      <c r="L6" s="31"/>
      <c r="M6" s="195"/>
      <c r="N6" s="2"/>
    </row>
    <row r="7" spans="1:14" ht="18.75">
      <c r="A7" s="93" t="s">
        <v>98</v>
      </c>
      <c r="B7" s="31"/>
      <c r="C7" s="31"/>
      <c r="D7" s="31"/>
      <c r="E7" s="31"/>
      <c r="F7" s="31"/>
      <c r="G7" s="31"/>
      <c r="H7" s="31"/>
      <c r="I7" s="31"/>
      <c r="J7" s="31"/>
      <c r="K7" s="31"/>
      <c r="L7" s="31"/>
      <c r="M7" s="195"/>
      <c r="N7" s="2"/>
    </row>
    <row r="8" spans="1:14" s="70" customFormat="1">
      <c r="A8" s="2"/>
      <c r="B8" s="31"/>
      <c r="C8" s="31"/>
      <c r="D8" s="31"/>
      <c r="E8" s="31"/>
      <c r="F8" s="31"/>
      <c r="G8" s="31"/>
      <c r="H8" s="31"/>
      <c r="I8" s="31"/>
      <c r="J8" s="31"/>
      <c r="K8" s="31"/>
      <c r="L8" s="31"/>
      <c r="M8" s="195"/>
      <c r="N8" s="2"/>
    </row>
    <row r="9" spans="1:14">
      <c r="A9" s="10" t="s">
        <v>100</v>
      </c>
      <c r="B9" s="32"/>
      <c r="C9" s="32"/>
      <c r="D9" s="32"/>
      <c r="E9" s="32"/>
      <c r="F9" s="32"/>
      <c r="G9" s="32"/>
      <c r="H9" s="32"/>
      <c r="I9" s="32"/>
      <c r="J9" s="75"/>
      <c r="K9" s="75"/>
      <c r="L9" s="75"/>
      <c r="M9" s="174"/>
      <c r="N9" s="3"/>
    </row>
    <row r="10" spans="1:14">
      <c r="A10" s="96" t="s">
        <v>93</v>
      </c>
      <c r="B10" s="32"/>
      <c r="C10" s="32"/>
      <c r="D10" s="32"/>
      <c r="E10" s="32"/>
      <c r="F10" s="32"/>
      <c r="G10" s="32"/>
      <c r="H10" s="32"/>
      <c r="I10" s="32"/>
      <c r="J10" s="32"/>
      <c r="K10" s="32"/>
      <c r="L10" s="32"/>
      <c r="M10" s="174"/>
      <c r="N10" s="3"/>
    </row>
    <row r="11" spans="1:14" s="19" customFormat="1">
      <c r="A11" s="94" t="s">
        <v>101</v>
      </c>
      <c r="B11" s="32"/>
      <c r="C11" s="32"/>
      <c r="D11" s="32"/>
      <c r="E11" s="32"/>
      <c r="F11" s="32"/>
      <c r="G11" s="32"/>
      <c r="H11" s="32"/>
      <c r="I11" s="32"/>
      <c r="J11" s="32"/>
      <c r="K11" s="32"/>
      <c r="L11" s="32"/>
      <c r="M11" s="174"/>
      <c r="N11" s="3"/>
    </row>
    <row r="12" spans="1:14" s="19" customFormat="1">
      <c r="A12" s="73" t="s">
        <v>83</v>
      </c>
      <c r="B12" s="32"/>
      <c r="C12" s="32"/>
      <c r="D12" s="32"/>
      <c r="E12" s="32"/>
      <c r="F12" s="32"/>
      <c r="G12" s="32"/>
      <c r="H12" s="32"/>
      <c r="I12" s="32"/>
      <c r="J12" s="32"/>
      <c r="K12" s="32"/>
      <c r="L12" s="32"/>
      <c r="M12" s="174"/>
      <c r="N12" s="3"/>
    </row>
    <row r="13" spans="1:14" s="19" customFormat="1" ht="16.5" thickBot="1">
      <c r="A13" s="39"/>
      <c r="B13" s="125"/>
      <c r="C13" s="125"/>
      <c r="D13" s="125"/>
      <c r="E13" s="125"/>
      <c r="F13" s="125"/>
      <c r="G13" s="125"/>
      <c r="H13" s="125"/>
      <c r="I13" s="125"/>
      <c r="J13" s="125"/>
      <c r="K13" s="125"/>
      <c r="L13" s="125"/>
      <c r="M13" s="195"/>
      <c r="N13" s="2"/>
    </row>
    <row r="14" spans="1:14">
      <c r="A14" s="95" t="s">
        <v>108</v>
      </c>
      <c r="B14" s="32" t="s">
        <v>103</v>
      </c>
      <c r="C14" s="32" t="s">
        <v>103</v>
      </c>
      <c r="D14" s="32" t="s">
        <v>103</v>
      </c>
      <c r="E14" s="32" t="s">
        <v>103</v>
      </c>
      <c r="F14" s="32" t="s">
        <v>103</v>
      </c>
      <c r="G14" s="32" t="s">
        <v>103</v>
      </c>
      <c r="H14" s="32" t="s">
        <v>103</v>
      </c>
      <c r="I14" s="32" t="s">
        <v>103</v>
      </c>
      <c r="J14" s="32">
        <f>SUM(J9:J13)</f>
        <v>0</v>
      </c>
      <c r="K14" s="32">
        <f t="shared" ref="K14:L14" si="0">SUM(K9:K13)</f>
        <v>0</v>
      </c>
      <c r="L14" s="32">
        <f t="shared" si="0"/>
        <v>0</v>
      </c>
      <c r="M14" s="195"/>
      <c r="N14" s="2"/>
    </row>
    <row r="15" spans="1:14">
      <c r="A15" s="2"/>
      <c r="B15" s="31"/>
      <c r="C15" s="31"/>
      <c r="D15" s="31"/>
      <c r="E15" s="31"/>
      <c r="F15" s="31"/>
      <c r="G15" s="31"/>
      <c r="H15" s="31"/>
      <c r="I15" s="31"/>
      <c r="J15" s="31"/>
      <c r="K15" s="31"/>
      <c r="L15" s="31"/>
      <c r="M15" s="195"/>
      <c r="N15" s="2"/>
    </row>
    <row r="16" spans="1:14" ht="18.75">
      <c r="A16" s="93"/>
      <c r="B16" s="1"/>
      <c r="C16" s="1"/>
      <c r="D16" s="1"/>
      <c r="E16" s="1"/>
      <c r="F16" s="1"/>
      <c r="G16" s="1"/>
      <c r="H16" s="1"/>
      <c r="I16" s="1"/>
      <c r="J16" s="1"/>
      <c r="K16" s="1"/>
      <c r="L16" s="1"/>
      <c r="M16" s="173"/>
      <c r="N16" s="1"/>
    </row>
    <row r="17" spans="1:14" ht="18.75">
      <c r="A17" s="93" t="s">
        <v>73</v>
      </c>
      <c r="B17" s="1"/>
      <c r="C17" s="1"/>
      <c r="D17" s="1"/>
      <c r="E17" s="1"/>
      <c r="F17" s="1"/>
      <c r="G17" s="1"/>
      <c r="H17" s="1"/>
      <c r="I17" s="1"/>
      <c r="J17" s="1"/>
      <c r="K17" s="1"/>
      <c r="L17" s="1"/>
      <c r="M17" s="173"/>
      <c r="N17" s="1"/>
    </row>
    <row r="18" spans="1:14">
      <c r="A18" s="10" t="s">
        <v>100</v>
      </c>
      <c r="B18" s="1">
        <v>0</v>
      </c>
      <c r="C18" s="1">
        <v>0</v>
      </c>
      <c r="D18" s="1">
        <v>0</v>
      </c>
      <c r="E18" s="1">
        <v>0</v>
      </c>
      <c r="F18" s="1">
        <v>0</v>
      </c>
      <c r="G18" s="1">
        <v>0</v>
      </c>
      <c r="H18" s="1">
        <v>0</v>
      </c>
      <c r="I18" s="1">
        <v>0</v>
      </c>
      <c r="J18" s="1"/>
      <c r="K18" s="1">
        <v>0</v>
      </c>
      <c r="L18" s="1"/>
      <c r="M18" s="173"/>
      <c r="N18" s="1"/>
    </row>
    <row r="19" spans="1:14">
      <c r="A19" s="96" t="s">
        <v>93</v>
      </c>
      <c r="B19" s="1"/>
      <c r="C19" s="1"/>
      <c r="D19" s="1"/>
      <c r="E19" s="1"/>
      <c r="F19" s="1"/>
      <c r="G19" s="1"/>
      <c r="H19" s="1"/>
      <c r="I19" s="1"/>
      <c r="J19" s="1"/>
      <c r="K19" s="1"/>
      <c r="L19" s="1"/>
      <c r="M19" s="173"/>
      <c r="N19" s="1"/>
    </row>
    <row r="20" spans="1:14">
      <c r="A20" s="94" t="s">
        <v>101</v>
      </c>
      <c r="B20" s="1"/>
      <c r="C20" s="1"/>
      <c r="D20" s="1"/>
      <c r="E20" s="1"/>
      <c r="F20" s="1"/>
      <c r="G20" s="1"/>
      <c r="H20" s="1"/>
      <c r="I20" s="1"/>
      <c r="J20" s="1"/>
      <c r="K20" s="1"/>
      <c r="L20" s="1"/>
      <c r="M20" s="173"/>
      <c r="N20" s="1"/>
    </row>
    <row r="21" spans="1:14">
      <c r="A21" s="73" t="s">
        <v>83</v>
      </c>
      <c r="B21" s="1">
        <v>0</v>
      </c>
      <c r="C21" s="1">
        <v>0</v>
      </c>
      <c r="D21" s="1">
        <v>0</v>
      </c>
      <c r="E21" s="1">
        <v>0</v>
      </c>
      <c r="F21" s="1">
        <v>0</v>
      </c>
      <c r="G21" s="1">
        <v>0</v>
      </c>
      <c r="H21" s="1">
        <v>0</v>
      </c>
      <c r="I21" s="1"/>
      <c r="J21" s="1">
        <v>0</v>
      </c>
      <c r="K21" s="1">
        <v>0</v>
      </c>
      <c r="L21" s="1">
        <v>0</v>
      </c>
      <c r="M21" s="173"/>
      <c r="N21" s="1"/>
    </row>
    <row r="22" spans="1:14">
      <c r="A22" s="153" t="s">
        <v>157</v>
      </c>
      <c r="B22" s="1"/>
      <c r="C22" s="1"/>
      <c r="D22" s="1"/>
      <c r="E22" s="1"/>
      <c r="F22" s="1"/>
      <c r="G22" s="1"/>
      <c r="H22" s="1"/>
      <c r="I22" s="1"/>
      <c r="J22" s="1"/>
      <c r="K22" s="1"/>
      <c r="L22" s="1"/>
      <c r="M22" s="173"/>
      <c r="N22" s="1"/>
    </row>
    <row r="23" spans="1:14">
      <c r="A23" s="95" t="s">
        <v>119</v>
      </c>
      <c r="B23" s="1">
        <f t="shared" ref="B23:L23" si="1">SUM(B18:B22)</f>
        <v>0</v>
      </c>
      <c r="C23" s="1">
        <f t="shared" si="1"/>
        <v>0</v>
      </c>
      <c r="D23" s="1">
        <f t="shared" si="1"/>
        <v>0</v>
      </c>
      <c r="E23" s="1">
        <f t="shared" si="1"/>
        <v>0</v>
      </c>
      <c r="F23" s="1">
        <f t="shared" si="1"/>
        <v>0</v>
      </c>
      <c r="G23" s="1">
        <f t="shared" si="1"/>
        <v>0</v>
      </c>
      <c r="H23" s="1">
        <f t="shared" si="1"/>
        <v>0</v>
      </c>
      <c r="I23" s="1">
        <f t="shared" si="1"/>
        <v>0</v>
      </c>
      <c r="J23" s="1">
        <f t="shared" si="1"/>
        <v>0</v>
      </c>
      <c r="K23" s="1">
        <f t="shared" si="1"/>
        <v>0</v>
      </c>
      <c r="L23" s="1">
        <f t="shared" si="1"/>
        <v>0</v>
      </c>
      <c r="M23" s="173"/>
      <c r="N23" s="1"/>
    </row>
    <row r="24" spans="1:14" ht="18.75">
      <c r="A24" s="223"/>
      <c r="B24" s="173"/>
      <c r="C24" s="173"/>
      <c r="D24" s="173"/>
      <c r="E24" s="173"/>
      <c r="F24" s="173"/>
      <c r="G24" s="173"/>
      <c r="H24" s="173"/>
      <c r="I24" s="173"/>
      <c r="J24" s="173"/>
      <c r="K24" s="173"/>
      <c r="L24" s="173"/>
      <c r="M24" s="173"/>
      <c r="N24" s="1"/>
    </row>
    <row r="25" spans="1:14" ht="18.75">
      <c r="A25" s="93"/>
      <c r="B25" s="1"/>
      <c r="C25" s="1"/>
      <c r="D25" s="1"/>
      <c r="E25" s="1"/>
      <c r="F25" s="1"/>
      <c r="G25" s="1"/>
      <c r="H25" s="1"/>
      <c r="I25" s="1"/>
      <c r="J25" s="1"/>
      <c r="K25" s="1"/>
      <c r="L25" s="1"/>
      <c r="M25" s="173"/>
      <c r="N25" s="1"/>
    </row>
    <row r="26" spans="1:14" ht="18.75">
      <c r="A26" s="93"/>
      <c r="B26" s="1"/>
      <c r="C26" s="1"/>
      <c r="D26" s="1"/>
      <c r="E26" s="1"/>
      <c r="F26" s="1"/>
      <c r="G26" s="1"/>
      <c r="H26" s="1"/>
      <c r="I26" s="1"/>
      <c r="J26" s="1"/>
      <c r="K26" s="1"/>
      <c r="L26" s="1"/>
      <c r="M26" s="173"/>
      <c r="N26" s="1"/>
    </row>
    <row r="27" spans="1:14" ht="18.75">
      <c r="A27" s="93"/>
      <c r="B27" s="1"/>
      <c r="C27" s="1"/>
      <c r="D27" s="1"/>
      <c r="E27" s="1"/>
      <c r="F27" s="1"/>
      <c r="G27" s="1"/>
      <c r="H27" s="1"/>
      <c r="I27" s="1"/>
      <c r="J27" s="1"/>
      <c r="K27" s="1"/>
      <c r="L27" s="1"/>
      <c r="M27" s="173"/>
      <c r="N27" s="1"/>
    </row>
    <row r="28" spans="1:14" ht="18.75">
      <c r="A28" s="93"/>
      <c r="B28" s="1"/>
      <c r="C28" s="1"/>
      <c r="D28" s="1"/>
      <c r="E28" s="1"/>
      <c r="F28" s="1"/>
      <c r="G28" s="1"/>
      <c r="H28" s="1"/>
      <c r="I28" s="1"/>
      <c r="J28" s="1"/>
      <c r="K28" s="1"/>
      <c r="L28" s="1"/>
      <c r="M28" s="173"/>
      <c r="N28" s="1"/>
    </row>
    <row r="29" spans="1:14">
      <c r="A29" s="366"/>
      <c r="B29" s="117"/>
      <c r="C29" s="117"/>
      <c r="D29" s="117"/>
      <c r="E29" s="117"/>
      <c r="F29" s="117"/>
      <c r="G29" s="117"/>
      <c r="H29" s="117"/>
      <c r="I29" s="117"/>
      <c r="J29" s="117"/>
      <c r="K29" s="117"/>
      <c r="L29" s="117"/>
      <c r="M29" s="173"/>
      <c r="N29" s="1"/>
    </row>
    <row r="30" spans="1:14">
      <c r="A30" s="359"/>
      <c r="B30" s="117"/>
      <c r="C30" s="117"/>
      <c r="D30" s="117"/>
      <c r="E30" s="117"/>
      <c r="F30" s="117"/>
      <c r="G30" s="117"/>
      <c r="H30" s="117"/>
      <c r="I30" s="117"/>
      <c r="J30" s="117"/>
      <c r="K30" s="117"/>
      <c r="L30" s="117"/>
      <c r="M30" s="173"/>
      <c r="N30" s="1"/>
    </row>
    <row r="31" spans="1:14">
      <c r="A31" s="359"/>
      <c r="B31" s="117"/>
      <c r="C31" s="117"/>
      <c r="D31" s="117"/>
      <c r="E31" s="117"/>
      <c r="F31" s="117"/>
      <c r="G31" s="117"/>
      <c r="H31" s="117"/>
      <c r="I31" s="117"/>
      <c r="J31" s="117"/>
      <c r="K31" s="117"/>
      <c r="L31" s="117"/>
      <c r="M31" s="173"/>
      <c r="N31" s="1"/>
    </row>
    <row r="32" spans="1:14">
      <c r="A32" s="359"/>
      <c r="B32" s="117"/>
      <c r="C32" s="117"/>
      <c r="D32" s="117"/>
      <c r="E32" s="117"/>
      <c r="F32" s="117"/>
      <c r="G32" s="117"/>
      <c r="H32" s="117"/>
      <c r="I32" s="117"/>
      <c r="J32" s="117"/>
      <c r="K32" s="117"/>
      <c r="L32" s="117"/>
      <c r="M32" s="173"/>
      <c r="N32" s="1"/>
    </row>
    <row r="33" spans="1:14">
      <c r="A33" s="359"/>
      <c r="B33" s="117"/>
      <c r="C33" s="117"/>
      <c r="D33" s="117"/>
      <c r="E33" s="117"/>
      <c r="F33" s="117"/>
      <c r="G33" s="117"/>
      <c r="H33" s="117"/>
      <c r="I33" s="117"/>
      <c r="J33" s="117"/>
      <c r="K33" s="117"/>
      <c r="L33" s="117"/>
      <c r="M33" s="173"/>
      <c r="N33" s="1"/>
    </row>
    <row r="34" spans="1:14">
      <c r="A34" s="163"/>
      <c r="B34" s="117"/>
      <c r="C34" s="117"/>
      <c r="D34" s="117"/>
      <c r="E34" s="117"/>
      <c r="F34" s="117"/>
      <c r="G34" s="117"/>
      <c r="H34" s="117"/>
      <c r="I34" s="117"/>
      <c r="J34" s="117"/>
      <c r="K34" s="117"/>
      <c r="L34" s="117"/>
      <c r="M34" s="173"/>
      <c r="N34" s="1"/>
    </row>
    <row r="35" spans="1:14">
      <c r="A35" s="357"/>
      <c r="B35" s="117"/>
      <c r="C35" s="117"/>
      <c r="D35" s="117"/>
      <c r="E35" s="117"/>
      <c r="F35" s="117"/>
      <c r="G35" s="117"/>
      <c r="H35" s="117"/>
      <c r="I35" s="117"/>
      <c r="J35" s="117"/>
      <c r="K35" s="117"/>
      <c r="L35" s="117"/>
      <c r="M35" s="173"/>
      <c r="N35" s="1"/>
    </row>
    <row r="36" spans="1:14">
      <c r="A36" s="363"/>
      <c r="B36" s="117"/>
      <c r="C36" s="339"/>
      <c r="D36" s="339"/>
      <c r="E36" s="339"/>
      <c r="F36" s="339"/>
      <c r="G36" s="339"/>
      <c r="H36" s="339"/>
      <c r="I36" s="339"/>
      <c r="J36" s="339"/>
      <c r="K36" s="339"/>
      <c r="L36" s="339"/>
      <c r="M36" s="173"/>
      <c r="N36" s="1"/>
    </row>
    <row r="37" spans="1:14">
      <c r="A37" s="368"/>
      <c r="B37" s="117"/>
      <c r="C37" s="117"/>
      <c r="D37" s="117"/>
      <c r="E37" s="117"/>
      <c r="F37" s="117"/>
      <c r="G37" s="117"/>
      <c r="H37" s="117"/>
      <c r="I37" s="117"/>
      <c r="J37" s="117"/>
      <c r="K37" s="117"/>
      <c r="L37" s="339"/>
      <c r="M37" s="173"/>
      <c r="N37" s="1"/>
    </row>
    <row r="38" spans="1:14">
      <c r="A38" s="163"/>
      <c r="B38" s="117"/>
      <c r="C38" s="117"/>
      <c r="D38" s="117"/>
      <c r="E38" s="117"/>
      <c r="F38" s="117"/>
      <c r="G38" s="117"/>
      <c r="H38" s="117"/>
      <c r="I38" s="117"/>
      <c r="J38" s="117"/>
      <c r="K38" s="117"/>
      <c r="L38" s="117"/>
      <c r="M38" s="173"/>
      <c r="N38" s="1"/>
    </row>
    <row r="39" spans="1:14">
      <c r="A39" s="369"/>
      <c r="B39" s="117"/>
      <c r="C39" s="117"/>
      <c r="D39" s="117"/>
      <c r="E39" s="117"/>
      <c r="F39" s="117"/>
      <c r="G39" s="117"/>
      <c r="H39" s="117"/>
      <c r="I39" s="117"/>
      <c r="J39" s="117"/>
      <c r="K39" s="117"/>
      <c r="L39" s="117"/>
      <c r="M39" s="173"/>
      <c r="N39" s="1"/>
    </row>
    <row r="40" spans="1:14">
      <c r="A40" s="163"/>
      <c r="B40" s="117"/>
      <c r="C40" s="117"/>
      <c r="D40" s="117"/>
      <c r="E40" s="117"/>
      <c r="F40" s="117"/>
      <c r="G40" s="117"/>
      <c r="H40" s="117"/>
      <c r="I40" s="117"/>
      <c r="J40" s="117"/>
      <c r="K40" s="117"/>
      <c r="L40" s="117"/>
      <c r="M40" s="173"/>
      <c r="N40" s="1"/>
    </row>
    <row r="41" spans="1:14">
      <c r="A41" s="163"/>
      <c r="B41" s="117"/>
      <c r="C41" s="117"/>
      <c r="D41" s="117"/>
      <c r="E41" s="117"/>
      <c r="F41" s="117"/>
      <c r="G41" s="117"/>
      <c r="H41" s="117"/>
      <c r="I41" s="117"/>
      <c r="J41" s="117"/>
      <c r="K41" s="117"/>
      <c r="L41" s="117"/>
      <c r="M41" s="173"/>
      <c r="N41" s="1"/>
    </row>
    <row r="42" spans="1:14">
      <c r="A42" s="385"/>
      <c r="B42" s="117"/>
      <c r="C42" s="117"/>
      <c r="D42" s="117"/>
      <c r="E42" s="117"/>
      <c r="F42" s="117"/>
      <c r="G42" s="117"/>
      <c r="H42" s="117"/>
      <c r="I42" s="117"/>
      <c r="J42" s="117"/>
      <c r="K42" s="117"/>
      <c r="L42" s="117"/>
      <c r="M42" s="173"/>
      <c r="N42" s="1"/>
    </row>
    <row r="43" spans="1:14">
      <c r="A43" s="163"/>
      <c r="B43" s="117"/>
      <c r="C43" s="117"/>
      <c r="D43" s="117"/>
      <c r="E43" s="117"/>
      <c r="F43" s="117"/>
      <c r="G43" s="117"/>
      <c r="H43" s="117"/>
      <c r="I43" s="117"/>
      <c r="J43" s="117"/>
      <c r="K43" s="117"/>
      <c r="L43" s="117"/>
      <c r="M43" s="173"/>
      <c r="N43" s="1"/>
    </row>
    <row r="44" spans="1:14">
      <c r="A44" s="163"/>
      <c r="B44" s="117"/>
      <c r="C44" s="117"/>
      <c r="D44" s="117"/>
      <c r="E44" s="117"/>
      <c r="F44" s="117"/>
      <c r="G44" s="117"/>
      <c r="H44" s="117"/>
      <c r="I44" s="117"/>
      <c r="J44" s="117"/>
      <c r="K44" s="117"/>
      <c r="L44" s="117"/>
      <c r="M44" s="173"/>
      <c r="N44" s="1"/>
    </row>
    <row r="45" spans="1:14">
      <c r="A45" s="163"/>
      <c r="B45" s="163"/>
      <c r="C45" s="163"/>
      <c r="D45" s="163"/>
      <c r="E45" s="163"/>
      <c r="F45" s="163"/>
      <c r="G45" s="163"/>
      <c r="H45" s="163"/>
      <c r="I45" s="163"/>
      <c r="J45" s="163"/>
      <c r="K45" s="163"/>
      <c r="L45" s="163"/>
    </row>
    <row r="46" spans="1:14">
      <c r="A46" s="163"/>
      <c r="B46" s="163"/>
      <c r="C46" s="163"/>
      <c r="D46" s="163"/>
      <c r="E46" s="163"/>
      <c r="F46" s="163"/>
      <c r="G46" s="163"/>
      <c r="H46" s="163"/>
      <c r="I46" s="163"/>
      <c r="J46" s="163"/>
      <c r="K46" s="163"/>
      <c r="L46" s="163"/>
    </row>
    <row r="47" spans="1:14">
      <c r="A47" s="163"/>
      <c r="B47" s="163"/>
      <c r="C47" s="163"/>
      <c r="D47" s="163"/>
      <c r="E47" s="163"/>
      <c r="F47" s="163"/>
      <c r="G47" s="163"/>
      <c r="H47" s="163"/>
      <c r="I47" s="163"/>
      <c r="J47" s="163"/>
      <c r="K47" s="163"/>
      <c r="L47" s="163"/>
    </row>
    <row r="48" spans="1:14">
      <c r="A48" s="163"/>
      <c r="B48" s="163"/>
      <c r="C48" s="163"/>
      <c r="D48" s="163"/>
      <c r="E48" s="163"/>
      <c r="F48" s="163"/>
      <c r="G48" s="163"/>
      <c r="H48" s="163"/>
      <c r="I48" s="163"/>
      <c r="J48" s="163"/>
      <c r="K48" s="163"/>
      <c r="L48" s="163"/>
    </row>
    <row r="49" spans="1:14">
      <c r="A49" s="163"/>
      <c r="B49" s="163"/>
      <c r="C49" s="163"/>
      <c r="D49" s="163"/>
      <c r="E49" s="163"/>
      <c r="F49" s="163"/>
      <c r="G49" s="163"/>
      <c r="H49" s="163"/>
      <c r="I49" s="163"/>
      <c r="J49" s="163"/>
      <c r="K49" s="163"/>
      <c r="L49" s="163"/>
    </row>
    <row r="50" spans="1:14">
      <c r="A50" s="163"/>
      <c r="B50" s="163"/>
      <c r="C50" s="163"/>
      <c r="D50" s="163"/>
      <c r="E50" s="163"/>
      <c r="F50" s="163"/>
      <c r="G50" s="163"/>
      <c r="H50" s="163"/>
      <c r="I50" s="163"/>
      <c r="J50" s="163"/>
      <c r="K50" s="163"/>
      <c r="L50" s="163"/>
    </row>
    <row r="51" spans="1:14">
      <c r="A51" s="163"/>
      <c r="B51" s="163"/>
      <c r="C51" s="163"/>
      <c r="D51" s="163"/>
      <c r="E51" s="163"/>
      <c r="F51" s="163"/>
      <c r="G51" s="163"/>
      <c r="H51" s="163"/>
      <c r="I51" s="163"/>
      <c r="J51" s="163"/>
      <c r="K51" s="163"/>
      <c r="L51" s="163"/>
    </row>
    <row r="52" spans="1:14">
      <c r="A52" s="163"/>
      <c r="B52" s="117"/>
      <c r="C52" s="117"/>
      <c r="D52" s="117"/>
      <c r="E52" s="117"/>
      <c r="F52" s="117"/>
      <c r="G52" s="117"/>
      <c r="H52" s="117"/>
      <c r="I52" s="117"/>
      <c r="J52" s="117"/>
      <c r="K52" s="117"/>
      <c r="L52" s="117"/>
      <c r="M52" s="173"/>
      <c r="N52" s="1"/>
    </row>
    <row r="53" spans="1:14">
      <c r="A53" s="163"/>
      <c r="B53" s="117"/>
      <c r="C53" s="117"/>
      <c r="D53" s="117"/>
      <c r="E53" s="117"/>
      <c r="F53" s="117"/>
      <c r="G53" s="117"/>
      <c r="H53" s="117"/>
      <c r="I53" s="117"/>
      <c r="J53" s="117"/>
      <c r="K53" s="117"/>
      <c r="L53" s="117"/>
      <c r="M53" s="173"/>
      <c r="N53" s="1"/>
    </row>
    <row r="54" spans="1:14">
      <c r="A54" s="163"/>
      <c r="B54" s="117"/>
      <c r="C54" s="117"/>
      <c r="D54" s="117"/>
      <c r="E54" s="117"/>
      <c r="F54" s="117"/>
      <c r="G54" s="117"/>
      <c r="H54" s="117"/>
      <c r="I54" s="117"/>
      <c r="J54" s="117"/>
      <c r="K54" s="117"/>
      <c r="L54" s="117"/>
      <c r="M54" s="173"/>
      <c r="N54" s="1"/>
    </row>
    <row r="55" spans="1:14">
      <c r="A55" s="163"/>
      <c r="B55" s="117"/>
      <c r="C55" s="117"/>
      <c r="D55" s="117"/>
      <c r="E55" s="117"/>
      <c r="F55" s="117"/>
      <c r="G55" s="117"/>
      <c r="H55" s="117"/>
      <c r="I55" s="117"/>
      <c r="J55" s="117"/>
      <c r="K55" s="117"/>
      <c r="L55" s="117"/>
      <c r="M55" s="173"/>
      <c r="N55" s="1"/>
    </row>
    <row r="56" spans="1:14">
      <c r="A56" s="163"/>
      <c r="B56" s="117"/>
      <c r="C56" s="117"/>
      <c r="D56" s="117"/>
      <c r="E56" s="117"/>
      <c r="F56" s="117"/>
      <c r="G56" s="117"/>
      <c r="H56" s="117"/>
      <c r="I56" s="117"/>
      <c r="J56" s="117"/>
      <c r="K56" s="117"/>
      <c r="L56" s="117"/>
      <c r="M56" s="173"/>
      <c r="N56" s="1"/>
    </row>
    <row r="57" spans="1:14">
      <c r="A57" s="357"/>
      <c r="B57" s="117"/>
      <c r="C57" s="117"/>
      <c r="D57" s="117"/>
      <c r="E57" s="117"/>
      <c r="F57" s="117"/>
      <c r="G57" s="117"/>
      <c r="H57" s="117"/>
      <c r="I57" s="117"/>
      <c r="J57" s="117"/>
      <c r="K57" s="117"/>
      <c r="L57" s="117"/>
      <c r="M57" s="173"/>
      <c r="N57" s="1"/>
    </row>
    <row r="58" spans="1:14">
      <c r="A58" s="163"/>
      <c r="B58" s="117"/>
      <c r="C58" s="117"/>
      <c r="D58" s="117"/>
      <c r="E58" s="117"/>
      <c r="F58" s="117"/>
      <c r="G58" s="117"/>
      <c r="H58" s="117"/>
      <c r="I58" s="117"/>
      <c r="J58" s="117"/>
      <c r="K58" s="117"/>
      <c r="L58" s="117"/>
      <c r="M58" s="173"/>
      <c r="N58" s="1"/>
    </row>
    <row r="59" spans="1:14">
      <c r="A59" s="357"/>
      <c r="B59" s="117"/>
      <c r="C59" s="117"/>
      <c r="D59" s="117"/>
      <c r="E59" s="117"/>
      <c r="F59" s="117"/>
      <c r="G59" s="117"/>
      <c r="H59" s="117"/>
      <c r="I59" s="117"/>
      <c r="J59" s="117"/>
      <c r="K59" s="117"/>
      <c r="L59" s="117"/>
      <c r="M59" s="173"/>
      <c r="N59" s="1"/>
    </row>
    <row r="60" spans="1:14">
      <c r="A60" s="163"/>
      <c r="B60" s="117"/>
      <c r="C60" s="117"/>
      <c r="D60" s="117"/>
      <c r="E60" s="117"/>
      <c r="F60" s="117"/>
      <c r="G60" s="117"/>
      <c r="H60" s="117"/>
      <c r="I60" s="117"/>
      <c r="J60" s="117"/>
      <c r="K60" s="117"/>
      <c r="L60" s="117"/>
      <c r="M60" s="173"/>
      <c r="N60" s="1"/>
    </row>
    <row r="61" spans="1:14">
      <c r="A61" s="163"/>
      <c r="B61" s="117"/>
      <c r="C61" s="117"/>
      <c r="D61" s="117"/>
      <c r="E61" s="117"/>
      <c r="F61" s="117"/>
      <c r="G61" s="117"/>
      <c r="H61" s="117"/>
      <c r="I61" s="117"/>
      <c r="J61" s="117"/>
      <c r="K61" s="117"/>
      <c r="L61" s="117"/>
      <c r="M61" s="173"/>
      <c r="N61" s="1"/>
    </row>
    <row r="62" spans="1:14">
      <c r="A62" s="163"/>
      <c r="B62" s="117"/>
      <c r="C62" s="117"/>
      <c r="D62" s="117"/>
      <c r="E62" s="117"/>
      <c r="F62" s="117"/>
      <c r="G62" s="117"/>
      <c r="H62" s="117"/>
      <c r="I62" s="117"/>
      <c r="J62" s="117"/>
      <c r="K62" s="117"/>
      <c r="L62" s="117"/>
      <c r="M62" s="173"/>
      <c r="N62" s="1"/>
    </row>
    <row r="63" spans="1:14">
      <c r="A63" s="357"/>
      <c r="B63" s="193"/>
      <c r="C63" s="193"/>
      <c r="D63" s="193"/>
      <c r="E63" s="193"/>
      <c r="F63" s="193"/>
      <c r="G63" s="193"/>
      <c r="H63" s="193"/>
      <c r="I63" s="193"/>
      <c r="J63" s="193"/>
      <c r="K63" s="193"/>
      <c r="L63" s="193"/>
      <c r="M63" s="173"/>
      <c r="N63" s="1"/>
    </row>
    <row r="64" spans="1:14">
      <c r="A64" s="357"/>
      <c r="B64" s="163"/>
      <c r="C64" s="163"/>
      <c r="D64" s="163"/>
      <c r="E64" s="163"/>
      <c r="F64" s="163"/>
      <c r="G64" s="163"/>
      <c r="H64" s="163"/>
      <c r="I64" s="163"/>
      <c r="J64" s="163"/>
      <c r="K64" s="163"/>
      <c r="L64" s="163"/>
    </row>
    <row r="65" spans="1:14">
      <c r="A65" s="357"/>
      <c r="B65" s="117"/>
      <c r="C65" s="117"/>
      <c r="D65" s="117"/>
      <c r="E65" s="117"/>
      <c r="F65" s="117"/>
      <c r="G65" s="117"/>
      <c r="H65" s="117"/>
      <c r="I65" s="117"/>
      <c r="J65" s="117"/>
      <c r="K65" s="117"/>
      <c r="L65" s="117"/>
      <c r="M65" s="173"/>
      <c r="N65" s="1"/>
    </row>
    <row r="66" spans="1:14">
      <c r="A66" s="357"/>
      <c r="B66" s="358"/>
      <c r="C66" s="358"/>
      <c r="D66" s="358"/>
      <c r="E66" s="358"/>
      <c r="F66" s="358"/>
      <c r="G66" s="358"/>
      <c r="H66" s="358"/>
      <c r="I66" s="358"/>
      <c r="J66" s="358"/>
      <c r="K66" s="358"/>
      <c r="L66" s="358"/>
      <c r="M66" s="173"/>
      <c r="N66" s="1"/>
    </row>
    <row r="67" spans="1:14">
      <c r="A67" s="359"/>
      <c r="B67" s="360"/>
      <c r="C67" s="360"/>
      <c r="D67" s="360"/>
      <c r="E67" s="360"/>
      <c r="F67" s="360"/>
      <c r="G67" s="360"/>
      <c r="H67" s="360"/>
      <c r="I67" s="360"/>
      <c r="J67" s="360"/>
      <c r="K67" s="360"/>
      <c r="L67" s="360"/>
      <c r="M67" s="173"/>
      <c r="N67" s="1"/>
    </row>
    <row r="68" spans="1:14">
      <c r="A68" s="359"/>
      <c r="B68" s="360"/>
      <c r="C68" s="360"/>
      <c r="D68" s="360"/>
      <c r="E68" s="360"/>
      <c r="F68" s="360"/>
      <c r="G68" s="360"/>
      <c r="H68" s="360"/>
      <c r="I68" s="360"/>
      <c r="J68" s="360"/>
      <c r="K68" s="360"/>
      <c r="L68" s="360"/>
      <c r="M68" s="173"/>
      <c r="N68" s="1"/>
    </row>
    <row r="69" spans="1:14">
      <c r="A69" s="359"/>
      <c r="B69" s="360"/>
      <c r="C69" s="360"/>
      <c r="D69" s="360"/>
      <c r="E69" s="360"/>
      <c r="F69" s="360"/>
      <c r="G69" s="360"/>
      <c r="H69" s="360"/>
      <c r="I69" s="360"/>
      <c r="J69" s="360"/>
      <c r="K69" s="360"/>
      <c r="L69" s="360"/>
      <c r="M69" s="173"/>
      <c r="N69" s="1"/>
    </row>
    <row r="70" spans="1:14">
      <c r="A70" s="359"/>
      <c r="B70" s="360"/>
      <c r="C70" s="360"/>
      <c r="D70" s="360"/>
      <c r="E70" s="360"/>
      <c r="F70" s="360"/>
      <c r="G70" s="360"/>
      <c r="H70" s="360"/>
      <c r="I70" s="360"/>
      <c r="J70" s="360"/>
      <c r="K70" s="360"/>
      <c r="L70" s="360"/>
      <c r="M70" s="173"/>
      <c r="N70" s="1"/>
    </row>
    <row r="71" spans="1:14" s="17" customFormat="1">
      <c r="A71" s="420"/>
      <c r="B71" s="421"/>
      <c r="C71" s="421"/>
      <c r="D71" s="421"/>
      <c r="E71" s="421"/>
      <c r="F71" s="421"/>
      <c r="G71" s="421"/>
      <c r="H71" s="421"/>
      <c r="I71" s="421"/>
      <c r="J71" s="421"/>
      <c r="K71" s="421"/>
      <c r="L71" s="421"/>
      <c r="M71" s="197"/>
      <c r="N71" s="33"/>
    </row>
    <row r="72" spans="1:14">
      <c r="A72" s="422"/>
      <c r="B72" s="423"/>
      <c r="C72" s="424"/>
      <c r="D72" s="424"/>
      <c r="E72" s="424"/>
      <c r="F72" s="424"/>
      <c r="G72" s="424"/>
      <c r="H72" s="424"/>
      <c r="I72" s="424"/>
      <c r="J72" s="424"/>
      <c r="K72" s="424"/>
      <c r="L72" s="424"/>
      <c r="M72" s="173"/>
      <c r="N72" s="1"/>
    </row>
    <row r="73" spans="1:14">
      <c r="A73" s="425"/>
      <c r="B73" s="423"/>
      <c r="C73" s="424"/>
      <c r="D73" s="424"/>
      <c r="E73" s="424"/>
      <c r="F73" s="424"/>
      <c r="G73" s="424"/>
      <c r="H73" s="424"/>
      <c r="I73" s="424"/>
      <c r="J73" s="424"/>
      <c r="K73" s="424"/>
      <c r="L73" s="424"/>
      <c r="M73" s="173"/>
      <c r="N73" s="1"/>
    </row>
    <row r="74" spans="1:14">
      <c r="A74" s="52"/>
      <c r="B74" s="43"/>
      <c r="C74" s="43"/>
      <c r="D74" s="43"/>
      <c r="E74" s="43"/>
      <c r="F74" s="43"/>
      <c r="G74" s="43"/>
      <c r="H74" s="43"/>
      <c r="I74" s="43"/>
      <c r="J74" s="43"/>
      <c r="K74" s="43"/>
      <c r="L74" s="43"/>
      <c r="M74" s="173"/>
      <c r="N74" s="1"/>
    </row>
    <row r="75" spans="1:14" ht="18.75">
      <c r="A75" s="426"/>
      <c r="B75" s="43"/>
      <c r="C75" s="43"/>
      <c r="D75" s="43"/>
      <c r="E75" s="43"/>
      <c r="F75" s="43"/>
      <c r="G75" s="43"/>
      <c r="H75" s="43"/>
      <c r="I75" s="43"/>
      <c r="J75" s="43"/>
      <c r="K75" s="43"/>
      <c r="L75" s="43"/>
      <c r="M75" s="173"/>
      <c r="N75" s="1"/>
    </row>
    <row r="76" spans="1:14">
      <c r="A76" s="164"/>
      <c r="B76" s="427"/>
      <c r="C76" s="427"/>
      <c r="D76" s="427"/>
      <c r="E76" s="427"/>
      <c r="F76" s="427"/>
      <c r="G76" s="427"/>
      <c r="H76" s="427"/>
      <c r="I76" s="427"/>
      <c r="J76" s="427"/>
      <c r="K76" s="427"/>
      <c r="L76" s="427"/>
      <c r="M76" s="173"/>
      <c r="N76" s="1"/>
    </row>
    <row r="77" spans="1:14">
      <c r="A77" s="52"/>
      <c r="B77" s="43"/>
      <c r="C77" s="43"/>
      <c r="D77" s="43"/>
      <c r="E77" s="43"/>
      <c r="F77" s="43"/>
      <c r="G77" s="43"/>
      <c r="H77" s="43"/>
      <c r="I77" s="43"/>
      <c r="J77" s="43"/>
      <c r="K77" s="43"/>
      <c r="L77" s="43"/>
      <c r="M77" s="173"/>
      <c r="N77" s="1"/>
    </row>
    <row r="78" spans="1:14">
      <c r="A78" s="52"/>
      <c r="B78" s="43"/>
      <c r="C78" s="43"/>
      <c r="D78" s="43"/>
      <c r="E78" s="43"/>
      <c r="F78" s="43"/>
      <c r="G78" s="43"/>
      <c r="H78" s="43"/>
      <c r="I78" s="43"/>
      <c r="J78" s="43"/>
      <c r="K78" s="43"/>
      <c r="L78" s="43"/>
      <c r="M78" s="173"/>
      <c r="N78" s="1"/>
    </row>
    <row r="79" spans="1:14">
      <c r="A79" s="51"/>
      <c r="B79" s="43"/>
      <c r="C79" s="43"/>
      <c r="D79" s="43"/>
      <c r="E79" s="43"/>
      <c r="F79" s="43"/>
      <c r="G79" s="43"/>
      <c r="H79" s="43"/>
      <c r="I79" s="43"/>
      <c r="J79" s="43"/>
      <c r="K79" s="43"/>
      <c r="L79" s="43"/>
      <c r="M79" s="173"/>
      <c r="N79" s="1"/>
    </row>
    <row r="80" spans="1:14">
      <c r="A80" s="51"/>
      <c r="B80" s="43"/>
      <c r="C80" s="43"/>
      <c r="D80" s="43"/>
      <c r="E80" s="43"/>
      <c r="F80" s="43"/>
      <c r="G80" s="43"/>
      <c r="H80" s="43"/>
      <c r="I80" s="43"/>
      <c r="J80" s="43"/>
      <c r="K80" s="43"/>
      <c r="L80" s="43"/>
      <c r="M80" s="173"/>
      <c r="N80" s="1"/>
    </row>
    <row r="81" spans="1:14">
      <c r="A81" s="51"/>
      <c r="B81" s="43"/>
      <c r="C81" s="43"/>
      <c r="D81" s="43"/>
      <c r="E81" s="43"/>
      <c r="F81" s="43"/>
      <c r="G81" s="43"/>
      <c r="H81" s="43"/>
      <c r="I81" s="43"/>
      <c r="J81" s="43"/>
      <c r="K81" s="43"/>
      <c r="L81" s="43"/>
      <c r="M81" s="173"/>
      <c r="N81" s="1"/>
    </row>
    <row r="82" spans="1:14">
      <c r="A82" s="51"/>
      <c r="B82" s="43"/>
      <c r="C82" s="43"/>
      <c r="D82" s="43"/>
      <c r="E82" s="43"/>
      <c r="F82" s="43"/>
      <c r="G82" s="43"/>
      <c r="H82" s="43"/>
      <c r="I82" s="43"/>
      <c r="J82" s="43"/>
      <c r="K82" s="43"/>
      <c r="L82" s="43"/>
      <c r="M82" s="173"/>
      <c r="N82" s="1"/>
    </row>
    <row r="83" spans="1:14">
      <c r="A83" s="428"/>
      <c r="B83" s="43"/>
      <c r="C83" s="43"/>
      <c r="D83" s="43"/>
      <c r="E83" s="43"/>
      <c r="F83" s="43"/>
      <c r="G83" s="43"/>
      <c r="H83" s="43"/>
      <c r="I83" s="43"/>
      <c r="J83" s="43"/>
      <c r="K83" s="43"/>
      <c r="L83" s="43"/>
      <c r="M83" s="173"/>
      <c r="N83" s="1"/>
    </row>
    <row r="84" spans="1:14">
      <c r="A84" s="52"/>
      <c r="B84" s="43"/>
      <c r="C84" s="43"/>
      <c r="D84" s="43"/>
      <c r="E84" s="43"/>
      <c r="F84" s="43"/>
      <c r="G84" s="43"/>
      <c r="H84" s="43"/>
      <c r="I84" s="43"/>
      <c r="J84" s="43"/>
      <c r="K84" s="43"/>
      <c r="L84" s="43"/>
      <c r="M84" s="173"/>
      <c r="N84" s="1"/>
    </row>
    <row r="85" spans="1:14">
      <c r="A85" s="52"/>
      <c r="B85" s="43"/>
      <c r="C85" s="43"/>
      <c r="D85" s="43"/>
      <c r="E85" s="43"/>
      <c r="F85" s="43"/>
      <c r="G85" s="43"/>
      <c r="H85" s="43"/>
      <c r="I85" s="43"/>
      <c r="J85" s="43"/>
      <c r="K85" s="43"/>
      <c r="L85" s="43"/>
      <c r="M85" s="173"/>
      <c r="N85" s="1"/>
    </row>
    <row r="86" spans="1:14">
      <c r="A86" s="52"/>
      <c r="B86" s="44"/>
      <c r="C86" s="44"/>
      <c r="D86" s="44"/>
      <c r="E86" s="44"/>
      <c r="F86" s="44"/>
      <c r="G86" s="44"/>
      <c r="H86" s="44"/>
      <c r="I86" s="44"/>
      <c r="J86" s="44"/>
      <c r="K86" s="44"/>
      <c r="L86" s="44"/>
      <c r="M86" s="173"/>
      <c r="N86" s="1"/>
    </row>
    <row r="87" spans="1:14">
      <c r="A87" s="52"/>
      <c r="B87" s="44"/>
      <c r="C87" s="44"/>
      <c r="D87" s="44"/>
      <c r="E87" s="44"/>
      <c r="F87" s="44"/>
      <c r="G87" s="44"/>
      <c r="H87" s="44"/>
      <c r="I87" s="44"/>
      <c r="J87" s="44"/>
      <c r="K87" s="44"/>
      <c r="L87" s="44"/>
      <c r="M87" s="173"/>
      <c r="N87" s="1"/>
    </row>
    <row r="88" spans="1:14">
      <c r="A88" s="52"/>
      <c r="B88" s="43"/>
      <c r="C88" s="43"/>
      <c r="D88" s="43"/>
      <c r="E88" s="43"/>
      <c r="F88" s="43"/>
      <c r="G88" s="43"/>
      <c r="H88" s="43"/>
      <c r="I88" s="43"/>
      <c r="J88" s="43"/>
      <c r="K88" s="43"/>
      <c r="L88" s="43"/>
      <c r="M88" s="173"/>
      <c r="N88" s="1"/>
    </row>
    <row r="89" spans="1:14">
      <c r="B89" s="1"/>
      <c r="C89" s="1"/>
      <c r="D89" s="1"/>
      <c r="E89" s="1"/>
      <c r="F89" s="1"/>
      <c r="G89" s="1"/>
      <c r="H89" s="1"/>
      <c r="I89" s="1"/>
      <c r="J89" s="1"/>
      <c r="K89" s="1"/>
      <c r="L89" s="1"/>
      <c r="M89" s="173"/>
      <c r="N89" s="1"/>
    </row>
    <row r="90" spans="1:14">
      <c r="B90" s="1"/>
      <c r="C90" s="1"/>
      <c r="D90" s="1"/>
      <c r="E90" s="1"/>
      <c r="F90" s="1"/>
      <c r="G90" s="1"/>
      <c r="H90" s="1"/>
      <c r="I90" s="1"/>
      <c r="J90" s="1"/>
      <c r="K90" s="1"/>
      <c r="L90" s="1"/>
      <c r="M90" s="173"/>
      <c r="N90" s="1"/>
    </row>
    <row r="91" spans="1:14">
      <c r="B91" s="1"/>
      <c r="C91" s="1"/>
      <c r="D91" s="1"/>
      <c r="E91" s="1"/>
      <c r="F91" s="1"/>
      <c r="G91" s="1"/>
      <c r="H91" s="1"/>
      <c r="I91" s="1"/>
      <c r="J91" s="1"/>
      <c r="K91" s="1"/>
      <c r="L91" s="1"/>
      <c r="M91" s="173"/>
      <c r="N91" s="1"/>
    </row>
    <row r="92" spans="1:14">
      <c r="B92" s="1"/>
      <c r="C92" s="1"/>
      <c r="D92" s="1"/>
      <c r="E92" s="1"/>
      <c r="F92" s="1"/>
      <c r="G92" s="1"/>
      <c r="H92" s="1"/>
      <c r="I92" s="1"/>
      <c r="J92" s="1"/>
      <c r="K92" s="1"/>
      <c r="L92" s="1"/>
      <c r="M92" s="173"/>
      <c r="N92" s="1"/>
    </row>
    <row r="93" spans="1:14">
      <c r="B93" s="1"/>
      <c r="C93" s="1"/>
      <c r="D93" s="1"/>
      <c r="E93" s="1"/>
      <c r="F93" s="1"/>
      <c r="G93" s="1"/>
      <c r="H93" s="1"/>
      <c r="I93" s="1"/>
      <c r="J93" s="1"/>
      <c r="K93" s="1"/>
      <c r="L93" s="1"/>
      <c r="M93" s="173"/>
      <c r="N93" s="1"/>
    </row>
    <row r="94" spans="1:14">
      <c r="B94" s="1"/>
      <c r="C94" s="1"/>
      <c r="D94" s="1"/>
      <c r="E94" s="1"/>
      <c r="F94" s="1"/>
      <c r="G94" s="1"/>
      <c r="H94" s="1"/>
      <c r="I94" s="1"/>
      <c r="J94" s="1"/>
      <c r="K94" s="1"/>
      <c r="L94" s="1"/>
      <c r="M94" s="173"/>
      <c r="N94" s="1"/>
    </row>
    <row r="95" spans="1:14">
      <c r="B95" s="1"/>
      <c r="C95" s="1"/>
      <c r="D95" s="1"/>
      <c r="E95" s="1"/>
      <c r="F95" s="1"/>
      <c r="G95" s="1"/>
      <c r="H95" s="1"/>
      <c r="I95" s="1"/>
      <c r="J95" s="1"/>
      <c r="K95" s="1"/>
      <c r="L95" s="1"/>
      <c r="M95" s="173"/>
      <c r="N95" s="1"/>
    </row>
    <row r="96" spans="1:14">
      <c r="B96" s="1"/>
      <c r="C96" s="1"/>
      <c r="D96" s="1"/>
      <c r="E96" s="1"/>
      <c r="F96" s="1"/>
      <c r="G96" s="1"/>
      <c r="H96" s="1"/>
      <c r="I96" s="1"/>
      <c r="J96" s="1"/>
      <c r="K96" s="1"/>
      <c r="L96" s="1"/>
      <c r="M96" s="173"/>
      <c r="N96" s="1"/>
    </row>
    <row r="97" spans="2:14">
      <c r="B97" s="1"/>
      <c r="C97" s="1"/>
      <c r="D97" s="1"/>
      <c r="E97" s="1"/>
      <c r="F97" s="1"/>
      <c r="G97" s="1"/>
      <c r="H97" s="1"/>
      <c r="I97" s="1"/>
      <c r="J97" s="1"/>
      <c r="K97" s="1"/>
      <c r="L97" s="1"/>
      <c r="M97" s="173"/>
      <c r="N97" s="1"/>
    </row>
    <row r="98" spans="2:14">
      <c r="B98" s="1"/>
      <c r="C98" s="1"/>
      <c r="D98" s="1"/>
      <c r="E98" s="1"/>
      <c r="F98" s="1"/>
      <c r="G98" s="1"/>
      <c r="H98" s="1"/>
      <c r="I98" s="1"/>
      <c r="J98" s="1"/>
      <c r="K98" s="1"/>
      <c r="L98" s="1"/>
      <c r="M98" s="173"/>
      <c r="N98" s="1"/>
    </row>
    <row r="99" spans="2:14">
      <c r="B99" s="1"/>
      <c r="C99" s="1"/>
      <c r="D99" s="1"/>
      <c r="E99" s="1"/>
      <c r="F99" s="1"/>
      <c r="G99" s="1"/>
      <c r="H99" s="1"/>
      <c r="I99" s="1"/>
      <c r="J99" s="1"/>
      <c r="K99" s="1"/>
      <c r="L99" s="1"/>
      <c r="M99" s="173"/>
      <c r="N99" s="1"/>
    </row>
    <row r="100" spans="2:14">
      <c r="B100" s="1"/>
      <c r="C100" s="1"/>
      <c r="D100" s="1"/>
      <c r="E100" s="1"/>
      <c r="F100" s="1"/>
      <c r="G100" s="1"/>
      <c r="H100" s="1"/>
      <c r="I100" s="1"/>
      <c r="J100" s="1"/>
      <c r="K100" s="1"/>
      <c r="L100" s="1"/>
      <c r="M100" s="173"/>
      <c r="N100" s="1"/>
    </row>
    <row r="101" spans="2:14">
      <c r="B101" s="1"/>
      <c r="C101" s="1"/>
      <c r="D101" s="1"/>
      <c r="E101" s="1"/>
      <c r="F101" s="1"/>
      <c r="G101" s="1"/>
      <c r="H101" s="1"/>
      <c r="I101" s="1"/>
      <c r="J101" s="1"/>
      <c r="K101" s="1"/>
      <c r="L101" s="1"/>
      <c r="M101" s="173"/>
      <c r="N101" s="1"/>
    </row>
    <row r="102" spans="2:14">
      <c r="B102" s="1"/>
      <c r="C102" s="1"/>
      <c r="D102" s="1"/>
      <c r="E102" s="1"/>
      <c r="F102" s="1"/>
      <c r="G102" s="1"/>
      <c r="H102" s="1"/>
      <c r="I102" s="1"/>
      <c r="J102" s="1"/>
      <c r="K102" s="1"/>
      <c r="L102" s="1"/>
      <c r="M102" s="173"/>
      <c r="N102" s="1"/>
    </row>
    <row r="103" spans="2:14">
      <c r="B103" s="1"/>
      <c r="C103" s="1"/>
      <c r="D103" s="1"/>
      <c r="E103" s="1"/>
      <c r="F103" s="1"/>
      <c r="G103" s="1"/>
      <c r="H103" s="1"/>
      <c r="I103" s="1"/>
      <c r="J103" s="1"/>
      <c r="K103" s="1"/>
      <c r="L103" s="1"/>
      <c r="M103" s="173"/>
      <c r="N103" s="1"/>
    </row>
    <row r="104" spans="2:14">
      <c r="B104" s="1"/>
      <c r="C104" s="1"/>
      <c r="D104" s="1"/>
      <c r="E104" s="1"/>
      <c r="F104" s="1"/>
      <c r="G104" s="1"/>
      <c r="H104" s="1"/>
      <c r="I104" s="1"/>
      <c r="J104" s="1"/>
      <c r="K104" s="1"/>
      <c r="L104" s="1"/>
      <c r="M104" s="173"/>
      <c r="N104" s="1"/>
    </row>
    <row r="105" spans="2:14">
      <c r="B105" s="1"/>
      <c r="C105" s="1"/>
      <c r="D105" s="1"/>
      <c r="E105" s="1"/>
      <c r="F105" s="1"/>
      <c r="G105" s="1"/>
      <c r="H105" s="1"/>
      <c r="I105" s="1"/>
      <c r="J105" s="1"/>
      <c r="K105" s="1"/>
      <c r="L105" s="1"/>
      <c r="M105" s="173"/>
      <c r="N105" s="1"/>
    </row>
    <row r="106" spans="2:14">
      <c r="B106" s="1"/>
      <c r="C106" s="1"/>
      <c r="D106" s="1"/>
      <c r="E106" s="1"/>
      <c r="F106" s="1"/>
      <c r="G106" s="1"/>
      <c r="H106" s="1"/>
      <c r="I106" s="1"/>
      <c r="J106" s="1"/>
      <c r="K106" s="1"/>
      <c r="L106" s="1"/>
      <c r="M106" s="173"/>
      <c r="N106" s="1"/>
    </row>
    <row r="107" spans="2:14">
      <c r="B107" s="1"/>
      <c r="C107" s="1"/>
      <c r="D107" s="1"/>
      <c r="E107" s="1"/>
      <c r="F107" s="1"/>
      <c r="G107" s="1"/>
      <c r="H107" s="1"/>
      <c r="I107" s="1"/>
      <c r="J107" s="1"/>
      <c r="K107" s="1"/>
      <c r="L107" s="1"/>
      <c r="M107" s="173"/>
      <c r="N107" s="1"/>
    </row>
    <row r="108" spans="2:14">
      <c r="B108" s="1"/>
      <c r="C108" s="1"/>
      <c r="D108" s="1"/>
      <c r="E108" s="1"/>
      <c r="F108" s="1"/>
      <c r="G108" s="1"/>
      <c r="H108" s="1"/>
      <c r="I108" s="1"/>
      <c r="J108" s="1"/>
      <c r="K108" s="1"/>
      <c r="L108" s="1"/>
      <c r="M108" s="173"/>
      <c r="N108" s="1"/>
    </row>
    <row r="109" spans="2:14">
      <c r="B109" s="1"/>
      <c r="C109" s="1"/>
      <c r="D109" s="1"/>
      <c r="E109" s="1"/>
      <c r="F109" s="1"/>
      <c r="G109" s="1"/>
      <c r="H109" s="1"/>
      <c r="I109" s="1"/>
      <c r="J109" s="1"/>
      <c r="K109" s="1"/>
      <c r="L109" s="1"/>
      <c r="M109" s="173"/>
      <c r="N109" s="1"/>
    </row>
    <row r="110" spans="2:14">
      <c r="B110" s="1"/>
      <c r="C110" s="1"/>
      <c r="D110" s="1"/>
      <c r="E110" s="1"/>
      <c r="F110" s="1"/>
      <c r="G110" s="1"/>
      <c r="H110" s="1"/>
      <c r="I110" s="1"/>
      <c r="J110" s="1"/>
      <c r="K110" s="1"/>
      <c r="L110" s="1"/>
      <c r="M110" s="173"/>
      <c r="N110" s="1"/>
    </row>
    <row r="111" spans="2:14">
      <c r="B111" s="1"/>
      <c r="C111" s="1"/>
      <c r="D111" s="1"/>
      <c r="E111" s="1"/>
      <c r="F111" s="1"/>
      <c r="G111" s="1"/>
      <c r="H111" s="1"/>
      <c r="I111" s="1"/>
      <c r="J111" s="1"/>
      <c r="K111" s="1"/>
      <c r="L111" s="1"/>
      <c r="M111" s="173"/>
      <c r="N111" s="1"/>
    </row>
    <row r="112" spans="2:14">
      <c r="B112" s="1"/>
      <c r="C112" s="1"/>
      <c r="D112" s="1"/>
      <c r="E112" s="1"/>
      <c r="F112" s="1"/>
      <c r="G112" s="1"/>
      <c r="H112" s="1"/>
      <c r="I112" s="1"/>
      <c r="J112" s="1"/>
      <c r="K112" s="1"/>
      <c r="L112" s="1"/>
      <c r="M112" s="173"/>
      <c r="N112" s="1"/>
    </row>
    <row r="113" spans="2:14">
      <c r="B113" s="1"/>
      <c r="C113" s="1"/>
      <c r="D113" s="1"/>
      <c r="E113" s="1"/>
      <c r="F113" s="1"/>
      <c r="G113" s="1"/>
      <c r="H113" s="1"/>
      <c r="I113" s="1"/>
      <c r="J113" s="1"/>
      <c r="K113" s="1"/>
      <c r="L113" s="1"/>
      <c r="M113" s="173"/>
      <c r="N113" s="1"/>
    </row>
    <row r="114" spans="2:14">
      <c r="B114" s="1"/>
      <c r="C114" s="1"/>
      <c r="D114" s="1"/>
      <c r="E114" s="1"/>
      <c r="F114" s="1"/>
      <c r="G114" s="1"/>
      <c r="H114" s="1"/>
      <c r="I114" s="1"/>
      <c r="J114" s="1"/>
      <c r="K114" s="1"/>
      <c r="L114" s="1"/>
      <c r="M114" s="173"/>
      <c r="N114" s="1"/>
    </row>
    <row r="115" spans="2:14">
      <c r="B115" s="1"/>
      <c r="C115" s="1"/>
      <c r="D115" s="1"/>
      <c r="E115" s="1"/>
      <c r="F115" s="1"/>
      <c r="G115" s="1"/>
      <c r="H115" s="1"/>
      <c r="I115" s="1"/>
      <c r="J115" s="1"/>
      <c r="K115" s="1"/>
      <c r="L115" s="1"/>
      <c r="M115" s="173"/>
      <c r="N115" s="1"/>
    </row>
    <row r="116" spans="2:14">
      <c r="B116" s="1"/>
      <c r="C116" s="1"/>
      <c r="D116" s="1"/>
      <c r="E116" s="1"/>
      <c r="F116" s="1"/>
      <c r="G116" s="1"/>
      <c r="H116" s="1"/>
      <c r="I116" s="1"/>
      <c r="J116" s="1"/>
      <c r="K116" s="1"/>
      <c r="L116" s="1"/>
      <c r="M116" s="173"/>
      <c r="N116" s="1"/>
    </row>
    <row r="117" spans="2:14">
      <c r="B117" s="1"/>
      <c r="C117" s="1"/>
      <c r="D117" s="1"/>
      <c r="E117" s="1"/>
      <c r="F117" s="1"/>
      <c r="G117" s="1"/>
      <c r="H117" s="1"/>
      <c r="I117" s="1"/>
      <c r="J117" s="1"/>
      <c r="K117" s="1"/>
      <c r="L117" s="1"/>
      <c r="M117" s="173"/>
      <c r="N117" s="1"/>
    </row>
    <row r="118" spans="2:14">
      <c r="B118" s="1"/>
      <c r="C118" s="1"/>
      <c r="D118" s="1"/>
      <c r="E118" s="1"/>
      <c r="F118" s="1"/>
      <c r="G118" s="1"/>
      <c r="H118" s="1"/>
      <c r="I118" s="1"/>
      <c r="J118" s="1"/>
      <c r="K118" s="1"/>
      <c r="L118" s="1"/>
      <c r="M118" s="173"/>
      <c r="N118" s="1"/>
    </row>
    <row r="119" spans="2:14">
      <c r="B119" s="1"/>
      <c r="C119" s="1"/>
      <c r="D119" s="1"/>
      <c r="E119" s="1"/>
      <c r="F119" s="1"/>
      <c r="G119" s="1"/>
      <c r="H119" s="1"/>
      <c r="I119" s="1"/>
      <c r="J119" s="1"/>
      <c r="K119" s="1"/>
      <c r="L119" s="1"/>
      <c r="M119" s="173"/>
      <c r="N119" s="1"/>
    </row>
    <row r="120" spans="2:14">
      <c r="B120" s="1"/>
      <c r="C120" s="1"/>
      <c r="D120" s="1"/>
      <c r="E120" s="1"/>
      <c r="F120" s="1"/>
      <c r="G120" s="1"/>
      <c r="H120" s="1"/>
      <c r="I120" s="1"/>
      <c r="J120" s="1"/>
      <c r="K120" s="1"/>
      <c r="L120" s="1"/>
      <c r="M120" s="173"/>
      <c r="N120" s="1"/>
    </row>
    <row r="121" spans="2:14">
      <c r="B121" s="1"/>
      <c r="C121" s="1"/>
      <c r="D121" s="1"/>
      <c r="E121" s="1"/>
      <c r="F121" s="1"/>
      <c r="G121" s="1"/>
      <c r="H121" s="1"/>
      <c r="I121" s="1"/>
      <c r="J121" s="1"/>
      <c r="K121" s="1"/>
      <c r="L121" s="1"/>
      <c r="M121" s="173"/>
      <c r="N121" s="1"/>
    </row>
    <row r="122" spans="2:14">
      <c r="B122" s="1"/>
      <c r="C122" s="1"/>
      <c r="D122" s="1"/>
      <c r="E122" s="1"/>
      <c r="F122" s="1"/>
      <c r="G122" s="1"/>
      <c r="H122" s="1"/>
      <c r="I122" s="1"/>
      <c r="J122" s="1"/>
      <c r="K122" s="1"/>
      <c r="L122" s="1"/>
      <c r="M122" s="173"/>
      <c r="N122" s="1"/>
    </row>
    <row r="123" spans="2:14">
      <c r="B123" s="1"/>
      <c r="C123" s="1"/>
      <c r="D123" s="1"/>
      <c r="E123" s="1"/>
      <c r="F123" s="1"/>
      <c r="G123" s="1"/>
      <c r="H123" s="1"/>
      <c r="I123" s="1"/>
      <c r="J123" s="1"/>
      <c r="K123" s="1"/>
      <c r="L123" s="1"/>
      <c r="M123" s="173"/>
      <c r="N123" s="1"/>
    </row>
    <row r="124" spans="2:14">
      <c r="B124" s="1"/>
      <c r="C124" s="1"/>
      <c r="D124" s="1"/>
      <c r="E124" s="1"/>
      <c r="F124" s="1"/>
      <c r="G124" s="1"/>
      <c r="H124" s="1"/>
      <c r="I124" s="1"/>
      <c r="J124" s="1"/>
      <c r="K124" s="1"/>
      <c r="L124" s="1"/>
      <c r="M124" s="173"/>
      <c r="N124" s="1"/>
    </row>
    <row r="125" spans="2:14">
      <c r="B125" s="1"/>
      <c r="C125" s="1"/>
      <c r="D125" s="1"/>
      <c r="E125" s="1"/>
      <c r="F125" s="1"/>
      <c r="G125" s="1"/>
      <c r="H125" s="1"/>
      <c r="I125" s="1"/>
      <c r="J125" s="1"/>
      <c r="K125" s="1"/>
      <c r="L125" s="1"/>
      <c r="M125" s="173"/>
      <c r="N125" s="1"/>
    </row>
    <row r="126" spans="2:14">
      <c r="B126" s="1"/>
      <c r="C126" s="1"/>
      <c r="D126" s="1"/>
      <c r="E126" s="1"/>
      <c r="F126" s="1"/>
      <c r="G126" s="1"/>
      <c r="H126" s="1"/>
      <c r="I126" s="1"/>
      <c r="J126" s="1"/>
      <c r="K126" s="1"/>
      <c r="L126" s="1"/>
      <c r="M126" s="173"/>
      <c r="N126" s="1"/>
    </row>
    <row r="127" spans="2:14">
      <c r="B127" s="1"/>
      <c r="C127" s="1"/>
      <c r="D127" s="1"/>
      <c r="E127" s="1"/>
      <c r="F127" s="1"/>
      <c r="G127" s="1"/>
      <c r="H127" s="1"/>
      <c r="I127" s="1"/>
      <c r="J127" s="1"/>
      <c r="K127" s="1"/>
      <c r="L127" s="1"/>
      <c r="M127" s="173"/>
      <c r="N127" s="1"/>
    </row>
    <row r="128" spans="2:14">
      <c r="B128" s="1"/>
      <c r="C128" s="1"/>
      <c r="D128" s="1"/>
      <c r="E128" s="1"/>
      <c r="F128" s="1"/>
      <c r="G128" s="1"/>
      <c r="H128" s="1"/>
      <c r="I128" s="1"/>
      <c r="J128" s="1"/>
      <c r="K128" s="1"/>
      <c r="L128" s="1"/>
      <c r="M128" s="173"/>
      <c r="N128" s="1"/>
    </row>
    <row r="129" spans="2:14">
      <c r="B129" s="1"/>
      <c r="C129" s="1"/>
      <c r="D129" s="1"/>
      <c r="E129" s="1"/>
      <c r="F129" s="1"/>
      <c r="G129" s="1"/>
      <c r="H129" s="1"/>
      <c r="I129" s="1"/>
      <c r="J129" s="1"/>
      <c r="K129" s="1"/>
      <c r="L129" s="1"/>
      <c r="M129" s="173"/>
      <c r="N129" s="1"/>
    </row>
    <row r="130" spans="2:14">
      <c r="B130" s="1"/>
      <c r="C130" s="1"/>
      <c r="D130" s="1"/>
      <c r="E130" s="1"/>
      <c r="F130" s="1"/>
      <c r="G130" s="1"/>
      <c r="H130" s="1"/>
      <c r="I130" s="1"/>
      <c r="J130" s="1"/>
      <c r="K130" s="1"/>
      <c r="L130" s="1"/>
      <c r="M130" s="173"/>
      <c r="N130" s="1"/>
    </row>
    <row r="131" spans="2:14">
      <c r="B131" s="1"/>
      <c r="C131" s="1"/>
      <c r="D131" s="1"/>
      <c r="E131" s="1"/>
      <c r="F131" s="1"/>
      <c r="G131" s="1"/>
      <c r="H131" s="1"/>
      <c r="I131" s="1"/>
      <c r="J131" s="1"/>
      <c r="K131" s="1"/>
      <c r="L131" s="1"/>
      <c r="M131" s="173"/>
      <c r="N131" s="1"/>
    </row>
    <row r="132" spans="2:14">
      <c r="B132" s="1"/>
      <c r="C132" s="1"/>
      <c r="D132" s="1"/>
      <c r="E132" s="1"/>
      <c r="F132" s="1"/>
      <c r="G132" s="1"/>
      <c r="H132" s="1"/>
      <c r="I132" s="1"/>
      <c r="J132" s="1"/>
      <c r="K132" s="1"/>
      <c r="L132" s="1"/>
      <c r="M132" s="173"/>
      <c r="N132" s="1"/>
    </row>
    <row r="133" spans="2:14">
      <c r="B133" s="1"/>
      <c r="C133" s="1"/>
      <c r="D133" s="1"/>
      <c r="E133" s="1"/>
      <c r="F133" s="1"/>
      <c r="G133" s="1"/>
      <c r="H133" s="1"/>
      <c r="I133" s="1"/>
      <c r="J133" s="1"/>
      <c r="K133" s="1"/>
      <c r="L133" s="1"/>
      <c r="M133" s="173"/>
      <c r="N133" s="1"/>
    </row>
    <row r="134" spans="2:14">
      <c r="B134" s="1"/>
      <c r="C134" s="1"/>
      <c r="D134" s="1"/>
      <c r="E134" s="1"/>
      <c r="F134" s="1"/>
      <c r="G134" s="1"/>
      <c r="H134" s="1"/>
      <c r="I134" s="1"/>
      <c r="J134" s="1"/>
      <c r="K134" s="1"/>
      <c r="L134" s="1"/>
      <c r="M134" s="173"/>
      <c r="N134" s="1"/>
    </row>
    <row r="135" spans="2:14">
      <c r="B135" s="1"/>
      <c r="C135" s="1"/>
      <c r="D135" s="1"/>
      <c r="E135" s="1"/>
      <c r="F135" s="1"/>
      <c r="G135" s="1"/>
      <c r="H135" s="1"/>
      <c r="I135" s="1"/>
      <c r="J135" s="1"/>
      <c r="K135" s="1"/>
      <c r="L135" s="1"/>
      <c r="M135" s="173"/>
      <c r="N135" s="1"/>
    </row>
    <row r="136" spans="2:14">
      <c r="B136" s="1"/>
      <c r="C136" s="1"/>
      <c r="D136" s="1"/>
      <c r="E136" s="1"/>
      <c r="F136" s="1"/>
      <c r="G136" s="1"/>
      <c r="H136" s="1"/>
      <c r="I136" s="1"/>
      <c r="J136" s="1"/>
      <c r="K136" s="1"/>
      <c r="L136" s="1"/>
      <c r="M136" s="173"/>
      <c r="N136" s="1"/>
    </row>
    <row r="137" spans="2:14">
      <c r="B137" s="1"/>
      <c r="C137" s="1"/>
      <c r="D137" s="1"/>
      <c r="E137" s="1"/>
      <c r="F137" s="1"/>
      <c r="G137" s="1"/>
      <c r="H137" s="1"/>
      <c r="I137" s="1"/>
      <c r="J137" s="1"/>
      <c r="K137" s="1"/>
      <c r="L137" s="1"/>
      <c r="M137" s="173"/>
      <c r="N137" s="1"/>
    </row>
    <row r="138" spans="2:14">
      <c r="B138" s="1"/>
      <c r="C138" s="1"/>
      <c r="D138" s="1"/>
      <c r="E138" s="1"/>
      <c r="F138" s="1"/>
      <c r="G138" s="1"/>
      <c r="H138" s="1"/>
      <c r="I138" s="1"/>
      <c r="J138" s="1"/>
      <c r="K138" s="1"/>
      <c r="L138" s="1"/>
      <c r="M138" s="173"/>
      <c r="N138" s="1"/>
    </row>
    <row r="139" spans="2:14">
      <c r="B139" s="1"/>
      <c r="C139" s="1"/>
      <c r="D139" s="1"/>
      <c r="E139" s="1"/>
      <c r="F139" s="1"/>
      <c r="G139" s="1"/>
      <c r="H139" s="1"/>
      <c r="I139" s="1"/>
      <c r="J139" s="1"/>
      <c r="K139" s="1"/>
      <c r="L139" s="1"/>
      <c r="M139" s="173"/>
      <c r="N139" s="1"/>
    </row>
    <row r="140" spans="2:14">
      <c r="B140" s="1"/>
      <c r="C140" s="1"/>
      <c r="D140" s="1"/>
      <c r="E140" s="1"/>
      <c r="F140" s="1"/>
      <c r="G140" s="1"/>
      <c r="H140" s="1"/>
      <c r="I140" s="1"/>
      <c r="J140" s="1"/>
      <c r="K140" s="1"/>
      <c r="L140" s="1"/>
      <c r="M140" s="173"/>
      <c r="N140" s="1"/>
    </row>
    <row r="141" spans="2:14">
      <c r="B141" s="1"/>
      <c r="C141" s="1"/>
      <c r="D141" s="1"/>
      <c r="E141" s="1"/>
      <c r="F141" s="1"/>
      <c r="G141" s="1"/>
      <c r="H141" s="1"/>
      <c r="I141" s="1"/>
      <c r="J141" s="1"/>
      <c r="K141" s="1"/>
      <c r="L141" s="1"/>
      <c r="M141" s="173"/>
      <c r="N141" s="1"/>
    </row>
    <row r="142" spans="2:14">
      <c r="B142" s="1"/>
      <c r="C142" s="1"/>
      <c r="D142" s="1"/>
      <c r="E142" s="1"/>
      <c r="F142" s="1"/>
      <c r="G142" s="1"/>
      <c r="H142" s="1"/>
      <c r="I142" s="1"/>
      <c r="J142" s="1"/>
      <c r="K142" s="1"/>
      <c r="L142" s="1"/>
      <c r="M142" s="173"/>
      <c r="N142" s="1"/>
    </row>
    <row r="143" spans="2:14">
      <c r="B143" s="1"/>
      <c r="C143" s="1"/>
      <c r="D143" s="1"/>
      <c r="E143" s="1"/>
      <c r="F143" s="1"/>
      <c r="G143" s="1"/>
      <c r="H143" s="1"/>
      <c r="I143" s="1"/>
      <c r="J143" s="1"/>
      <c r="K143" s="1"/>
      <c r="L143" s="1"/>
      <c r="M143" s="173"/>
      <c r="N143" s="1"/>
    </row>
    <row r="144" spans="2:14">
      <c r="B144" s="1"/>
      <c r="C144" s="1"/>
      <c r="D144" s="1"/>
      <c r="E144" s="1"/>
      <c r="F144" s="1"/>
      <c r="G144" s="1"/>
      <c r="H144" s="1"/>
      <c r="I144" s="1"/>
      <c r="J144" s="1"/>
      <c r="K144" s="1"/>
      <c r="L144" s="1"/>
      <c r="M144" s="173"/>
      <c r="N144" s="1"/>
    </row>
    <row r="145" spans="2:14">
      <c r="B145" s="1"/>
      <c r="C145" s="1"/>
      <c r="D145" s="1"/>
      <c r="E145" s="1"/>
      <c r="F145" s="1"/>
      <c r="G145" s="1"/>
      <c r="H145" s="1"/>
      <c r="I145" s="1"/>
      <c r="J145" s="1"/>
      <c r="K145" s="1"/>
      <c r="L145" s="1"/>
      <c r="M145" s="173"/>
      <c r="N145" s="1"/>
    </row>
    <row r="146" spans="2:14">
      <c r="B146" s="1"/>
      <c r="C146" s="1"/>
      <c r="D146" s="1"/>
      <c r="E146" s="1"/>
      <c r="F146" s="1"/>
      <c r="G146" s="1"/>
      <c r="H146" s="1"/>
      <c r="I146" s="1"/>
      <c r="J146" s="1"/>
      <c r="K146" s="1"/>
      <c r="L146" s="1"/>
      <c r="M146" s="173"/>
      <c r="N146" s="1"/>
    </row>
    <row r="147" spans="2:14">
      <c r="B147" s="1"/>
      <c r="C147" s="1"/>
      <c r="D147" s="1"/>
      <c r="E147" s="1"/>
      <c r="F147" s="1"/>
      <c r="G147" s="1"/>
      <c r="H147" s="1"/>
      <c r="I147" s="1"/>
      <c r="J147" s="1"/>
      <c r="K147" s="1"/>
      <c r="L147" s="1"/>
      <c r="M147" s="173"/>
      <c r="N147" s="1"/>
    </row>
    <row r="148" spans="2:14">
      <c r="B148" s="1"/>
      <c r="C148" s="1"/>
      <c r="D148" s="1"/>
      <c r="E148" s="1"/>
      <c r="F148" s="1"/>
      <c r="G148" s="1"/>
      <c r="H148" s="1"/>
      <c r="I148" s="1"/>
      <c r="J148" s="1"/>
      <c r="K148" s="1"/>
      <c r="L148" s="1"/>
      <c r="M148" s="173"/>
      <c r="N148" s="1"/>
    </row>
    <row r="149" spans="2:14">
      <c r="B149" s="1"/>
      <c r="C149" s="1"/>
      <c r="D149" s="1"/>
      <c r="E149" s="1"/>
      <c r="F149" s="1"/>
      <c r="G149" s="1"/>
      <c r="H149" s="1"/>
      <c r="I149" s="1"/>
      <c r="J149" s="1"/>
      <c r="K149" s="1"/>
      <c r="L149" s="1"/>
      <c r="M149" s="173"/>
      <c r="N149" s="1"/>
    </row>
    <row r="150" spans="2:14">
      <c r="B150" s="1"/>
      <c r="C150" s="1"/>
      <c r="D150" s="1"/>
      <c r="E150" s="1"/>
      <c r="F150" s="1"/>
      <c r="G150" s="1"/>
      <c r="H150" s="1"/>
      <c r="I150" s="1"/>
      <c r="J150" s="1"/>
      <c r="K150" s="1"/>
      <c r="L150" s="1"/>
      <c r="M150" s="173"/>
      <c r="N150" s="1"/>
    </row>
    <row r="151" spans="2:14">
      <c r="B151" s="1"/>
      <c r="C151" s="1"/>
      <c r="D151" s="1"/>
      <c r="E151" s="1"/>
      <c r="F151" s="1"/>
      <c r="G151" s="1"/>
      <c r="H151" s="1"/>
      <c r="I151" s="1"/>
      <c r="J151" s="1"/>
      <c r="K151" s="1"/>
      <c r="L151" s="1"/>
      <c r="M151" s="173"/>
      <c r="N151" s="1"/>
    </row>
    <row r="152" spans="2:14">
      <c r="B152" s="1"/>
      <c r="C152" s="1"/>
      <c r="D152" s="1"/>
      <c r="E152" s="1"/>
      <c r="F152" s="1"/>
      <c r="G152" s="1"/>
      <c r="H152" s="1"/>
      <c r="I152" s="1"/>
      <c r="J152" s="1"/>
      <c r="K152" s="1"/>
      <c r="L152" s="1"/>
      <c r="M152" s="173"/>
      <c r="N152" s="1"/>
    </row>
    <row r="153" spans="2:14">
      <c r="B153" s="1"/>
      <c r="C153" s="1"/>
      <c r="D153" s="1"/>
      <c r="E153" s="1"/>
      <c r="F153" s="1"/>
      <c r="G153" s="1"/>
      <c r="H153" s="1"/>
      <c r="I153" s="1"/>
      <c r="J153" s="1"/>
      <c r="K153" s="1"/>
      <c r="L153" s="1"/>
      <c r="M153" s="173"/>
      <c r="N153" s="1"/>
    </row>
    <row r="154" spans="2:14">
      <c r="B154" s="1"/>
      <c r="C154" s="1"/>
      <c r="D154" s="1"/>
      <c r="E154" s="1"/>
      <c r="F154" s="1"/>
      <c r="G154" s="1"/>
      <c r="H154" s="1"/>
      <c r="I154" s="1"/>
      <c r="J154" s="1"/>
      <c r="K154" s="1"/>
      <c r="L154" s="1"/>
      <c r="M154" s="173"/>
      <c r="N154" s="1"/>
    </row>
    <row r="155" spans="2:14">
      <c r="B155" s="1"/>
      <c r="C155" s="1"/>
      <c r="D155" s="1"/>
      <c r="E155" s="1"/>
      <c r="F155" s="1"/>
      <c r="G155" s="1"/>
      <c r="H155" s="1"/>
      <c r="I155" s="1"/>
      <c r="J155" s="1"/>
      <c r="K155" s="1"/>
      <c r="L155" s="1"/>
      <c r="M155" s="173"/>
      <c r="N155" s="1"/>
    </row>
    <row r="156" spans="2:14">
      <c r="B156" s="1"/>
      <c r="C156" s="1"/>
      <c r="D156" s="1"/>
      <c r="E156" s="1"/>
      <c r="F156" s="1"/>
      <c r="G156" s="1"/>
      <c r="H156" s="1"/>
      <c r="I156" s="1"/>
      <c r="J156" s="1"/>
      <c r="K156" s="1"/>
      <c r="L156" s="1"/>
      <c r="M156" s="173"/>
      <c r="N156" s="1"/>
    </row>
    <row r="157" spans="2:14">
      <c r="B157" s="1"/>
      <c r="C157" s="1"/>
      <c r="D157" s="1"/>
      <c r="E157" s="1"/>
      <c r="F157" s="1"/>
      <c r="G157" s="1"/>
      <c r="H157" s="1"/>
      <c r="I157" s="1"/>
      <c r="J157" s="1"/>
      <c r="K157" s="1"/>
      <c r="L157" s="1"/>
      <c r="M157" s="173"/>
      <c r="N157" s="1"/>
    </row>
    <row r="158" spans="2:14">
      <c r="B158" s="1"/>
      <c r="C158" s="1"/>
      <c r="D158" s="1"/>
      <c r="E158" s="1"/>
      <c r="F158" s="1"/>
      <c r="G158" s="1"/>
      <c r="H158" s="1"/>
      <c r="I158" s="1"/>
      <c r="J158" s="1"/>
      <c r="K158" s="1"/>
      <c r="L158" s="1"/>
      <c r="M158" s="173"/>
      <c r="N158" s="1"/>
    </row>
    <row r="159" spans="2:14">
      <c r="B159" s="1"/>
      <c r="C159" s="1"/>
      <c r="D159" s="1"/>
      <c r="E159" s="1"/>
      <c r="F159" s="1"/>
      <c r="G159" s="1"/>
      <c r="H159" s="1"/>
      <c r="I159" s="1"/>
      <c r="J159" s="1"/>
      <c r="K159" s="1"/>
      <c r="L159" s="1"/>
      <c r="M159" s="173"/>
      <c r="N159" s="1"/>
    </row>
    <row r="160" spans="2:14">
      <c r="B160" s="1"/>
      <c r="C160" s="1"/>
      <c r="D160" s="1"/>
      <c r="E160" s="1"/>
      <c r="F160" s="1"/>
      <c r="G160" s="1"/>
      <c r="H160" s="1"/>
      <c r="I160" s="1"/>
      <c r="J160" s="1"/>
      <c r="K160" s="1"/>
      <c r="L160" s="1"/>
      <c r="M160" s="173"/>
      <c r="N160" s="1"/>
    </row>
    <row r="161" spans="2:14">
      <c r="B161" s="1"/>
      <c r="C161" s="1"/>
      <c r="D161" s="1"/>
      <c r="E161" s="1"/>
      <c r="F161" s="1"/>
      <c r="G161" s="1"/>
      <c r="H161" s="1"/>
      <c r="I161" s="1"/>
      <c r="J161" s="1"/>
      <c r="K161" s="1"/>
      <c r="L161" s="1"/>
      <c r="M161" s="173"/>
      <c r="N161" s="1"/>
    </row>
    <row r="162" spans="2:14">
      <c r="B162" s="1"/>
      <c r="C162" s="1"/>
      <c r="D162" s="1"/>
      <c r="E162" s="1"/>
      <c r="F162" s="1"/>
      <c r="G162" s="1"/>
      <c r="H162" s="1"/>
      <c r="I162" s="1"/>
      <c r="J162" s="1"/>
      <c r="K162" s="1"/>
      <c r="L162" s="1"/>
      <c r="M162" s="173"/>
      <c r="N162" s="1"/>
    </row>
    <row r="163" spans="2:14">
      <c r="B163" s="1"/>
      <c r="C163" s="1"/>
      <c r="D163" s="1"/>
      <c r="E163" s="1"/>
      <c r="F163" s="1"/>
      <c r="G163" s="1"/>
      <c r="H163" s="1"/>
      <c r="I163" s="1"/>
      <c r="J163" s="1"/>
      <c r="K163" s="1"/>
      <c r="L163" s="1"/>
      <c r="M163" s="173"/>
      <c r="N163" s="1"/>
    </row>
    <row r="164" spans="2:14">
      <c r="B164" s="1"/>
      <c r="C164" s="1"/>
      <c r="D164" s="1"/>
      <c r="E164" s="1"/>
      <c r="F164" s="1"/>
      <c r="G164" s="1"/>
      <c r="H164" s="1"/>
      <c r="I164" s="1"/>
      <c r="J164" s="1"/>
      <c r="K164" s="1"/>
      <c r="L164" s="1"/>
      <c r="M164" s="173"/>
      <c r="N164" s="1"/>
    </row>
    <row r="165" spans="2:14">
      <c r="B165" s="1"/>
      <c r="C165" s="1"/>
      <c r="D165" s="1"/>
      <c r="E165" s="1"/>
      <c r="F165" s="1"/>
      <c r="G165" s="1"/>
      <c r="H165" s="1"/>
      <c r="I165" s="1"/>
      <c r="J165" s="1"/>
      <c r="K165" s="1"/>
      <c r="L165" s="1"/>
      <c r="M165" s="173"/>
      <c r="N165" s="1"/>
    </row>
    <row r="166" spans="2:14">
      <c r="B166" s="1"/>
      <c r="C166" s="1"/>
      <c r="D166" s="1"/>
      <c r="E166" s="1"/>
      <c r="F166" s="1"/>
      <c r="G166" s="1"/>
      <c r="H166" s="1"/>
      <c r="I166" s="1"/>
      <c r="J166" s="1"/>
      <c r="K166" s="1"/>
      <c r="L166" s="1"/>
      <c r="M166" s="173"/>
      <c r="N166" s="1"/>
    </row>
    <row r="167" spans="2:14">
      <c r="B167" s="1"/>
      <c r="C167" s="1"/>
      <c r="D167" s="1"/>
      <c r="E167" s="1"/>
      <c r="F167" s="1"/>
      <c r="G167" s="1"/>
      <c r="H167" s="1"/>
      <c r="I167" s="1"/>
      <c r="J167" s="1"/>
      <c r="K167" s="1"/>
      <c r="L167" s="1"/>
      <c r="M167" s="173"/>
      <c r="N167" s="1"/>
    </row>
    <row r="168" spans="2:14">
      <c r="B168" s="1"/>
      <c r="C168" s="1"/>
      <c r="D168" s="1"/>
      <c r="E168" s="1"/>
      <c r="F168" s="1"/>
      <c r="G168" s="1"/>
      <c r="H168" s="1"/>
      <c r="I168" s="1"/>
      <c r="J168" s="1"/>
      <c r="K168" s="1"/>
      <c r="L168" s="1"/>
      <c r="M168" s="173"/>
      <c r="N168" s="1"/>
    </row>
    <row r="169" spans="2:14">
      <c r="B169" s="1"/>
      <c r="C169" s="1"/>
      <c r="D169" s="1"/>
      <c r="E169" s="1"/>
      <c r="F169" s="1"/>
      <c r="G169" s="1"/>
      <c r="H169" s="1"/>
      <c r="I169" s="1"/>
      <c r="J169" s="1"/>
      <c r="K169" s="1"/>
      <c r="L169" s="1"/>
      <c r="M169" s="173"/>
      <c r="N169" s="1"/>
    </row>
    <row r="170" spans="2:14">
      <c r="B170" s="1"/>
      <c r="C170" s="1"/>
      <c r="D170" s="1"/>
      <c r="E170" s="1"/>
      <c r="F170" s="1"/>
      <c r="G170" s="1"/>
      <c r="H170" s="1"/>
      <c r="I170" s="1"/>
      <c r="J170" s="1"/>
      <c r="K170" s="1"/>
      <c r="L170" s="1"/>
      <c r="M170" s="173"/>
      <c r="N170" s="1"/>
    </row>
    <row r="171" spans="2:14">
      <c r="B171" s="1"/>
      <c r="C171" s="1"/>
      <c r="D171" s="1"/>
      <c r="E171" s="1"/>
      <c r="F171" s="1"/>
      <c r="G171" s="1"/>
      <c r="H171" s="1"/>
      <c r="I171" s="1"/>
      <c r="J171" s="1"/>
      <c r="K171" s="1"/>
      <c r="L171" s="1"/>
      <c r="M171" s="173"/>
      <c r="N171" s="1"/>
    </row>
    <row r="172" spans="2:14">
      <c r="B172" s="1"/>
      <c r="C172" s="1"/>
      <c r="D172" s="1"/>
      <c r="E172" s="1"/>
      <c r="F172" s="1"/>
      <c r="G172" s="1"/>
      <c r="H172" s="1"/>
      <c r="I172" s="1"/>
      <c r="J172" s="1"/>
      <c r="K172" s="1"/>
      <c r="L172" s="1"/>
      <c r="M172" s="173"/>
      <c r="N172" s="1"/>
    </row>
    <row r="173" spans="2:14">
      <c r="B173" s="1"/>
      <c r="C173" s="1"/>
      <c r="D173" s="1"/>
      <c r="E173" s="1"/>
      <c r="F173" s="1"/>
      <c r="G173" s="1"/>
      <c r="H173" s="1"/>
      <c r="I173" s="1"/>
      <c r="J173" s="1"/>
      <c r="K173" s="1"/>
      <c r="L173" s="1"/>
      <c r="M173" s="173"/>
      <c r="N173" s="1"/>
    </row>
    <row r="174" spans="2:14">
      <c r="B174" s="1"/>
      <c r="C174" s="1"/>
      <c r="D174" s="1"/>
      <c r="E174" s="1"/>
      <c r="F174" s="1"/>
      <c r="G174" s="1"/>
      <c r="H174" s="1"/>
      <c r="I174" s="1"/>
      <c r="J174" s="1"/>
      <c r="K174" s="1"/>
      <c r="L174" s="1"/>
      <c r="M174" s="173"/>
      <c r="N174" s="1"/>
    </row>
    <row r="175" spans="2:14">
      <c r="B175" s="1"/>
      <c r="C175" s="1"/>
      <c r="D175" s="1"/>
      <c r="E175" s="1"/>
      <c r="F175" s="1"/>
      <c r="G175" s="1"/>
      <c r="H175" s="1"/>
      <c r="I175" s="1"/>
      <c r="J175" s="1"/>
      <c r="K175" s="1"/>
      <c r="L175" s="1"/>
      <c r="M175" s="173"/>
      <c r="N175" s="1"/>
    </row>
    <row r="176" spans="2:14">
      <c r="B176" s="1"/>
      <c r="C176" s="1"/>
      <c r="D176" s="1"/>
      <c r="E176" s="1"/>
      <c r="F176" s="1"/>
      <c r="G176" s="1"/>
      <c r="H176" s="1"/>
      <c r="I176" s="1"/>
      <c r="J176" s="1"/>
      <c r="K176" s="1"/>
      <c r="L176" s="1"/>
      <c r="M176" s="173"/>
      <c r="N176" s="1"/>
    </row>
    <row r="177" spans="2:14">
      <c r="B177" s="1"/>
      <c r="C177" s="1"/>
      <c r="D177" s="1"/>
      <c r="E177" s="1"/>
      <c r="F177" s="1"/>
      <c r="G177" s="1"/>
      <c r="H177" s="1"/>
      <c r="I177" s="1"/>
      <c r="J177" s="1"/>
      <c r="K177" s="1"/>
      <c r="L177" s="1"/>
      <c r="M177" s="173"/>
      <c r="N177" s="1"/>
    </row>
    <row r="178" spans="2:14">
      <c r="B178" s="1"/>
      <c r="C178" s="1"/>
      <c r="D178" s="1"/>
      <c r="E178" s="1"/>
      <c r="F178" s="1"/>
      <c r="G178" s="1"/>
      <c r="H178" s="1"/>
      <c r="I178" s="1"/>
      <c r="J178" s="1"/>
      <c r="K178" s="1"/>
      <c r="L178" s="1"/>
      <c r="M178" s="173"/>
      <c r="N178" s="1"/>
    </row>
  </sheetData>
  <mergeCells count="1">
    <mergeCell ref="J1:L1"/>
  </mergeCells>
  <pageMargins left="0.75" right="0.75" top="1" bottom="1" header="0.5" footer="0.5"/>
  <pageSetup orientation="portrait"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08001"/>
  </sheetPr>
  <dimension ref="A1:N189"/>
  <sheetViews>
    <sheetView topLeftCell="A8" workbookViewId="0">
      <selection activeCell="E9" sqref="E9:L13"/>
    </sheetView>
  </sheetViews>
  <sheetFormatPr defaultColWidth="11" defaultRowHeight="15.75"/>
  <cols>
    <col min="1" max="1" width="25.625" customWidth="1"/>
    <col min="2" max="2" width="15.125" bestFit="1" customWidth="1"/>
    <col min="3" max="9" width="12.5" bestFit="1" customWidth="1"/>
    <col min="10" max="12" width="13.875" customWidth="1"/>
    <col min="13" max="13" width="11" style="190"/>
  </cols>
  <sheetData>
    <row r="1" spans="1:14" ht="18.75">
      <c r="J1" s="494" t="s">
        <v>215</v>
      </c>
      <c r="K1" s="494"/>
      <c r="L1" s="494"/>
    </row>
    <row r="2" spans="1:14">
      <c r="A2" s="2"/>
      <c r="B2" s="2">
        <v>2009</v>
      </c>
      <c r="C2" s="2">
        <v>2010</v>
      </c>
      <c r="D2" s="2">
        <v>2011</v>
      </c>
      <c r="E2" s="2">
        <v>2012</v>
      </c>
      <c r="F2" s="2">
        <v>2013</v>
      </c>
      <c r="G2" s="2">
        <v>2014</v>
      </c>
      <c r="H2" s="2">
        <v>2015</v>
      </c>
      <c r="I2" s="341">
        <v>2016</v>
      </c>
      <c r="J2" s="341">
        <v>2017</v>
      </c>
      <c r="K2" s="341">
        <v>2018</v>
      </c>
      <c r="L2" s="337">
        <v>2019</v>
      </c>
    </row>
    <row r="3" spans="1:14">
      <c r="A3" s="2"/>
      <c r="B3" s="19"/>
      <c r="C3" s="19"/>
      <c r="D3" s="19"/>
      <c r="E3" s="19"/>
      <c r="F3" s="19"/>
      <c r="G3" s="19"/>
      <c r="H3" s="19"/>
      <c r="I3" s="19"/>
      <c r="J3" s="82" t="s">
        <v>61</v>
      </c>
      <c r="K3" s="82" t="s">
        <v>61</v>
      </c>
      <c r="L3" s="82" t="s">
        <v>61</v>
      </c>
    </row>
    <row r="4" spans="1:14">
      <c r="A4" s="2"/>
      <c r="B4" s="31"/>
      <c r="C4" s="31"/>
      <c r="D4" s="31"/>
      <c r="E4" s="31"/>
      <c r="F4" s="31"/>
      <c r="G4" s="31"/>
      <c r="H4" s="31"/>
      <c r="I4" s="31"/>
      <c r="J4" s="30" t="s">
        <v>57</v>
      </c>
      <c r="K4" s="30" t="s">
        <v>202</v>
      </c>
      <c r="L4" s="30" t="s">
        <v>58</v>
      </c>
    </row>
    <row r="5" spans="1:14">
      <c r="A5" s="10" t="s">
        <v>45</v>
      </c>
      <c r="B5" s="32" t="s">
        <v>103</v>
      </c>
      <c r="C5" s="32" t="s">
        <v>103</v>
      </c>
      <c r="D5" s="32" t="s">
        <v>103</v>
      </c>
      <c r="E5" s="32" t="s">
        <v>103</v>
      </c>
      <c r="F5" s="32" t="s">
        <v>103</v>
      </c>
      <c r="G5" s="32" t="s">
        <v>103</v>
      </c>
      <c r="H5" s="32" t="s">
        <v>103</v>
      </c>
      <c r="I5" s="32" t="s">
        <v>103</v>
      </c>
      <c r="J5" s="32" t="s">
        <v>103</v>
      </c>
      <c r="K5" s="32" t="s">
        <v>103</v>
      </c>
      <c r="L5" s="32" t="s">
        <v>103</v>
      </c>
      <c r="M5" s="195"/>
      <c r="N5" s="2"/>
    </row>
    <row r="6" spans="1:14">
      <c r="A6" s="2"/>
      <c r="B6" s="31"/>
      <c r="C6" s="31"/>
      <c r="D6" s="31"/>
      <c r="E6" s="31"/>
      <c r="F6" s="31"/>
      <c r="G6" s="32"/>
      <c r="H6" s="31"/>
      <c r="I6" s="31"/>
      <c r="J6" s="31"/>
      <c r="K6" s="31"/>
      <c r="L6" s="31"/>
      <c r="M6" s="195"/>
      <c r="N6" s="2"/>
    </row>
    <row r="7" spans="1:14" ht="18.75">
      <c r="A7" s="93" t="s">
        <v>98</v>
      </c>
      <c r="B7" s="31"/>
      <c r="C7" s="31"/>
      <c r="D7" s="31"/>
      <c r="E7" s="31"/>
      <c r="F7" s="31"/>
      <c r="G7" s="31"/>
      <c r="H7" s="31"/>
      <c r="I7" s="31"/>
      <c r="J7" s="31"/>
      <c r="K7" s="31"/>
      <c r="L7" s="31"/>
      <c r="M7" s="195"/>
      <c r="N7" s="2"/>
    </row>
    <row r="8" spans="1:14" s="70" customFormat="1">
      <c r="A8" s="2"/>
      <c r="B8" s="31"/>
      <c r="C8" s="31"/>
      <c r="D8" s="31"/>
      <c r="E8" s="31"/>
      <c r="F8" s="31"/>
      <c r="G8" s="31"/>
      <c r="H8" s="31"/>
      <c r="I8" s="31"/>
      <c r="J8" s="31"/>
      <c r="K8" s="31"/>
      <c r="L8" s="31"/>
      <c r="M8" s="195"/>
      <c r="N8" s="2"/>
    </row>
    <row r="9" spans="1:14">
      <c r="A9" s="10" t="s">
        <v>100</v>
      </c>
      <c r="B9" s="32"/>
      <c r="C9" s="32"/>
      <c r="D9" s="32"/>
      <c r="E9" s="32"/>
      <c r="F9" s="32"/>
      <c r="G9" s="32"/>
      <c r="H9" s="32"/>
      <c r="I9" s="32"/>
      <c r="J9" s="32"/>
      <c r="K9" s="32"/>
      <c r="L9" s="32"/>
      <c r="M9" s="174"/>
      <c r="N9" s="3"/>
    </row>
    <row r="10" spans="1:14">
      <c r="A10" s="96" t="s">
        <v>93</v>
      </c>
      <c r="B10" s="32"/>
      <c r="C10" s="32"/>
      <c r="D10" s="32"/>
      <c r="E10" s="32"/>
      <c r="F10" s="32"/>
      <c r="G10" s="32"/>
      <c r="H10" s="32"/>
      <c r="I10" s="32"/>
      <c r="J10" s="32"/>
      <c r="K10" s="32"/>
      <c r="L10" s="32"/>
      <c r="M10" s="174"/>
      <c r="N10" s="3"/>
    </row>
    <row r="11" spans="1:14" s="19" customFormat="1">
      <c r="A11" s="94" t="s">
        <v>101</v>
      </c>
      <c r="B11" s="32"/>
      <c r="C11" s="32"/>
      <c r="D11" s="32"/>
      <c r="E11" s="32"/>
      <c r="F11" s="32"/>
      <c r="G11" s="32"/>
      <c r="H11" s="32"/>
      <c r="I11" s="32"/>
      <c r="J11" s="32"/>
      <c r="K11" s="32"/>
      <c r="L11" s="32"/>
      <c r="M11" s="174"/>
      <c r="N11" s="3"/>
    </row>
    <row r="12" spans="1:14" s="19" customFormat="1">
      <c r="A12" s="73" t="s">
        <v>83</v>
      </c>
      <c r="B12" s="32"/>
      <c r="C12" s="32"/>
      <c r="D12" s="32"/>
      <c r="E12" s="32"/>
      <c r="F12" s="32"/>
      <c r="G12" s="32"/>
      <c r="H12" s="32"/>
      <c r="I12" s="32"/>
      <c r="J12" s="32"/>
      <c r="K12" s="32"/>
      <c r="L12" s="32"/>
      <c r="M12" s="174"/>
      <c r="N12" s="3"/>
    </row>
    <row r="13" spans="1:14" s="19" customFormat="1" ht="16.5" thickBot="1">
      <c r="A13" s="39"/>
      <c r="B13" s="125"/>
      <c r="C13" s="125"/>
      <c r="D13" s="125"/>
      <c r="E13" s="125"/>
      <c r="F13" s="125"/>
      <c r="G13" s="125"/>
      <c r="H13" s="125"/>
      <c r="I13" s="125"/>
      <c r="J13" s="125"/>
      <c r="K13" s="125"/>
      <c r="L13" s="125"/>
      <c r="M13" s="195"/>
      <c r="N13" s="2"/>
    </row>
    <row r="14" spans="1:14">
      <c r="A14" s="95" t="s">
        <v>108</v>
      </c>
      <c r="B14" s="32" t="s">
        <v>103</v>
      </c>
      <c r="C14" s="32" t="s">
        <v>103</v>
      </c>
      <c r="D14" s="32" t="s">
        <v>103</v>
      </c>
      <c r="E14" s="32" t="s">
        <v>103</v>
      </c>
      <c r="F14" s="32" t="s">
        <v>103</v>
      </c>
      <c r="G14" s="32" t="s">
        <v>103</v>
      </c>
      <c r="H14" s="32" t="s">
        <v>103</v>
      </c>
      <c r="I14" s="32" t="s">
        <v>103</v>
      </c>
      <c r="J14" s="32" t="s">
        <v>103</v>
      </c>
      <c r="K14" s="32" t="s">
        <v>103</v>
      </c>
      <c r="L14" s="32" t="s">
        <v>103</v>
      </c>
      <c r="M14" s="195"/>
      <c r="N14" s="2"/>
    </row>
    <row r="15" spans="1:14">
      <c r="A15" s="2"/>
      <c r="B15" s="31"/>
      <c r="C15" s="31"/>
      <c r="D15" s="31"/>
      <c r="E15" s="31"/>
      <c r="F15" s="31"/>
      <c r="G15" s="31"/>
      <c r="H15" s="31"/>
      <c r="I15" s="31"/>
      <c r="J15" s="31"/>
      <c r="K15" s="31"/>
      <c r="L15" s="31"/>
      <c r="M15" s="195"/>
      <c r="N15" s="2"/>
    </row>
    <row r="16" spans="1:14">
      <c r="B16" s="27"/>
      <c r="C16" s="27"/>
      <c r="D16" s="27"/>
      <c r="E16" s="27"/>
      <c r="F16" s="27"/>
      <c r="G16" s="27"/>
      <c r="H16" s="27"/>
      <c r="I16" s="27"/>
      <c r="J16" s="27"/>
      <c r="K16" s="27"/>
      <c r="L16" s="27"/>
    </row>
    <row r="17" spans="1:14">
      <c r="B17" s="19"/>
      <c r="C17" s="19"/>
      <c r="D17" s="19"/>
      <c r="E17" s="19"/>
      <c r="F17" s="19"/>
      <c r="G17" s="19"/>
      <c r="H17" s="19"/>
      <c r="I17" s="19"/>
      <c r="J17" s="19"/>
      <c r="K17" s="19"/>
      <c r="L17" s="19"/>
    </row>
    <row r="18" spans="1:14">
      <c r="B18" s="1"/>
      <c r="C18" s="1"/>
      <c r="D18" s="1"/>
      <c r="E18" s="1"/>
      <c r="F18" s="1"/>
      <c r="G18" s="1"/>
      <c r="H18" s="1"/>
      <c r="I18" s="1"/>
      <c r="J18" s="1"/>
      <c r="K18" s="1"/>
      <c r="L18" s="1"/>
      <c r="M18" s="173"/>
      <c r="N18" s="1"/>
    </row>
    <row r="19" spans="1:14" ht="18.75">
      <c r="A19" s="93"/>
      <c r="B19" s="1"/>
      <c r="C19" s="1"/>
      <c r="D19" s="1"/>
      <c r="E19" s="1"/>
      <c r="F19" s="1"/>
      <c r="G19" s="1"/>
      <c r="H19" s="1"/>
      <c r="I19" s="1"/>
      <c r="J19" s="1"/>
      <c r="K19" s="1"/>
      <c r="L19" s="1"/>
      <c r="M19" s="173"/>
      <c r="N19" s="1"/>
    </row>
    <row r="20" spans="1:14" ht="18.75">
      <c r="A20" s="93" t="s">
        <v>73</v>
      </c>
      <c r="B20" s="1"/>
      <c r="C20" s="1"/>
      <c r="D20" s="1"/>
      <c r="E20" s="1"/>
      <c r="F20" s="1"/>
      <c r="G20" s="1"/>
      <c r="H20" s="1"/>
      <c r="I20" s="1"/>
      <c r="J20" s="1"/>
      <c r="K20" s="1"/>
      <c r="L20" s="1"/>
      <c r="M20" s="173"/>
      <c r="N20" s="1"/>
    </row>
    <row r="21" spans="1:14">
      <c r="A21" s="10" t="s">
        <v>100</v>
      </c>
      <c r="B21" s="1">
        <v>0</v>
      </c>
      <c r="C21" s="1">
        <v>0</v>
      </c>
      <c r="D21" s="1">
        <v>0</v>
      </c>
      <c r="E21" s="1">
        <v>0</v>
      </c>
      <c r="F21" s="1">
        <v>0</v>
      </c>
      <c r="G21" s="1">
        <v>0</v>
      </c>
      <c r="H21" s="1">
        <v>0</v>
      </c>
      <c r="I21" s="1">
        <v>0</v>
      </c>
      <c r="J21" s="1">
        <v>0</v>
      </c>
      <c r="K21" s="1">
        <v>0</v>
      </c>
      <c r="L21" s="1">
        <v>0</v>
      </c>
      <c r="M21" s="173"/>
      <c r="N21" s="1"/>
    </row>
    <row r="22" spans="1:14">
      <c r="A22" s="96" t="s">
        <v>93</v>
      </c>
      <c r="B22" s="1"/>
      <c r="C22" s="1"/>
      <c r="D22" s="1"/>
      <c r="E22" s="1"/>
      <c r="F22" s="1"/>
      <c r="G22" s="1"/>
      <c r="H22" s="1"/>
      <c r="I22" s="1"/>
      <c r="J22" s="1"/>
      <c r="K22" s="1"/>
      <c r="L22" s="1"/>
      <c r="M22" s="173"/>
      <c r="N22" s="1"/>
    </row>
    <row r="23" spans="1:14">
      <c r="A23" s="94" t="s">
        <v>101</v>
      </c>
      <c r="B23" s="1"/>
      <c r="C23" s="1"/>
      <c r="D23" s="1"/>
      <c r="E23" s="1"/>
      <c r="F23" s="1"/>
      <c r="G23" s="1"/>
      <c r="H23" s="1"/>
      <c r="I23" s="1"/>
      <c r="J23" s="1"/>
      <c r="K23" s="1"/>
      <c r="L23" s="1"/>
      <c r="M23" s="173"/>
      <c r="N23" s="1"/>
    </row>
    <row r="24" spans="1:14">
      <c r="A24" s="73" t="s">
        <v>83</v>
      </c>
      <c r="B24" s="1">
        <v>0</v>
      </c>
      <c r="C24" s="1">
        <v>0</v>
      </c>
      <c r="D24" s="1">
        <v>0</v>
      </c>
      <c r="E24" s="1">
        <v>0</v>
      </c>
      <c r="F24" s="1">
        <v>0</v>
      </c>
      <c r="G24" s="1">
        <v>0</v>
      </c>
      <c r="H24" s="1">
        <v>0</v>
      </c>
      <c r="I24" s="1">
        <v>0</v>
      </c>
      <c r="J24" s="1">
        <v>0</v>
      </c>
      <c r="K24" s="1">
        <v>2188074</v>
      </c>
      <c r="L24" s="1">
        <v>0</v>
      </c>
      <c r="M24" s="173"/>
      <c r="N24" s="1"/>
    </row>
    <row r="25" spans="1:14">
      <c r="A25" s="153" t="s">
        <v>157</v>
      </c>
      <c r="B25" s="1"/>
      <c r="C25" s="1"/>
      <c r="D25" s="1"/>
      <c r="E25" s="1"/>
      <c r="F25" s="1"/>
      <c r="G25" s="1"/>
      <c r="H25" s="1"/>
      <c r="I25" s="1"/>
      <c r="J25" s="1"/>
      <c r="K25" s="1"/>
      <c r="L25" s="1"/>
      <c r="M25" s="173"/>
      <c r="N25" s="1"/>
    </row>
    <row r="26" spans="1:14">
      <c r="A26" s="95" t="s">
        <v>119</v>
      </c>
      <c r="B26" s="1">
        <f t="shared" ref="B26:L26" si="0">SUM(B21:B25)</f>
        <v>0</v>
      </c>
      <c r="C26" s="1">
        <f t="shared" si="0"/>
        <v>0</v>
      </c>
      <c r="D26" s="1">
        <f t="shared" si="0"/>
        <v>0</v>
      </c>
      <c r="E26" s="1">
        <f t="shared" si="0"/>
        <v>0</v>
      </c>
      <c r="F26" s="1">
        <f t="shared" si="0"/>
        <v>0</v>
      </c>
      <c r="G26" s="1">
        <f t="shared" si="0"/>
        <v>0</v>
      </c>
      <c r="H26" s="1">
        <f t="shared" si="0"/>
        <v>0</v>
      </c>
      <c r="I26" s="1">
        <f t="shared" si="0"/>
        <v>0</v>
      </c>
      <c r="J26" s="1">
        <f t="shared" si="0"/>
        <v>0</v>
      </c>
      <c r="K26" s="1">
        <f t="shared" si="0"/>
        <v>2188074</v>
      </c>
      <c r="L26" s="1">
        <f t="shared" si="0"/>
        <v>0</v>
      </c>
      <c r="M26" s="173"/>
      <c r="N26" s="1"/>
    </row>
    <row r="27" spans="1:14" ht="18.75">
      <c r="A27" s="223"/>
      <c r="B27" s="173"/>
      <c r="C27" s="173"/>
      <c r="D27" s="173"/>
      <c r="E27" s="173"/>
      <c r="F27" s="173"/>
      <c r="G27" s="173"/>
      <c r="H27" s="173"/>
      <c r="I27" s="173"/>
      <c r="J27" s="173"/>
      <c r="K27" s="173"/>
      <c r="L27" s="173"/>
      <c r="M27" s="173"/>
      <c r="N27" s="1"/>
    </row>
    <row r="28" spans="1:14" ht="18.75">
      <c r="A28" s="93"/>
      <c r="B28" s="1"/>
      <c r="C28" s="1"/>
      <c r="D28" s="1"/>
      <c r="E28" s="1"/>
      <c r="F28" s="1"/>
      <c r="G28" s="1"/>
      <c r="H28" s="1"/>
      <c r="I28" s="1"/>
      <c r="J28" s="1"/>
      <c r="K28" s="1"/>
      <c r="L28" s="1"/>
      <c r="M28" s="173"/>
      <c r="N28" s="1"/>
    </row>
    <row r="29" spans="1:14" ht="18.75">
      <c r="A29" s="93"/>
      <c r="B29" s="1"/>
      <c r="C29" s="1"/>
      <c r="D29" s="1"/>
      <c r="E29" s="1"/>
      <c r="F29" s="1"/>
      <c r="G29" s="1"/>
      <c r="H29" s="1"/>
      <c r="I29" s="1"/>
      <c r="J29" s="1"/>
      <c r="K29" s="1"/>
      <c r="L29" s="1"/>
      <c r="M29" s="173"/>
      <c r="N29" s="1"/>
    </row>
    <row r="30" spans="1:14" ht="18.75">
      <c r="A30" s="93"/>
      <c r="B30" s="1"/>
      <c r="C30" s="1"/>
      <c r="D30" s="1"/>
      <c r="E30" s="1"/>
      <c r="F30" s="1"/>
      <c r="G30" s="1"/>
      <c r="H30" s="1"/>
      <c r="I30" s="1"/>
      <c r="J30" s="1"/>
      <c r="K30" s="1"/>
      <c r="L30" s="1"/>
      <c r="M30" s="173"/>
      <c r="N30" s="1"/>
    </row>
    <row r="31" spans="1:14" ht="18.75">
      <c r="A31" s="93"/>
      <c r="B31" s="1"/>
      <c r="C31" s="1"/>
      <c r="D31" s="1"/>
      <c r="E31" s="1"/>
      <c r="F31" s="1"/>
      <c r="G31" s="1"/>
      <c r="H31" s="1"/>
      <c r="I31" s="1"/>
      <c r="J31" s="1"/>
      <c r="K31" s="1"/>
      <c r="L31" s="1"/>
      <c r="M31" s="173"/>
      <c r="N31" s="1"/>
    </row>
    <row r="32" spans="1:14">
      <c r="A32" s="366"/>
      <c r="B32" s="117"/>
      <c r="C32" s="117"/>
      <c r="D32" s="117"/>
      <c r="E32" s="117"/>
      <c r="F32" s="117"/>
      <c r="G32" s="117"/>
      <c r="H32" s="117"/>
      <c r="I32" s="117"/>
      <c r="J32" s="117"/>
      <c r="K32" s="117"/>
      <c r="L32" s="117"/>
      <c r="M32" s="173"/>
      <c r="N32" s="1"/>
    </row>
    <row r="33" spans="1:14">
      <c r="A33" s="359"/>
      <c r="B33" s="117"/>
      <c r="C33" s="117"/>
      <c r="D33" s="117"/>
      <c r="E33" s="117"/>
      <c r="F33" s="117"/>
      <c r="G33" s="117"/>
      <c r="H33" s="117"/>
      <c r="I33" s="117"/>
      <c r="J33" s="117"/>
      <c r="K33" s="117"/>
      <c r="L33" s="117"/>
      <c r="M33" s="173"/>
      <c r="N33" s="1"/>
    </row>
    <row r="34" spans="1:14">
      <c r="A34" s="359"/>
      <c r="B34" s="117"/>
      <c r="C34" s="117"/>
      <c r="D34" s="117"/>
      <c r="E34" s="117"/>
      <c r="F34" s="117"/>
      <c r="G34" s="117"/>
      <c r="H34" s="117"/>
      <c r="I34" s="117"/>
      <c r="J34" s="117"/>
      <c r="K34" s="117"/>
      <c r="L34" s="117"/>
      <c r="M34" s="173"/>
      <c r="N34" s="1"/>
    </row>
    <row r="35" spans="1:14">
      <c r="A35" s="359"/>
      <c r="B35" s="117"/>
      <c r="C35" s="117"/>
      <c r="D35" s="117"/>
      <c r="E35" s="117"/>
      <c r="F35" s="117"/>
      <c r="G35" s="117"/>
      <c r="H35" s="117"/>
      <c r="I35" s="117"/>
      <c r="J35" s="117"/>
      <c r="K35" s="117"/>
      <c r="L35" s="117"/>
      <c r="M35" s="173"/>
      <c r="N35" s="1"/>
    </row>
    <row r="36" spans="1:14">
      <c r="A36" s="359"/>
      <c r="B36" s="117"/>
      <c r="C36" s="117"/>
      <c r="D36" s="117"/>
      <c r="E36" s="117"/>
      <c r="F36" s="117"/>
      <c r="G36" s="117"/>
      <c r="H36" s="117"/>
      <c r="I36" s="117"/>
      <c r="J36" s="117"/>
      <c r="K36" s="117"/>
      <c r="L36" s="117"/>
      <c r="M36" s="173"/>
      <c r="N36" s="1"/>
    </row>
    <row r="37" spans="1:14">
      <c r="A37" s="163"/>
      <c r="B37" s="117"/>
      <c r="C37" s="117"/>
      <c r="D37" s="117"/>
      <c r="E37" s="117"/>
      <c r="F37" s="117"/>
      <c r="G37" s="117"/>
      <c r="H37" s="117"/>
      <c r="I37" s="117"/>
      <c r="J37" s="117"/>
      <c r="K37" s="117"/>
      <c r="L37" s="117"/>
      <c r="M37" s="173"/>
      <c r="N37" s="1"/>
    </row>
    <row r="38" spans="1:14">
      <c r="A38" s="357"/>
      <c r="B38" s="117"/>
      <c r="C38" s="117"/>
      <c r="D38" s="117"/>
      <c r="E38" s="117"/>
      <c r="F38" s="117"/>
      <c r="G38" s="117"/>
      <c r="H38" s="117"/>
      <c r="I38" s="117"/>
      <c r="J38" s="117"/>
      <c r="K38" s="117"/>
      <c r="L38" s="117"/>
      <c r="M38" s="173"/>
      <c r="N38" s="1"/>
    </row>
    <row r="39" spans="1:14">
      <c r="A39" s="363"/>
      <c r="B39" s="117"/>
      <c r="C39" s="339"/>
      <c r="D39" s="339"/>
      <c r="E39" s="339"/>
      <c r="F39" s="339"/>
      <c r="G39" s="339"/>
      <c r="H39" s="339"/>
      <c r="I39" s="339"/>
      <c r="J39" s="339"/>
      <c r="K39" s="339"/>
      <c r="L39" s="339"/>
      <c r="M39" s="173"/>
      <c r="N39" s="1"/>
    </row>
    <row r="40" spans="1:14">
      <c r="A40" s="368"/>
      <c r="B40" s="117"/>
      <c r="C40" s="117"/>
      <c r="D40" s="117"/>
      <c r="E40" s="117"/>
      <c r="F40" s="117"/>
      <c r="G40" s="117"/>
      <c r="H40" s="117"/>
      <c r="I40" s="117"/>
      <c r="J40" s="117"/>
      <c r="K40" s="117"/>
      <c r="L40" s="339"/>
      <c r="M40" s="173"/>
      <c r="N40" s="1"/>
    </row>
    <row r="41" spans="1:14">
      <c r="A41" s="163"/>
      <c r="B41" s="117"/>
      <c r="C41" s="117"/>
      <c r="D41" s="117"/>
      <c r="E41" s="117"/>
      <c r="F41" s="117"/>
      <c r="G41" s="117"/>
      <c r="H41" s="117"/>
      <c r="I41" s="117"/>
      <c r="J41" s="117"/>
      <c r="K41" s="117"/>
      <c r="L41" s="117"/>
      <c r="M41" s="173"/>
      <c r="N41" s="1"/>
    </row>
    <row r="42" spans="1:14">
      <c r="A42" s="369"/>
      <c r="B42" s="117"/>
      <c r="C42" s="117"/>
      <c r="D42" s="117"/>
      <c r="E42" s="117"/>
      <c r="F42" s="117"/>
      <c r="G42" s="117"/>
      <c r="H42" s="117"/>
      <c r="I42" s="117"/>
      <c r="J42" s="117"/>
      <c r="K42" s="117"/>
      <c r="L42" s="117"/>
      <c r="M42" s="173"/>
      <c r="N42" s="1"/>
    </row>
    <row r="43" spans="1:14">
      <c r="A43" s="163"/>
      <c r="B43" s="117"/>
      <c r="C43" s="117"/>
      <c r="D43" s="117"/>
      <c r="E43" s="117"/>
      <c r="F43" s="117"/>
      <c r="G43" s="117"/>
      <c r="H43" s="117"/>
      <c r="I43" s="117"/>
      <c r="J43" s="117"/>
      <c r="K43" s="117"/>
      <c r="L43" s="117"/>
      <c r="M43" s="173"/>
      <c r="N43" s="1"/>
    </row>
    <row r="44" spans="1:14">
      <c r="A44" s="163"/>
      <c r="B44" s="117"/>
      <c r="C44" s="117"/>
      <c r="D44" s="117"/>
      <c r="E44" s="117"/>
      <c r="F44" s="117"/>
      <c r="G44" s="117"/>
      <c r="H44" s="117"/>
      <c r="I44" s="117"/>
      <c r="J44" s="117"/>
      <c r="K44" s="117"/>
      <c r="L44" s="117"/>
      <c r="M44" s="173"/>
      <c r="N44" s="1"/>
    </row>
    <row r="45" spans="1:14">
      <c r="A45" s="163"/>
      <c r="B45" s="117"/>
      <c r="C45" s="117"/>
      <c r="D45" s="117"/>
      <c r="E45" s="117"/>
      <c r="F45" s="117"/>
      <c r="G45" s="117"/>
      <c r="H45" s="117"/>
      <c r="I45" s="117"/>
      <c r="J45" s="117"/>
      <c r="K45" s="117"/>
      <c r="L45" s="117"/>
      <c r="M45" s="173"/>
      <c r="N45" s="1"/>
    </row>
    <row r="46" spans="1:14">
      <c r="A46" s="163"/>
      <c r="B46" s="117"/>
      <c r="C46" s="117"/>
      <c r="D46" s="117"/>
      <c r="E46" s="117"/>
      <c r="F46" s="117"/>
      <c r="G46" s="117"/>
      <c r="H46" s="117"/>
      <c r="I46" s="117"/>
      <c r="J46" s="117"/>
      <c r="K46" s="117"/>
      <c r="L46" s="117"/>
      <c r="M46" s="173"/>
      <c r="N46" s="1"/>
    </row>
    <row r="47" spans="1:14">
      <c r="A47" s="163"/>
      <c r="B47" s="117"/>
      <c r="C47" s="117"/>
      <c r="D47" s="117"/>
      <c r="E47" s="117"/>
      <c r="F47" s="117"/>
      <c r="G47" s="117"/>
      <c r="H47" s="117"/>
      <c r="I47" s="117"/>
      <c r="J47" s="117"/>
      <c r="K47" s="117"/>
      <c r="L47" s="117"/>
      <c r="M47" s="173"/>
      <c r="N47" s="1"/>
    </row>
    <row r="48" spans="1:14">
      <c r="A48" s="163"/>
      <c r="B48" s="117"/>
      <c r="C48" s="117"/>
      <c r="D48" s="117"/>
      <c r="E48" s="117"/>
      <c r="F48" s="117"/>
      <c r="G48" s="117"/>
      <c r="H48" s="117"/>
      <c r="I48" s="117"/>
      <c r="J48" s="117"/>
      <c r="K48" s="117"/>
      <c r="L48" s="117"/>
      <c r="M48" s="173"/>
      <c r="N48" s="1"/>
    </row>
    <row r="49" spans="1:14">
      <c r="A49" s="163"/>
      <c r="B49" s="117"/>
      <c r="C49" s="117"/>
      <c r="D49" s="117"/>
      <c r="E49" s="117"/>
      <c r="F49" s="117"/>
      <c r="G49" s="117"/>
      <c r="H49" s="117"/>
      <c r="I49" s="117"/>
      <c r="J49" s="117"/>
      <c r="K49" s="117"/>
      <c r="L49" s="117"/>
      <c r="M49" s="173"/>
      <c r="N49" s="1"/>
    </row>
    <row r="50" spans="1:14">
      <c r="A50" s="163"/>
      <c r="B50" s="117"/>
      <c r="C50" s="117"/>
      <c r="D50" s="117"/>
      <c r="E50" s="117"/>
      <c r="F50" s="117"/>
      <c r="G50" s="117"/>
      <c r="H50" s="117"/>
      <c r="I50" s="117"/>
      <c r="J50" s="117"/>
      <c r="K50" s="117"/>
      <c r="L50" s="117"/>
      <c r="M50" s="173"/>
      <c r="N50" s="1"/>
    </row>
    <row r="51" spans="1:14">
      <c r="A51" s="163"/>
      <c r="B51" s="117"/>
      <c r="C51" s="117"/>
      <c r="D51" s="117"/>
      <c r="E51" s="117"/>
      <c r="F51" s="117"/>
      <c r="G51" s="117"/>
      <c r="H51" s="117"/>
      <c r="I51" s="117"/>
      <c r="J51" s="117"/>
      <c r="K51" s="117"/>
      <c r="L51" s="117"/>
      <c r="M51" s="173"/>
      <c r="N51" s="1"/>
    </row>
    <row r="52" spans="1:14">
      <c r="A52" s="163"/>
      <c r="B52" s="117"/>
      <c r="C52" s="117"/>
      <c r="D52" s="117"/>
      <c r="E52" s="117"/>
      <c r="F52" s="117"/>
      <c r="G52" s="117"/>
      <c r="H52" s="117"/>
      <c r="I52" s="117"/>
      <c r="J52" s="117"/>
      <c r="K52" s="117"/>
      <c r="L52" s="117"/>
      <c r="M52" s="173"/>
      <c r="N52" s="1"/>
    </row>
    <row r="53" spans="1:14">
      <c r="A53" s="385"/>
      <c r="B53" s="117"/>
      <c r="C53" s="117"/>
      <c r="D53" s="117"/>
      <c r="E53" s="117"/>
      <c r="F53" s="117"/>
      <c r="G53" s="117"/>
      <c r="H53" s="117"/>
      <c r="I53" s="117"/>
      <c r="J53" s="117"/>
      <c r="K53" s="117"/>
      <c r="L53" s="117"/>
      <c r="M53" s="173"/>
      <c r="N53" s="1"/>
    </row>
    <row r="54" spans="1:14">
      <c r="A54" s="163"/>
      <c r="B54" s="117"/>
      <c r="C54" s="117"/>
      <c r="D54" s="117"/>
      <c r="E54" s="117"/>
      <c r="F54" s="117"/>
      <c r="G54" s="117"/>
      <c r="H54" s="117"/>
      <c r="I54" s="117"/>
      <c r="J54" s="117"/>
      <c r="K54" s="117"/>
      <c r="L54" s="117"/>
      <c r="M54" s="173"/>
      <c r="N54" s="1"/>
    </row>
    <row r="55" spans="1:14">
      <c r="A55" s="163"/>
      <c r="B55" s="117"/>
      <c r="C55" s="117"/>
      <c r="D55" s="117"/>
      <c r="E55" s="117"/>
      <c r="F55" s="117"/>
      <c r="G55" s="117"/>
      <c r="H55" s="117"/>
      <c r="I55" s="117"/>
      <c r="J55" s="117"/>
      <c r="K55" s="117"/>
      <c r="L55" s="117"/>
      <c r="M55" s="173"/>
      <c r="N55" s="1"/>
    </row>
    <row r="56" spans="1:14">
      <c r="A56" s="163"/>
      <c r="B56" s="163"/>
      <c r="C56" s="163"/>
      <c r="D56" s="163"/>
      <c r="E56" s="163"/>
      <c r="F56" s="163"/>
      <c r="G56" s="163"/>
      <c r="H56" s="163"/>
      <c r="I56" s="163"/>
      <c r="J56" s="163"/>
      <c r="K56" s="163"/>
      <c r="L56" s="163"/>
    </row>
    <row r="57" spans="1:14">
      <c r="A57" s="163"/>
      <c r="B57" s="163"/>
      <c r="C57" s="163"/>
      <c r="D57" s="163"/>
      <c r="E57" s="163"/>
      <c r="F57" s="163"/>
      <c r="G57" s="163"/>
      <c r="H57" s="163"/>
      <c r="I57" s="163"/>
      <c r="J57" s="163"/>
      <c r="K57" s="163"/>
      <c r="L57" s="163"/>
    </row>
    <row r="58" spans="1:14">
      <c r="A58" s="163"/>
      <c r="B58" s="163"/>
      <c r="C58" s="163"/>
      <c r="D58" s="163"/>
      <c r="E58" s="163"/>
      <c r="F58" s="163"/>
      <c r="G58" s="163"/>
      <c r="H58" s="163"/>
      <c r="I58" s="163"/>
      <c r="J58" s="163"/>
      <c r="K58" s="163"/>
      <c r="L58" s="163"/>
    </row>
    <row r="59" spans="1:14">
      <c r="A59" s="163"/>
      <c r="B59" s="163"/>
      <c r="C59" s="163"/>
      <c r="D59" s="163"/>
      <c r="E59" s="163"/>
      <c r="F59" s="163"/>
      <c r="G59" s="163"/>
      <c r="H59" s="163"/>
      <c r="I59" s="163"/>
      <c r="J59" s="163"/>
      <c r="K59" s="163"/>
      <c r="L59" s="163"/>
    </row>
    <row r="60" spans="1:14">
      <c r="A60" s="163"/>
      <c r="B60" s="163"/>
      <c r="C60" s="163"/>
      <c r="D60" s="163"/>
      <c r="E60" s="163"/>
      <c r="F60" s="163"/>
      <c r="G60" s="163"/>
      <c r="H60" s="163"/>
      <c r="I60" s="163"/>
      <c r="J60" s="163"/>
      <c r="K60" s="163"/>
      <c r="L60" s="163"/>
    </row>
    <row r="61" spans="1:14">
      <c r="A61" s="163"/>
      <c r="B61" s="163"/>
      <c r="C61" s="163"/>
      <c r="D61" s="163"/>
      <c r="E61" s="163"/>
      <c r="F61" s="163"/>
      <c r="G61" s="163"/>
      <c r="H61" s="163"/>
      <c r="I61" s="163"/>
      <c r="J61" s="163"/>
      <c r="K61" s="163"/>
      <c r="L61" s="163"/>
    </row>
    <row r="62" spans="1:14">
      <c r="A62" s="163"/>
      <c r="B62" s="163"/>
      <c r="C62" s="163"/>
      <c r="D62" s="163"/>
      <c r="E62" s="163"/>
      <c r="F62" s="163"/>
      <c r="G62" s="163"/>
      <c r="H62" s="163"/>
      <c r="I62" s="163"/>
      <c r="J62" s="163"/>
      <c r="K62" s="163"/>
      <c r="L62" s="163"/>
    </row>
    <row r="63" spans="1:14">
      <c r="A63" s="163"/>
      <c r="B63" s="117"/>
      <c r="C63" s="117"/>
      <c r="D63" s="117"/>
      <c r="E63" s="117"/>
      <c r="F63" s="117"/>
      <c r="G63" s="117"/>
      <c r="H63" s="117"/>
      <c r="I63" s="117"/>
      <c r="J63" s="117"/>
      <c r="K63" s="117"/>
      <c r="L63" s="117"/>
      <c r="M63" s="173"/>
      <c r="N63" s="1"/>
    </row>
    <row r="64" spans="1:14">
      <c r="A64" s="163"/>
      <c r="B64" s="117"/>
      <c r="C64" s="117"/>
      <c r="D64" s="117"/>
      <c r="E64" s="117"/>
      <c r="F64" s="117"/>
      <c r="G64" s="117"/>
      <c r="H64" s="117"/>
      <c r="I64" s="117"/>
      <c r="J64" s="117"/>
      <c r="K64" s="117"/>
      <c r="L64" s="117"/>
      <c r="M64" s="173"/>
      <c r="N64" s="1"/>
    </row>
    <row r="65" spans="1:14">
      <c r="A65" s="163"/>
      <c r="B65" s="117"/>
      <c r="C65" s="117"/>
      <c r="D65" s="117"/>
      <c r="E65" s="117"/>
      <c r="F65" s="117"/>
      <c r="G65" s="117"/>
      <c r="H65" s="117"/>
      <c r="I65" s="117"/>
      <c r="J65" s="117"/>
      <c r="K65" s="117"/>
      <c r="L65" s="117"/>
      <c r="M65" s="173"/>
      <c r="N65" s="1"/>
    </row>
    <row r="66" spans="1:14">
      <c r="A66" s="163"/>
      <c r="B66" s="117"/>
      <c r="C66" s="117"/>
      <c r="D66" s="117"/>
      <c r="E66" s="117"/>
      <c r="F66" s="117"/>
      <c r="G66" s="117"/>
      <c r="H66" s="117"/>
      <c r="I66" s="117"/>
      <c r="J66" s="117"/>
      <c r="K66" s="117"/>
      <c r="L66" s="117"/>
      <c r="M66" s="173"/>
      <c r="N66" s="1"/>
    </row>
    <row r="67" spans="1:14">
      <c r="A67" s="163"/>
      <c r="B67" s="117"/>
      <c r="C67" s="117"/>
      <c r="D67" s="117"/>
      <c r="E67" s="117"/>
      <c r="F67" s="117"/>
      <c r="G67" s="117"/>
      <c r="H67" s="117"/>
      <c r="I67" s="117"/>
      <c r="J67" s="117"/>
      <c r="K67" s="117"/>
      <c r="L67" s="117"/>
      <c r="M67" s="173"/>
      <c r="N67" s="1"/>
    </row>
    <row r="68" spans="1:14">
      <c r="A68" s="357"/>
      <c r="B68" s="117"/>
      <c r="C68" s="117"/>
      <c r="D68" s="117"/>
      <c r="E68" s="117"/>
      <c r="F68" s="117"/>
      <c r="G68" s="117"/>
      <c r="H68" s="117"/>
      <c r="I68" s="117"/>
      <c r="J68" s="117"/>
      <c r="K68" s="117"/>
      <c r="L68" s="117"/>
      <c r="M68" s="173"/>
      <c r="N68" s="1"/>
    </row>
    <row r="69" spans="1:14">
      <c r="A69" s="163"/>
      <c r="B69" s="117"/>
      <c r="C69" s="117"/>
      <c r="D69" s="117"/>
      <c r="E69" s="117"/>
      <c r="F69" s="117"/>
      <c r="G69" s="117"/>
      <c r="H69" s="117"/>
      <c r="I69" s="117"/>
      <c r="J69" s="117"/>
      <c r="K69" s="117"/>
      <c r="L69" s="117"/>
      <c r="M69" s="173"/>
      <c r="N69" s="1"/>
    </row>
    <row r="70" spans="1:14">
      <c r="A70" s="357"/>
      <c r="B70" s="117"/>
      <c r="C70" s="117"/>
      <c r="D70" s="117"/>
      <c r="E70" s="117"/>
      <c r="F70" s="117"/>
      <c r="G70" s="117"/>
      <c r="H70" s="117"/>
      <c r="I70" s="117"/>
      <c r="J70" s="117"/>
      <c r="K70" s="117"/>
      <c r="L70" s="117"/>
      <c r="M70" s="173"/>
      <c r="N70" s="1"/>
    </row>
    <row r="71" spans="1:14">
      <c r="A71" s="163"/>
      <c r="B71" s="117"/>
      <c r="C71" s="117"/>
      <c r="D71" s="117"/>
      <c r="E71" s="117"/>
      <c r="F71" s="117"/>
      <c r="G71" s="117"/>
      <c r="H71" s="117"/>
      <c r="I71" s="117"/>
      <c r="J71" s="117"/>
      <c r="K71" s="117"/>
      <c r="L71" s="117"/>
      <c r="M71" s="173"/>
      <c r="N71" s="1"/>
    </row>
    <row r="72" spans="1:14">
      <c r="A72" s="163"/>
      <c r="B72" s="117"/>
      <c r="C72" s="117"/>
      <c r="D72" s="117"/>
      <c r="E72" s="117"/>
      <c r="F72" s="117"/>
      <c r="G72" s="117"/>
      <c r="H72" s="117"/>
      <c r="I72" s="117"/>
      <c r="J72" s="117"/>
      <c r="K72" s="117"/>
      <c r="L72" s="117"/>
      <c r="M72" s="173"/>
      <c r="N72" s="1"/>
    </row>
    <row r="73" spans="1:14">
      <c r="A73" s="163"/>
      <c r="B73" s="117"/>
      <c r="C73" s="117"/>
      <c r="D73" s="117"/>
      <c r="E73" s="117"/>
      <c r="F73" s="117"/>
      <c r="G73" s="117"/>
      <c r="H73" s="117"/>
      <c r="I73" s="117"/>
      <c r="J73" s="117"/>
      <c r="K73" s="117"/>
      <c r="L73" s="117"/>
      <c r="M73" s="173"/>
      <c r="N73" s="1"/>
    </row>
    <row r="74" spans="1:14">
      <c r="A74" s="357"/>
      <c r="B74" s="193"/>
      <c r="C74" s="193"/>
      <c r="D74" s="193"/>
      <c r="E74" s="193"/>
      <c r="F74" s="193"/>
      <c r="G74" s="193"/>
      <c r="H74" s="193"/>
      <c r="I74" s="193"/>
      <c r="J74" s="193"/>
      <c r="K74" s="193"/>
      <c r="L74" s="193"/>
      <c r="M74" s="173"/>
      <c r="N74" s="1"/>
    </row>
    <row r="75" spans="1:14">
      <c r="A75" s="357"/>
      <c r="B75" s="163"/>
      <c r="C75" s="163"/>
      <c r="D75" s="163"/>
      <c r="E75" s="163"/>
      <c r="F75" s="163"/>
      <c r="G75" s="163"/>
      <c r="H75" s="163"/>
      <c r="I75" s="163"/>
      <c r="J75" s="163"/>
      <c r="K75" s="163"/>
      <c r="L75" s="163"/>
    </row>
    <row r="76" spans="1:14">
      <c r="A76" s="357"/>
      <c r="B76" s="117"/>
      <c r="C76" s="117"/>
      <c r="D76" s="117"/>
      <c r="E76" s="117"/>
      <c r="F76" s="117"/>
      <c r="G76" s="117"/>
      <c r="H76" s="117"/>
      <c r="I76" s="117"/>
      <c r="J76" s="117"/>
      <c r="K76" s="117"/>
      <c r="L76" s="117"/>
      <c r="M76" s="173"/>
      <c r="N76" s="1"/>
    </row>
    <row r="77" spans="1:14">
      <c r="A77" s="357"/>
      <c r="B77" s="358"/>
      <c r="C77" s="358"/>
      <c r="D77" s="358"/>
      <c r="E77" s="358"/>
      <c r="F77" s="358"/>
      <c r="G77" s="358"/>
      <c r="H77" s="358"/>
      <c r="I77" s="358"/>
      <c r="J77" s="358"/>
      <c r="K77" s="358"/>
      <c r="L77" s="358"/>
      <c r="M77" s="173"/>
      <c r="N77" s="1"/>
    </row>
    <row r="78" spans="1:14">
      <c r="A78" s="359"/>
      <c r="B78" s="360"/>
      <c r="C78" s="360"/>
      <c r="D78" s="360"/>
      <c r="E78" s="360"/>
      <c r="F78" s="360"/>
      <c r="G78" s="360"/>
      <c r="H78" s="360"/>
      <c r="I78" s="360"/>
      <c r="J78" s="360"/>
      <c r="K78" s="360"/>
      <c r="L78" s="360"/>
      <c r="M78" s="173"/>
      <c r="N78" s="1"/>
    </row>
    <row r="79" spans="1:14">
      <c r="A79" s="359"/>
      <c r="B79" s="360"/>
      <c r="C79" s="360"/>
      <c r="D79" s="360"/>
      <c r="E79" s="360"/>
      <c r="F79" s="360"/>
      <c r="G79" s="360"/>
      <c r="H79" s="360"/>
      <c r="I79" s="360"/>
      <c r="J79" s="360"/>
      <c r="K79" s="360"/>
      <c r="L79" s="360"/>
      <c r="M79" s="173"/>
      <c r="N79" s="1"/>
    </row>
    <row r="80" spans="1:14">
      <c r="A80" s="359"/>
      <c r="B80" s="360"/>
      <c r="C80" s="360"/>
      <c r="D80" s="360"/>
      <c r="E80" s="360"/>
      <c r="F80" s="360"/>
      <c r="G80" s="360"/>
      <c r="H80" s="360"/>
      <c r="I80" s="360"/>
      <c r="J80" s="360"/>
      <c r="K80" s="360"/>
      <c r="L80" s="360"/>
      <c r="M80" s="173"/>
      <c r="N80" s="1"/>
    </row>
    <row r="81" spans="1:14">
      <c r="A81" s="359"/>
      <c r="B81" s="360"/>
      <c r="C81" s="360"/>
      <c r="D81" s="360"/>
      <c r="E81" s="360"/>
      <c r="F81" s="360"/>
      <c r="G81" s="360"/>
      <c r="H81" s="360"/>
      <c r="I81" s="360"/>
      <c r="J81" s="360"/>
      <c r="K81" s="360"/>
      <c r="L81" s="360"/>
      <c r="M81" s="173"/>
      <c r="N81" s="1"/>
    </row>
    <row r="82" spans="1:14" s="17" customFormat="1">
      <c r="A82" s="361"/>
      <c r="B82" s="362"/>
      <c r="C82" s="362"/>
      <c r="D82" s="362"/>
      <c r="E82" s="362"/>
      <c r="F82" s="362"/>
      <c r="G82" s="362"/>
      <c r="H82" s="362"/>
      <c r="I82" s="362"/>
      <c r="J82" s="362"/>
      <c r="K82" s="362"/>
      <c r="L82" s="362"/>
      <c r="M82" s="197"/>
      <c r="N82" s="33"/>
    </row>
    <row r="83" spans="1:14">
      <c r="A83" s="363"/>
      <c r="B83" s="358"/>
      <c r="C83" s="237"/>
      <c r="D83" s="237"/>
      <c r="E83" s="237"/>
      <c r="F83" s="237"/>
      <c r="G83" s="237"/>
      <c r="H83" s="237"/>
      <c r="I83" s="237"/>
      <c r="J83" s="237"/>
      <c r="K83" s="237"/>
      <c r="L83" s="237"/>
      <c r="M83" s="173"/>
      <c r="N83" s="1"/>
    </row>
    <row r="84" spans="1:14">
      <c r="A84" s="242"/>
      <c r="B84" s="358"/>
      <c r="C84" s="237"/>
      <c r="D84" s="237"/>
      <c r="E84" s="237"/>
      <c r="F84" s="237"/>
      <c r="G84" s="237"/>
      <c r="H84" s="237"/>
      <c r="I84" s="237"/>
      <c r="J84" s="237"/>
      <c r="K84" s="237"/>
      <c r="L84" s="237"/>
      <c r="M84" s="173"/>
      <c r="N84" s="1"/>
    </row>
    <row r="85" spans="1:14">
      <c r="A85" s="163"/>
      <c r="B85" s="117"/>
      <c r="C85" s="117"/>
      <c r="D85" s="117"/>
      <c r="E85" s="117"/>
      <c r="F85" s="117"/>
      <c r="G85" s="117"/>
      <c r="H85" s="117"/>
      <c r="I85" s="117"/>
      <c r="J85" s="117"/>
      <c r="K85" s="117"/>
      <c r="L85" s="117"/>
      <c r="M85" s="173"/>
      <c r="N85" s="1"/>
    </row>
    <row r="86" spans="1:14" ht="18.75">
      <c r="A86" s="364"/>
      <c r="B86" s="117"/>
      <c r="C86" s="117"/>
      <c r="D86" s="117"/>
      <c r="E86" s="117"/>
      <c r="F86" s="117"/>
      <c r="G86" s="117"/>
      <c r="H86" s="117"/>
      <c r="I86" s="117"/>
      <c r="J86" s="117"/>
      <c r="K86" s="117"/>
      <c r="L86" s="117"/>
      <c r="M86" s="173"/>
      <c r="N86" s="1"/>
    </row>
    <row r="87" spans="1:14">
      <c r="A87" s="165"/>
      <c r="B87" s="365"/>
      <c r="C87" s="365"/>
      <c r="D87" s="365"/>
      <c r="E87" s="365"/>
      <c r="F87" s="365"/>
      <c r="G87" s="365"/>
      <c r="H87" s="365"/>
      <c r="I87" s="365"/>
      <c r="J87" s="365"/>
      <c r="K87" s="365"/>
      <c r="L87" s="365"/>
      <c r="M87" s="173"/>
      <c r="N87" s="1"/>
    </row>
    <row r="88" spans="1:14">
      <c r="A88" s="163"/>
      <c r="B88" s="117"/>
      <c r="C88" s="117"/>
      <c r="D88" s="117"/>
      <c r="E88" s="117"/>
      <c r="F88" s="117"/>
      <c r="G88" s="117"/>
      <c r="H88" s="117"/>
      <c r="I88" s="117"/>
      <c r="J88" s="117"/>
      <c r="K88" s="117"/>
      <c r="L88" s="117"/>
      <c r="M88" s="173"/>
      <c r="N88" s="1"/>
    </row>
    <row r="89" spans="1:14">
      <c r="A89" s="163"/>
      <c r="B89" s="117"/>
      <c r="C89" s="117"/>
      <c r="D89" s="117"/>
      <c r="E89" s="117"/>
      <c r="F89" s="117"/>
      <c r="G89" s="117"/>
      <c r="H89" s="117"/>
      <c r="I89" s="117"/>
      <c r="J89" s="117"/>
      <c r="K89" s="117"/>
      <c r="L89" s="117"/>
      <c r="M89" s="173"/>
      <c r="N89" s="1"/>
    </row>
    <row r="90" spans="1:14">
      <c r="A90" s="359"/>
      <c r="B90" s="117"/>
      <c r="C90" s="117"/>
      <c r="D90" s="117"/>
      <c r="E90" s="117"/>
      <c r="F90" s="117"/>
      <c r="G90" s="117"/>
      <c r="H90" s="117"/>
      <c r="I90" s="117"/>
      <c r="J90" s="117"/>
      <c r="K90" s="117"/>
      <c r="L90" s="117"/>
      <c r="M90" s="173"/>
      <c r="N90" s="1"/>
    </row>
    <row r="91" spans="1:14">
      <c r="A91" s="359"/>
      <c r="B91" s="117"/>
      <c r="C91" s="117"/>
      <c r="D91" s="117"/>
      <c r="E91" s="117"/>
      <c r="F91" s="117"/>
      <c r="G91" s="117"/>
      <c r="H91" s="117"/>
      <c r="I91" s="117"/>
      <c r="J91" s="117"/>
      <c r="K91" s="117"/>
      <c r="L91" s="117"/>
      <c r="M91" s="173"/>
      <c r="N91" s="1"/>
    </row>
    <row r="92" spans="1:14">
      <c r="A92" s="359"/>
      <c r="B92" s="117"/>
      <c r="C92" s="117"/>
      <c r="D92" s="117"/>
      <c r="E92" s="117"/>
      <c r="F92" s="117"/>
      <c r="G92" s="117"/>
      <c r="H92" s="117"/>
      <c r="I92" s="117"/>
      <c r="J92" s="117"/>
      <c r="K92" s="117"/>
      <c r="L92" s="117"/>
      <c r="M92" s="173"/>
      <c r="N92" s="1"/>
    </row>
    <row r="93" spans="1:14">
      <c r="A93" s="359"/>
      <c r="B93" s="117"/>
      <c r="C93" s="117"/>
      <c r="D93" s="117"/>
      <c r="E93" s="117"/>
      <c r="F93" s="117"/>
      <c r="G93" s="117"/>
      <c r="H93" s="117"/>
      <c r="I93" s="117"/>
      <c r="J93" s="117"/>
      <c r="K93" s="117"/>
      <c r="L93" s="117"/>
      <c r="M93" s="173"/>
      <c r="N93" s="1"/>
    </row>
    <row r="94" spans="1:14">
      <c r="A94" s="357"/>
      <c r="B94" s="117"/>
      <c r="C94" s="117"/>
      <c r="D94" s="117"/>
      <c r="E94" s="117"/>
      <c r="F94" s="117"/>
      <c r="G94" s="117"/>
      <c r="H94" s="117"/>
      <c r="I94" s="117"/>
      <c r="J94" s="117"/>
      <c r="K94" s="117"/>
      <c r="L94" s="117"/>
      <c r="M94" s="173"/>
      <c r="N94" s="1"/>
    </row>
    <row r="95" spans="1:14">
      <c r="A95" s="163"/>
      <c r="B95" s="117"/>
      <c r="C95" s="117"/>
      <c r="D95" s="117"/>
      <c r="E95" s="117"/>
      <c r="F95" s="117"/>
      <c r="G95" s="117"/>
      <c r="H95" s="117"/>
      <c r="I95" s="117"/>
      <c r="J95" s="117"/>
      <c r="K95" s="117"/>
      <c r="L95" s="117"/>
      <c r="M95" s="173"/>
      <c r="N95" s="1"/>
    </row>
    <row r="96" spans="1:14">
      <c r="A96" s="163"/>
      <c r="B96" s="117"/>
      <c r="C96" s="117"/>
      <c r="D96" s="117"/>
      <c r="E96" s="117"/>
      <c r="F96" s="117"/>
      <c r="G96" s="117"/>
      <c r="H96" s="117"/>
      <c r="I96" s="117"/>
      <c r="J96" s="117"/>
      <c r="K96" s="117"/>
      <c r="L96" s="117"/>
      <c r="M96" s="173"/>
      <c r="N96" s="1"/>
    </row>
    <row r="97" spans="1:14">
      <c r="A97" s="163"/>
      <c r="B97" s="159"/>
      <c r="C97" s="159"/>
      <c r="D97" s="159"/>
      <c r="E97" s="159"/>
      <c r="F97" s="159"/>
      <c r="G97" s="159"/>
      <c r="H97" s="159"/>
      <c r="I97" s="159"/>
      <c r="J97" s="159"/>
      <c r="K97" s="159"/>
      <c r="L97" s="159"/>
      <c r="M97" s="173"/>
      <c r="N97" s="1"/>
    </row>
    <row r="98" spans="1:14">
      <c r="A98" s="163"/>
      <c r="B98" s="159"/>
      <c r="C98" s="159"/>
      <c r="D98" s="159"/>
      <c r="E98" s="159"/>
      <c r="F98" s="159"/>
      <c r="G98" s="159"/>
      <c r="H98" s="159"/>
      <c r="I98" s="159"/>
      <c r="J98" s="159"/>
      <c r="K98" s="159"/>
      <c r="L98" s="159"/>
      <c r="M98" s="173"/>
      <c r="N98" s="1"/>
    </row>
    <row r="99" spans="1:14">
      <c r="A99" s="163"/>
      <c r="B99" s="117"/>
      <c r="C99" s="117"/>
      <c r="D99" s="117"/>
      <c r="E99" s="117"/>
      <c r="F99" s="117"/>
      <c r="G99" s="117"/>
      <c r="H99" s="117"/>
      <c r="I99" s="117"/>
      <c r="J99" s="117"/>
      <c r="K99" s="117"/>
      <c r="L99" s="117"/>
      <c r="M99" s="173"/>
      <c r="N99" s="1"/>
    </row>
    <row r="100" spans="1:14">
      <c r="A100" s="163"/>
      <c r="B100" s="117"/>
      <c r="C100" s="117"/>
      <c r="D100" s="117"/>
      <c r="E100" s="117"/>
      <c r="F100" s="117"/>
      <c r="G100" s="117"/>
      <c r="H100" s="117"/>
      <c r="I100" s="117"/>
      <c r="J100" s="117"/>
      <c r="K100" s="117"/>
      <c r="L100" s="117"/>
      <c r="M100" s="173"/>
      <c r="N100" s="1"/>
    </row>
    <row r="101" spans="1:14">
      <c r="A101" s="163"/>
      <c r="B101" s="117"/>
      <c r="C101" s="117"/>
      <c r="D101" s="117"/>
      <c r="E101" s="117"/>
      <c r="F101" s="117"/>
      <c r="G101" s="117"/>
      <c r="H101" s="117"/>
      <c r="I101" s="117"/>
      <c r="J101" s="117"/>
      <c r="K101" s="117"/>
      <c r="L101" s="117"/>
      <c r="M101" s="173"/>
      <c r="N101" s="1"/>
    </row>
    <row r="102" spans="1:14">
      <c r="A102" s="163"/>
      <c r="B102" s="117"/>
      <c r="C102" s="117"/>
      <c r="D102" s="117"/>
      <c r="E102" s="117"/>
      <c r="F102" s="117"/>
      <c r="G102" s="117"/>
      <c r="H102" s="117"/>
      <c r="I102" s="117"/>
      <c r="J102" s="117"/>
      <c r="K102" s="117"/>
      <c r="L102" s="117"/>
      <c r="M102" s="173"/>
      <c r="N102" s="1"/>
    </row>
    <row r="103" spans="1:14">
      <c r="A103" s="163"/>
      <c r="B103" s="117"/>
      <c r="C103" s="117"/>
      <c r="D103" s="117"/>
      <c r="E103" s="117"/>
      <c r="F103" s="117"/>
      <c r="G103" s="117"/>
      <c r="H103" s="117"/>
      <c r="I103" s="117"/>
      <c r="J103" s="117"/>
      <c r="K103" s="117"/>
      <c r="L103" s="117"/>
      <c r="M103" s="173"/>
      <c r="N103" s="1"/>
    </row>
    <row r="104" spans="1:14">
      <c r="A104" s="163"/>
      <c r="B104" s="117"/>
      <c r="C104" s="117"/>
      <c r="D104" s="117"/>
      <c r="E104" s="117"/>
      <c r="F104" s="117"/>
      <c r="G104" s="117"/>
      <c r="H104" s="117"/>
      <c r="I104" s="117"/>
      <c r="J104" s="117"/>
      <c r="K104" s="117"/>
      <c r="L104" s="117"/>
      <c r="M104" s="173"/>
      <c r="N104" s="1"/>
    </row>
    <row r="105" spans="1:14">
      <c r="A105" s="163"/>
      <c r="B105" s="117"/>
      <c r="C105" s="117"/>
      <c r="D105" s="117"/>
      <c r="E105" s="117"/>
      <c r="F105" s="117"/>
      <c r="G105" s="117"/>
      <c r="H105" s="117"/>
      <c r="I105" s="117"/>
      <c r="J105" s="117"/>
      <c r="K105" s="117"/>
      <c r="L105" s="117"/>
      <c r="M105" s="173"/>
      <c r="N105" s="1"/>
    </row>
    <row r="106" spans="1:14">
      <c r="A106" s="163"/>
      <c r="B106" s="117"/>
      <c r="C106" s="117"/>
      <c r="D106" s="117"/>
      <c r="E106" s="117"/>
      <c r="F106" s="117"/>
      <c r="G106" s="117"/>
      <c r="H106" s="117"/>
      <c r="I106" s="117"/>
      <c r="J106" s="117"/>
      <c r="K106" s="117"/>
      <c r="L106" s="117"/>
      <c r="M106" s="173"/>
      <c r="N106" s="1"/>
    </row>
    <row r="107" spans="1:14">
      <c r="A107" s="163"/>
      <c r="B107" s="117"/>
      <c r="C107" s="117"/>
      <c r="D107" s="117"/>
      <c r="E107" s="117"/>
      <c r="F107" s="117"/>
      <c r="G107" s="117"/>
      <c r="H107" s="117"/>
      <c r="I107" s="117"/>
      <c r="J107" s="117"/>
      <c r="K107" s="117"/>
      <c r="L107" s="117"/>
      <c r="M107" s="173"/>
      <c r="N107" s="1"/>
    </row>
    <row r="108" spans="1:14">
      <c r="A108" s="163"/>
      <c r="B108" s="117"/>
      <c r="C108" s="117"/>
      <c r="D108" s="117"/>
      <c r="E108" s="117"/>
      <c r="F108" s="117"/>
      <c r="G108" s="117"/>
      <c r="H108" s="117"/>
      <c r="I108" s="117"/>
      <c r="J108" s="117"/>
      <c r="K108" s="117"/>
      <c r="L108" s="117"/>
      <c r="M108" s="173"/>
      <c r="N108" s="1"/>
    </row>
    <row r="109" spans="1:14">
      <c r="A109" s="163"/>
      <c r="B109" s="117"/>
      <c r="C109" s="117"/>
      <c r="D109" s="117"/>
      <c r="E109" s="117"/>
      <c r="F109" s="117"/>
      <c r="G109" s="117"/>
      <c r="H109" s="117"/>
      <c r="I109" s="117"/>
      <c r="J109" s="117"/>
      <c r="K109" s="117"/>
      <c r="L109" s="117"/>
      <c r="M109" s="173"/>
      <c r="N109" s="1"/>
    </row>
    <row r="110" spans="1:14">
      <c r="A110" s="163"/>
      <c r="B110" s="117"/>
      <c r="C110" s="117"/>
      <c r="D110" s="117"/>
      <c r="E110" s="117"/>
      <c r="F110" s="117"/>
      <c r="G110" s="117"/>
      <c r="H110" s="117"/>
      <c r="I110" s="117"/>
      <c r="J110" s="117"/>
      <c r="K110" s="117"/>
      <c r="L110" s="117"/>
      <c r="M110" s="173"/>
      <c r="N110" s="1"/>
    </row>
    <row r="111" spans="1:14">
      <c r="A111" s="163"/>
      <c r="B111" s="117"/>
      <c r="C111" s="117"/>
      <c r="D111" s="117"/>
      <c r="E111" s="117"/>
      <c r="F111" s="117"/>
      <c r="G111" s="117"/>
      <c r="H111" s="117"/>
      <c r="I111" s="117"/>
      <c r="J111" s="117"/>
      <c r="K111" s="117"/>
      <c r="L111" s="117"/>
      <c r="M111" s="173"/>
      <c r="N111" s="1"/>
    </row>
    <row r="112" spans="1:14">
      <c r="A112" s="163"/>
      <c r="B112" s="117"/>
      <c r="C112" s="117"/>
      <c r="D112" s="117"/>
      <c r="E112" s="117"/>
      <c r="F112" s="117"/>
      <c r="G112" s="117"/>
      <c r="H112" s="117"/>
      <c r="I112" s="117"/>
      <c r="J112" s="117"/>
      <c r="K112" s="117"/>
      <c r="L112" s="117"/>
      <c r="M112" s="173"/>
      <c r="N112" s="1"/>
    </row>
    <row r="113" spans="1:14">
      <c r="A113" s="163"/>
      <c r="B113" s="117"/>
      <c r="C113" s="117"/>
      <c r="D113" s="117"/>
      <c r="E113" s="117"/>
      <c r="F113" s="117"/>
      <c r="G113" s="117"/>
      <c r="H113" s="117"/>
      <c r="I113" s="117"/>
      <c r="J113" s="117"/>
      <c r="K113" s="117"/>
      <c r="L113" s="117"/>
      <c r="M113" s="173"/>
      <c r="N113" s="1"/>
    </row>
    <row r="114" spans="1:14">
      <c r="A114" s="163"/>
      <c r="B114" s="117"/>
      <c r="C114" s="117"/>
      <c r="D114" s="117"/>
      <c r="E114" s="117"/>
      <c r="F114" s="117"/>
      <c r="G114" s="117"/>
      <c r="H114" s="117"/>
      <c r="I114" s="117"/>
      <c r="J114" s="117"/>
      <c r="K114" s="117"/>
      <c r="L114" s="117"/>
      <c r="M114" s="173"/>
      <c r="N114" s="1"/>
    </row>
    <row r="115" spans="1:14">
      <c r="A115" s="163"/>
      <c r="B115" s="117"/>
      <c r="C115" s="117"/>
      <c r="D115" s="117"/>
      <c r="E115" s="117"/>
      <c r="F115" s="117"/>
      <c r="G115" s="117"/>
      <c r="H115" s="117"/>
      <c r="I115" s="117"/>
      <c r="J115" s="117"/>
      <c r="K115" s="117"/>
      <c r="L115" s="117"/>
      <c r="M115" s="173"/>
      <c r="N115" s="1"/>
    </row>
    <row r="116" spans="1:14">
      <c r="A116" s="163"/>
      <c r="B116" s="117"/>
      <c r="C116" s="117"/>
      <c r="D116" s="117"/>
      <c r="E116" s="117"/>
      <c r="F116" s="117"/>
      <c r="G116" s="117"/>
      <c r="H116" s="117"/>
      <c r="I116" s="117"/>
      <c r="J116" s="117"/>
      <c r="K116" s="117"/>
      <c r="L116" s="117"/>
      <c r="M116" s="173"/>
      <c r="N116" s="1"/>
    </row>
    <row r="117" spans="1:14">
      <c r="A117" s="163"/>
      <c r="B117" s="117"/>
      <c r="C117" s="117"/>
      <c r="D117" s="117"/>
      <c r="E117" s="117"/>
      <c r="F117" s="117"/>
      <c r="G117" s="117"/>
      <c r="H117" s="117"/>
      <c r="I117" s="117"/>
      <c r="J117" s="117"/>
      <c r="K117" s="117"/>
      <c r="L117" s="117"/>
      <c r="M117" s="173"/>
      <c r="N117" s="1"/>
    </row>
    <row r="118" spans="1:14">
      <c r="A118" s="163"/>
      <c r="B118" s="117"/>
      <c r="C118" s="117"/>
      <c r="D118" s="117"/>
      <c r="E118" s="117"/>
      <c r="F118" s="117"/>
      <c r="G118" s="117"/>
      <c r="H118" s="117"/>
      <c r="I118" s="117"/>
      <c r="J118" s="117"/>
      <c r="K118" s="117"/>
      <c r="L118" s="117"/>
      <c r="M118" s="173"/>
      <c r="N118" s="1"/>
    </row>
    <row r="119" spans="1:14">
      <c r="A119" s="163"/>
      <c r="B119" s="117"/>
      <c r="C119" s="117"/>
      <c r="D119" s="117"/>
      <c r="E119" s="117"/>
      <c r="F119" s="117"/>
      <c r="G119" s="117"/>
      <c r="H119" s="117"/>
      <c r="I119" s="117"/>
      <c r="J119" s="117"/>
      <c r="K119" s="117"/>
      <c r="L119" s="117"/>
      <c r="M119" s="173"/>
      <c r="N119" s="1"/>
    </row>
    <row r="120" spans="1:14">
      <c r="A120" s="163"/>
      <c r="B120" s="117"/>
      <c r="C120" s="117"/>
      <c r="D120" s="117"/>
      <c r="E120" s="117"/>
      <c r="F120" s="117"/>
      <c r="G120" s="117"/>
      <c r="H120" s="117"/>
      <c r="I120" s="117"/>
      <c r="J120" s="117"/>
      <c r="K120" s="117"/>
      <c r="L120" s="117"/>
      <c r="M120" s="173"/>
      <c r="N120" s="1"/>
    </row>
    <row r="121" spans="1:14">
      <c r="A121" s="163"/>
      <c r="B121" s="117"/>
      <c r="C121" s="117"/>
      <c r="D121" s="117"/>
      <c r="E121" s="117"/>
      <c r="F121" s="117"/>
      <c r="G121" s="117"/>
      <c r="H121" s="117"/>
      <c r="I121" s="117"/>
      <c r="J121" s="117"/>
      <c r="K121" s="117"/>
      <c r="L121" s="117"/>
      <c r="M121" s="173"/>
      <c r="N121" s="1"/>
    </row>
    <row r="122" spans="1:14">
      <c r="A122" s="163"/>
      <c r="B122" s="117"/>
      <c r="C122" s="117"/>
      <c r="D122" s="117"/>
      <c r="E122" s="117"/>
      <c r="F122" s="117"/>
      <c r="G122" s="117"/>
      <c r="H122" s="117"/>
      <c r="I122" s="117"/>
      <c r="J122" s="117"/>
      <c r="K122" s="117"/>
      <c r="L122" s="117"/>
      <c r="M122" s="173"/>
      <c r="N122" s="1"/>
    </row>
    <row r="123" spans="1:14">
      <c r="A123" s="163"/>
      <c r="B123" s="117"/>
      <c r="C123" s="117"/>
      <c r="D123" s="117"/>
      <c r="E123" s="117"/>
      <c r="F123" s="117"/>
      <c r="G123" s="117"/>
      <c r="H123" s="117"/>
      <c r="I123" s="117"/>
      <c r="J123" s="117"/>
      <c r="K123" s="117"/>
      <c r="L123" s="117"/>
      <c r="M123" s="173"/>
      <c r="N123" s="1"/>
    </row>
    <row r="124" spans="1:14">
      <c r="A124" s="163"/>
      <c r="B124" s="117"/>
      <c r="C124" s="117"/>
      <c r="D124" s="117"/>
      <c r="E124" s="117"/>
      <c r="F124" s="117"/>
      <c r="G124" s="117"/>
      <c r="H124" s="117"/>
      <c r="I124" s="117"/>
      <c r="J124" s="117"/>
      <c r="K124" s="117"/>
      <c r="L124" s="117"/>
      <c r="M124" s="173"/>
      <c r="N124" s="1"/>
    </row>
    <row r="125" spans="1:14">
      <c r="A125" s="163"/>
      <c r="B125" s="117"/>
      <c r="C125" s="117"/>
      <c r="D125" s="117"/>
      <c r="E125" s="117"/>
      <c r="F125" s="117"/>
      <c r="G125" s="117"/>
      <c r="H125" s="117"/>
      <c r="I125" s="117"/>
      <c r="J125" s="117"/>
      <c r="K125" s="117"/>
      <c r="L125" s="117"/>
      <c r="M125" s="173"/>
      <c r="N125" s="1"/>
    </row>
    <row r="126" spans="1:14">
      <c r="A126" s="163"/>
      <c r="B126" s="117"/>
      <c r="C126" s="117"/>
      <c r="D126" s="117"/>
      <c r="E126" s="117"/>
      <c r="F126" s="117"/>
      <c r="G126" s="117"/>
      <c r="H126" s="117"/>
      <c r="I126" s="117"/>
      <c r="J126" s="117"/>
      <c r="K126" s="117"/>
      <c r="L126" s="117"/>
      <c r="M126" s="173"/>
      <c r="N126" s="1"/>
    </row>
    <row r="127" spans="1:14">
      <c r="A127" s="163"/>
      <c r="B127" s="117"/>
      <c r="C127" s="117"/>
      <c r="D127" s="117"/>
      <c r="E127" s="117"/>
      <c r="F127" s="117"/>
      <c r="G127" s="117"/>
      <c r="H127" s="117"/>
      <c r="I127" s="117"/>
      <c r="J127" s="117"/>
      <c r="K127" s="117"/>
      <c r="L127" s="117"/>
      <c r="M127" s="173"/>
      <c r="N127" s="1"/>
    </row>
    <row r="128" spans="1:14">
      <c r="A128" s="163"/>
      <c r="B128" s="117"/>
      <c r="C128" s="117"/>
      <c r="D128" s="117"/>
      <c r="E128" s="117"/>
      <c r="F128" s="117"/>
      <c r="G128" s="117"/>
      <c r="H128" s="117"/>
      <c r="I128" s="117"/>
      <c r="J128" s="117"/>
      <c r="K128" s="117"/>
      <c r="L128" s="117"/>
      <c r="M128" s="173"/>
      <c r="N128" s="1"/>
    </row>
    <row r="129" spans="1:14">
      <c r="A129" s="163"/>
      <c r="B129" s="117"/>
      <c r="C129" s="117"/>
      <c r="D129" s="117"/>
      <c r="E129" s="117"/>
      <c r="F129" s="117"/>
      <c r="G129" s="117"/>
      <c r="H129" s="117"/>
      <c r="I129" s="117"/>
      <c r="J129" s="117"/>
      <c r="K129" s="117"/>
      <c r="L129" s="117"/>
      <c r="M129" s="173"/>
      <c r="N129" s="1"/>
    </row>
    <row r="130" spans="1:14">
      <c r="B130" s="1"/>
      <c r="C130" s="1"/>
      <c r="D130" s="1"/>
      <c r="E130" s="1"/>
      <c r="F130" s="1"/>
      <c r="G130" s="1"/>
      <c r="H130" s="1"/>
      <c r="I130" s="1"/>
      <c r="J130" s="1"/>
      <c r="K130" s="1"/>
      <c r="L130" s="1"/>
      <c r="M130" s="173"/>
      <c r="N130" s="1"/>
    </row>
    <row r="131" spans="1:14">
      <c r="B131" s="1"/>
      <c r="C131" s="1"/>
      <c r="D131" s="1"/>
      <c r="E131" s="1"/>
      <c r="F131" s="1"/>
      <c r="G131" s="1"/>
      <c r="H131" s="1"/>
      <c r="I131" s="1"/>
      <c r="J131" s="1"/>
      <c r="K131" s="1"/>
      <c r="L131" s="1"/>
      <c r="M131" s="173"/>
      <c r="N131" s="1"/>
    </row>
    <row r="132" spans="1:14">
      <c r="B132" s="1"/>
      <c r="C132" s="1"/>
      <c r="D132" s="1"/>
      <c r="E132" s="1"/>
      <c r="F132" s="1"/>
      <c r="G132" s="1"/>
      <c r="H132" s="1"/>
      <c r="I132" s="1"/>
      <c r="J132" s="1"/>
      <c r="K132" s="1"/>
      <c r="L132" s="1"/>
      <c r="M132" s="173"/>
      <c r="N132" s="1"/>
    </row>
    <row r="133" spans="1:14">
      <c r="B133" s="1"/>
      <c r="C133" s="1"/>
      <c r="D133" s="1"/>
      <c r="E133" s="1"/>
      <c r="F133" s="1"/>
      <c r="G133" s="1"/>
      <c r="H133" s="1"/>
      <c r="I133" s="1"/>
      <c r="J133" s="1"/>
      <c r="K133" s="1"/>
      <c r="L133" s="1"/>
      <c r="M133" s="173"/>
      <c r="N133" s="1"/>
    </row>
    <row r="134" spans="1:14">
      <c r="B134" s="1"/>
      <c r="C134" s="1"/>
      <c r="D134" s="1"/>
      <c r="E134" s="1"/>
      <c r="F134" s="1"/>
      <c r="G134" s="1"/>
      <c r="H134" s="1"/>
      <c r="I134" s="1"/>
      <c r="J134" s="1"/>
      <c r="K134" s="1"/>
      <c r="L134" s="1"/>
      <c r="M134" s="173"/>
      <c r="N134" s="1"/>
    </row>
    <row r="135" spans="1:14">
      <c r="B135" s="1"/>
      <c r="C135" s="1"/>
      <c r="D135" s="1"/>
      <c r="E135" s="1"/>
      <c r="F135" s="1"/>
      <c r="G135" s="1"/>
      <c r="H135" s="1"/>
      <c r="I135" s="1"/>
      <c r="J135" s="1"/>
      <c r="K135" s="1"/>
      <c r="L135" s="1"/>
      <c r="M135" s="173"/>
      <c r="N135" s="1"/>
    </row>
    <row r="136" spans="1:14">
      <c r="B136" s="1"/>
      <c r="C136" s="1"/>
      <c r="D136" s="1"/>
      <c r="E136" s="1"/>
      <c r="F136" s="1"/>
      <c r="G136" s="1"/>
      <c r="H136" s="1"/>
      <c r="I136" s="1"/>
      <c r="J136" s="1"/>
      <c r="K136" s="1"/>
      <c r="L136" s="1"/>
      <c r="M136" s="173"/>
      <c r="N136" s="1"/>
    </row>
    <row r="137" spans="1:14">
      <c r="B137" s="1"/>
      <c r="C137" s="1"/>
      <c r="D137" s="1"/>
      <c r="E137" s="1"/>
      <c r="F137" s="1"/>
      <c r="G137" s="1"/>
      <c r="H137" s="1"/>
      <c r="I137" s="1"/>
      <c r="J137" s="1"/>
      <c r="K137" s="1"/>
      <c r="L137" s="1"/>
      <c r="M137" s="173"/>
      <c r="N137" s="1"/>
    </row>
    <row r="138" spans="1:14">
      <c r="B138" s="1"/>
      <c r="C138" s="1"/>
      <c r="D138" s="1"/>
      <c r="E138" s="1"/>
      <c r="F138" s="1"/>
      <c r="G138" s="1"/>
      <c r="H138" s="1"/>
      <c r="I138" s="1"/>
      <c r="J138" s="1"/>
      <c r="K138" s="1"/>
      <c r="L138" s="1"/>
      <c r="M138" s="173"/>
      <c r="N138" s="1"/>
    </row>
    <row r="139" spans="1:14">
      <c r="B139" s="1"/>
      <c r="C139" s="1"/>
      <c r="D139" s="1"/>
      <c r="E139" s="1"/>
      <c r="F139" s="1"/>
      <c r="G139" s="1"/>
      <c r="H139" s="1"/>
      <c r="I139" s="1"/>
      <c r="J139" s="1"/>
      <c r="K139" s="1"/>
      <c r="L139" s="1"/>
      <c r="M139" s="173"/>
      <c r="N139" s="1"/>
    </row>
    <row r="140" spans="1:14">
      <c r="B140" s="1"/>
      <c r="C140" s="1"/>
      <c r="D140" s="1"/>
      <c r="E140" s="1"/>
      <c r="F140" s="1"/>
      <c r="G140" s="1"/>
      <c r="H140" s="1"/>
      <c r="I140" s="1"/>
      <c r="J140" s="1"/>
      <c r="K140" s="1"/>
      <c r="L140" s="1"/>
      <c r="M140" s="173"/>
      <c r="N140" s="1"/>
    </row>
    <row r="141" spans="1:14">
      <c r="B141" s="1"/>
      <c r="C141" s="1"/>
      <c r="D141" s="1"/>
      <c r="E141" s="1"/>
      <c r="F141" s="1"/>
      <c r="G141" s="1"/>
      <c r="H141" s="1"/>
      <c r="I141" s="1"/>
      <c r="J141" s="1"/>
      <c r="K141" s="1"/>
      <c r="L141" s="1"/>
      <c r="M141" s="173"/>
      <c r="N141" s="1"/>
    </row>
    <row r="142" spans="1:14">
      <c r="B142" s="1"/>
      <c r="C142" s="1"/>
      <c r="D142" s="1"/>
      <c r="E142" s="1"/>
      <c r="F142" s="1"/>
      <c r="G142" s="1"/>
      <c r="H142" s="1"/>
      <c r="I142" s="1"/>
      <c r="J142" s="1"/>
      <c r="K142" s="1"/>
      <c r="L142" s="1"/>
      <c r="M142" s="173"/>
      <c r="N142" s="1"/>
    </row>
    <row r="143" spans="1:14">
      <c r="B143" s="1"/>
      <c r="C143" s="1"/>
      <c r="D143" s="1"/>
      <c r="E143" s="1"/>
      <c r="F143" s="1"/>
      <c r="G143" s="1"/>
      <c r="H143" s="1"/>
      <c r="I143" s="1"/>
      <c r="J143" s="1"/>
      <c r="K143" s="1"/>
      <c r="L143" s="1"/>
      <c r="M143" s="173"/>
      <c r="N143" s="1"/>
    </row>
    <row r="144" spans="1:14">
      <c r="B144" s="1"/>
      <c r="C144" s="1"/>
      <c r="D144" s="1"/>
      <c r="E144" s="1"/>
      <c r="F144" s="1"/>
      <c r="G144" s="1"/>
      <c r="H144" s="1"/>
      <c r="I144" s="1"/>
      <c r="J144" s="1"/>
      <c r="K144" s="1"/>
      <c r="L144" s="1"/>
      <c r="M144" s="173"/>
      <c r="N144" s="1"/>
    </row>
    <row r="145" spans="2:14">
      <c r="B145" s="1"/>
      <c r="C145" s="1"/>
      <c r="D145" s="1"/>
      <c r="E145" s="1"/>
      <c r="F145" s="1"/>
      <c r="G145" s="1"/>
      <c r="H145" s="1"/>
      <c r="I145" s="1"/>
      <c r="J145" s="1"/>
      <c r="K145" s="1"/>
      <c r="L145" s="1"/>
      <c r="M145" s="173"/>
      <c r="N145" s="1"/>
    </row>
    <row r="146" spans="2:14">
      <c r="B146" s="1"/>
      <c r="C146" s="1"/>
      <c r="D146" s="1"/>
      <c r="E146" s="1"/>
      <c r="F146" s="1"/>
      <c r="G146" s="1"/>
      <c r="H146" s="1"/>
      <c r="I146" s="1"/>
      <c r="J146" s="1"/>
      <c r="K146" s="1"/>
      <c r="L146" s="1"/>
      <c r="M146" s="173"/>
      <c r="N146" s="1"/>
    </row>
    <row r="147" spans="2:14">
      <c r="B147" s="1"/>
      <c r="C147" s="1"/>
      <c r="D147" s="1"/>
      <c r="E147" s="1"/>
      <c r="F147" s="1"/>
      <c r="G147" s="1"/>
      <c r="H147" s="1"/>
      <c r="I147" s="1"/>
      <c r="J147" s="1"/>
      <c r="K147" s="1"/>
      <c r="L147" s="1"/>
      <c r="M147" s="173"/>
      <c r="N147" s="1"/>
    </row>
    <row r="148" spans="2:14">
      <c r="B148" s="1"/>
      <c r="C148" s="1"/>
      <c r="D148" s="1"/>
      <c r="E148" s="1"/>
      <c r="F148" s="1"/>
      <c r="G148" s="1"/>
      <c r="H148" s="1"/>
      <c r="I148" s="1"/>
      <c r="J148" s="1"/>
      <c r="K148" s="1"/>
      <c r="L148" s="1"/>
      <c r="M148" s="173"/>
      <c r="N148" s="1"/>
    </row>
    <row r="149" spans="2:14">
      <c r="B149" s="1"/>
      <c r="C149" s="1"/>
      <c r="D149" s="1"/>
      <c r="E149" s="1"/>
      <c r="F149" s="1"/>
      <c r="G149" s="1"/>
      <c r="H149" s="1"/>
      <c r="I149" s="1"/>
      <c r="J149" s="1"/>
      <c r="K149" s="1"/>
      <c r="L149" s="1"/>
      <c r="M149" s="173"/>
      <c r="N149" s="1"/>
    </row>
    <row r="150" spans="2:14">
      <c r="B150" s="1"/>
      <c r="C150" s="1"/>
      <c r="D150" s="1"/>
      <c r="E150" s="1"/>
      <c r="F150" s="1"/>
      <c r="G150" s="1"/>
      <c r="H150" s="1"/>
      <c r="I150" s="1"/>
      <c r="J150" s="1"/>
      <c r="K150" s="1"/>
      <c r="L150" s="1"/>
      <c r="M150" s="173"/>
      <c r="N150" s="1"/>
    </row>
    <row r="151" spans="2:14">
      <c r="B151" s="1"/>
      <c r="C151" s="1"/>
      <c r="D151" s="1"/>
      <c r="E151" s="1"/>
      <c r="F151" s="1"/>
      <c r="G151" s="1"/>
      <c r="H151" s="1"/>
      <c r="I151" s="1"/>
      <c r="J151" s="1"/>
      <c r="K151" s="1"/>
      <c r="L151" s="1"/>
      <c r="M151" s="173"/>
      <c r="N151" s="1"/>
    </row>
    <row r="152" spans="2:14">
      <c r="B152" s="1"/>
      <c r="C152" s="1"/>
      <c r="D152" s="1"/>
      <c r="E152" s="1"/>
      <c r="F152" s="1"/>
      <c r="G152" s="1"/>
      <c r="H152" s="1"/>
      <c r="I152" s="1"/>
      <c r="J152" s="1"/>
      <c r="K152" s="1"/>
      <c r="L152" s="1"/>
      <c r="M152" s="173"/>
      <c r="N152" s="1"/>
    </row>
    <row r="153" spans="2:14">
      <c r="B153" s="1"/>
      <c r="C153" s="1"/>
      <c r="D153" s="1"/>
      <c r="E153" s="1"/>
      <c r="F153" s="1"/>
      <c r="G153" s="1"/>
      <c r="H153" s="1"/>
      <c r="I153" s="1"/>
      <c r="J153" s="1"/>
      <c r="K153" s="1"/>
      <c r="L153" s="1"/>
      <c r="M153" s="173"/>
      <c r="N153" s="1"/>
    </row>
    <row r="154" spans="2:14">
      <c r="B154" s="1"/>
      <c r="C154" s="1"/>
      <c r="D154" s="1"/>
      <c r="E154" s="1"/>
      <c r="F154" s="1"/>
      <c r="G154" s="1"/>
      <c r="H154" s="1"/>
      <c r="I154" s="1"/>
      <c r="J154" s="1"/>
      <c r="K154" s="1"/>
      <c r="L154" s="1"/>
      <c r="M154" s="173"/>
      <c r="N154" s="1"/>
    </row>
    <row r="155" spans="2:14">
      <c r="B155" s="1"/>
      <c r="C155" s="1"/>
      <c r="D155" s="1"/>
      <c r="E155" s="1"/>
      <c r="F155" s="1"/>
      <c r="G155" s="1"/>
      <c r="H155" s="1"/>
      <c r="I155" s="1"/>
      <c r="J155" s="1"/>
      <c r="K155" s="1"/>
      <c r="L155" s="1"/>
      <c r="M155" s="173"/>
      <c r="N155" s="1"/>
    </row>
    <row r="156" spans="2:14">
      <c r="B156" s="1"/>
      <c r="C156" s="1"/>
      <c r="D156" s="1"/>
      <c r="E156" s="1"/>
      <c r="F156" s="1"/>
      <c r="G156" s="1"/>
      <c r="H156" s="1"/>
      <c r="I156" s="1"/>
      <c r="J156" s="1"/>
      <c r="K156" s="1"/>
      <c r="L156" s="1"/>
      <c r="M156" s="173"/>
      <c r="N156" s="1"/>
    </row>
    <row r="157" spans="2:14">
      <c r="B157" s="1"/>
      <c r="C157" s="1"/>
      <c r="D157" s="1"/>
      <c r="E157" s="1"/>
      <c r="F157" s="1"/>
      <c r="G157" s="1"/>
      <c r="H157" s="1"/>
      <c r="I157" s="1"/>
      <c r="J157" s="1"/>
      <c r="K157" s="1"/>
      <c r="L157" s="1"/>
      <c r="M157" s="173"/>
      <c r="N157" s="1"/>
    </row>
    <row r="158" spans="2:14">
      <c r="B158" s="1"/>
      <c r="C158" s="1"/>
      <c r="D158" s="1"/>
      <c r="E158" s="1"/>
      <c r="F158" s="1"/>
      <c r="G158" s="1"/>
      <c r="H158" s="1"/>
      <c r="I158" s="1"/>
      <c r="J158" s="1"/>
      <c r="K158" s="1"/>
      <c r="L158" s="1"/>
      <c r="M158" s="173"/>
      <c r="N158" s="1"/>
    </row>
    <row r="159" spans="2:14">
      <c r="B159" s="1"/>
      <c r="C159" s="1"/>
      <c r="D159" s="1"/>
      <c r="E159" s="1"/>
      <c r="F159" s="1"/>
      <c r="G159" s="1"/>
      <c r="H159" s="1"/>
      <c r="I159" s="1"/>
      <c r="J159" s="1"/>
      <c r="K159" s="1"/>
      <c r="L159" s="1"/>
      <c r="M159" s="173"/>
      <c r="N159" s="1"/>
    </row>
    <row r="160" spans="2:14">
      <c r="B160" s="1"/>
      <c r="C160" s="1"/>
      <c r="D160" s="1"/>
      <c r="E160" s="1"/>
      <c r="F160" s="1"/>
      <c r="G160" s="1"/>
      <c r="H160" s="1"/>
      <c r="I160" s="1"/>
      <c r="J160" s="1"/>
      <c r="K160" s="1"/>
      <c r="L160" s="1"/>
      <c r="M160" s="173"/>
      <c r="N160" s="1"/>
    </row>
    <row r="161" spans="2:14">
      <c r="B161" s="1"/>
      <c r="C161" s="1"/>
      <c r="D161" s="1"/>
      <c r="E161" s="1"/>
      <c r="F161" s="1"/>
      <c r="G161" s="1"/>
      <c r="H161" s="1"/>
      <c r="I161" s="1"/>
      <c r="J161" s="1"/>
      <c r="K161" s="1"/>
      <c r="L161" s="1"/>
      <c r="M161" s="173"/>
      <c r="N161" s="1"/>
    </row>
    <row r="162" spans="2:14">
      <c r="B162" s="1"/>
      <c r="C162" s="1"/>
      <c r="D162" s="1"/>
      <c r="E162" s="1"/>
      <c r="F162" s="1"/>
      <c r="G162" s="1"/>
      <c r="H162" s="1"/>
      <c r="I162" s="1"/>
      <c r="J162" s="1"/>
      <c r="K162" s="1"/>
      <c r="L162" s="1"/>
      <c r="M162" s="173"/>
      <c r="N162" s="1"/>
    </row>
    <row r="163" spans="2:14">
      <c r="B163" s="1"/>
      <c r="C163" s="1"/>
      <c r="D163" s="1"/>
      <c r="E163" s="1"/>
      <c r="F163" s="1"/>
      <c r="G163" s="1"/>
      <c r="H163" s="1"/>
      <c r="I163" s="1"/>
      <c r="J163" s="1"/>
      <c r="K163" s="1"/>
      <c r="L163" s="1"/>
      <c r="M163" s="173"/>
      <c r="N163" s="1"/>
    </row>
    <row r="164" spans="2:14">
      <c r="B164" s="1"/>
      <c r="C164" s="1"/>
      <c r="D164" s="1"/>
      <c r="E164" s="1"/>
      <c r="F164" s="1"/>
      <c r="G164" s="1"/>
      <c r="H164" s="1"/>
      <c r="I164" s="1"/>
      <c r="J164" s="1"/>
      <c r="K164" s="1"/>
      <c r="L164" s="1"/>
      <c r="M164" s="173"/>
      <c r="N164" s="1"/>
    </row>
    <row r="165" spans="2:14">
      <c r="B165" s="1"/>
      <c r="C165" s="1"/>
      <c r="D165" s="1"/>
      <c r="E165" s="1"/>
      <c r="F165" s="1"/>
      <c r="G165" s="1"/>
      <c r="H165" s="1"/>
      <c r="I165" s="1"/>
      <c r="J165" s="1"/>
      <c r="K165" s="1"/>
      <c r="L165" s="1"/>
      <c r="M165" s="173"/>
      <c r="N165" s="1"/>
    </row>
    <row r="166" spans="2:14">
      <c r="B166" s="1"/>
      <c r="C166" s="1"/>
      <c r="D166" s="1"/>
      <c r="E166" s="1"/>
      <c r="F166" s="1"/>
      <c r="G166" s="1"/>
      <c r="H166" s="1"/>
      <c r="I166" s="1"/>
      <c r="J166" s="1"/>
      <c r="K166" s="1"/>
      <c r="L166" s="1"/>
      <c r="M166" s="173"/>
      <c r="N166" s="1"/>
    </row>
    <row r="167" spans="2:14">
      <c r="B167" s="1"/>
      <c r="C167" s="1"/>
      <c r="D167" s="1"/>
      <c r="E167" s="1"/>
      <c r="F167" s="1"/>
      <c r="G167" s="1"/>
      <c r="H167" s="1"/>
      <c r="I167" s="1"/>
      <c r="J167" s="1"/>
      <c r="K167" s="1"/>
      <c r="L167" s="1"/>
      <c r="M167" s="173"/>
      <c r="N167" s="1"/>
    </row>
    <row r="168" spans="2:14">
      <c r="B168" s="1"/>
      <c r="C168" s="1"/>
      <c r="D168" s="1"/>
      <c r="E168" s="1"/>
      <c r="F168" s="1"/>
      <c r="G168" s="1"/>
      <c r="H168" s="1"/>
      <c r="I168" s="1"/>
      <c r="J168" s="1"/>
      <c r="K168" s="1"/>
      <c r="L168" s="1"/>
      <c r="M168" s="173"/>
      <c r="N168" s="1"/>
    </row>
    <row r="169" spans="2:14">
      <c r="B169" s="1"/>
      <c r="C169" s="1"/>
      <c r="D169" s="1"/>
      <c r="E169" s="1"/>
      <c r="F169" s="1"/>
      <c r="G169" s="1"/>
      <c r="H169" s="1"/>
      <c r="I169" s="1"/>
      <c r="J169" s="1"/>
      <c r="K169" s="1"/>
      <c r="L169" s="1"/>
      <c r="M169" s="173"/>
      <c r="N169" s="1"/>
    </row>
    <row r="170" spans="2:14">
      <c r="B170" s="1"/>
      <c r="C170" s="1"/>
      <c r="D170" s="1"/>
      <c r="E170" s="1"/>
      <c r="F170" s="1"/>
      <c r="G170" s="1"/>
      <c r="H170" s="1"/>
      <c r="I170" s="1"/>
      <c r="J170" s="1"/>
      <c r="K170" s="1"/>
      <c r="L170" s="1"/>
      <c r="M170" s="173"/>
      <c r="N170" s="1"/>
    </row>
    <row r="171" spans="2:14">
      <c r="B171" s="1"/>
      <c r="C171" s="1"/>
      <c r="D171" s="1"/>
      <c r="E171" s="1"/>
      <c r="F171" s="1"/>
      <c r="G171" s="1"/>
      <c r="H171" s="1"/>
      <c r="I171" s="1"/>
      <c r="J171" s="1"/>
      <c r="K171" s="1"/>
      <c r="L171" s="1"/>
      <c r="M171" s="173"/>
      <c r="N171" s="1"/>
    </row>
    <row r="172" spans="2:14">
      <c r="B172" s="1"/>
      <c r="C172" s="1"/>
      <c r="D172" s="1"/>
      <c r="E172" s="1"/>
      <c r="F172" s="1"/>
      <c r="G172" s="1"/>
      <c r="H172" s="1"/>
      <c r="I172" s="1"/>
      <c r="J172" s="1"/>
      <c r="K172" s="1"/>
      <c r="L172" s="1"/>
      <c r="M172" s="173"/>
      <c r="N172" s="1"/>
    </row>
    <row r="173" spans="2:14">
      <c r="B173" s="1"/>
      <c r="C173" s="1"/>
      <c r="D173" s="1"/>
      <c r="E173" s="1"/>
      <c r="F173" s="1"/>
      <c r="G173" s="1"/>
      <c r="H173" s="1"/>
      <c r="I173" s="1"/>
      <c r="J173" s="1"/>
      <c r="K173" s="1"/>
      <c r="L173" s="1"/>
      <c r="M173" s="173"/>
      <c r="N173" s="1"/>
    </row>
    <row r="174" spans="2:14">
      <c r="B174" s="1"/>
      <c r="C174" s="1"/>
      <c r="D174" s="1"/>
      <c r="E174" s="1"/>
      <c r="F174" s="1"/>
      <c r="G174" s="1"/>
      <c r="H174" s="1"/>
      <c r="I174" s="1"/>
      <c r="J174" s="1"/>
      <c r="K174" s="1"/>
      <c r="L174" s="1"/>
      <c r="M174" s="173"/>
      <c r="N174" s="1"/>
    </row>
    <row r="175" spans="2:14">
      <c r="B175" s="1"/>
      <c r="C175" s="1"/>
      <c r="D175" s="1"/>
      <c r="E175" s="1"/>
      <c r="F175" s="1"/>
      <c r="G175" s="1"/>
      <c r="H175" s="1"/>
      <c r="I175" s="1"/>
      <c r="J175" s="1"/>
      <c r="K175" s="1"/>
      <c r="L175" s="1"/>
      <c r="M175" s="173"/>
      <c r="N175" s="1"/>
    </row>
    <row r="176" spans="2:14">
      <c r="B176" s="1"/>
      <c r="C176" s="1"/>
      <c r="D176" s="1"/>
      <c r="E176" s="1"/>
      <c r="F176" s="1"/>
      <c r="G176" s="1"/>
      <c r="H176" s="1"/>
      <c r="I176" s="1"/>
      <c r="J176" s="1"/>
      <c r="K176" s="1"/>
      <c r="L176" s="1"/>
      <c r="M176" s="173"/>
      <c r="N176" s="1"/>
    </row>
    <row r="177" spans="2:14">
      <c r="B177" s="1"/>
      <c r="C177" s="1"/>
      <c r="D177" s="1"/>
      <c r="E177" s="1"/>
      <c r="F177" s="1"/>
      <c r="G177" s="1"/>
      <c r="H177" s="1"/>
      <c r="I177" s="1"/>
      <c r="J177" s="1"/>
      <c r="K177" s="1"/>
      <c r="L177" s="1"/>
      <c r="M177" s="173"/>
      <c r="N177" s="1"/>
    </row>
    <row r="178" spans="2:14">
      <c r="B178" s="1"/>
      <c r="C178" s="1"/>
      <c r="D178" s="1"/>
      <c r="E178" s="1"/>
      <c r="F178" s="1"/>
      <c r="G178" s="1"/>
      <c r="H178" s="1"/>
      <c r="I178" s="1"/>
      <c r="J178" s="1"/>
      <c r="K178" s="1"/>
      <c r="L178" s="1"/>
      <c r="M178" s="173"/>
      <c r="N178" s="1"/>
    </row>
    <row r="179" spans="2:14">
      <c r="B179" s="1"/>
      <c r="C179" s="1"/>
      <c r="D179" s="1"/>
      <c r="E179" s="1"/>
      <c r="F179" s="1"/>
      <c r="G179" s="1"/>
      <c r="H179" s="1"/>
      <c r="I179" s="1"/>
      <c r="J179" s="1"/>
      <c r="K179" s="1"/>
      <c r="L179" s="1"/>
      <c r="M179" s="173"/>
      <c r="N179" s="1"/>
    </row>
    <row r="180" spans="2:14">
      <c r="B180" s="1"/>
      <c r="C180" s="1"/>
      <c r="D180" s="1"/>
      <c r="E180" s="1"/>
      <c r="F180" s="1"/>
      <c r="G180" s="1"/>
      <c r="H180" s="1"/>
      <c r="I180" s="1"/>
      <c r="J180" s="1"/>
      <c r="K180" s="1"/>
      <c r="L180" s="1"/>
      <c r="M180" s="173"/>
      <c r="N180" s="1"/>
    </row>
    <row r="181" spans="2:14">
      <c r="B181" s="1"/>
      <c r="C181" s="1"/>
      <c r="D181" s="1"/>
      <c r="E181" s="1"/>
      <c r="F181" s="1"/>
      <c r="G181" s="1"/>
      <c r="H181" s="1"/>
      <c r="I181" s="1"/>
      <c r="J181" s="1"/>
      <c r="K181" s="1"/>
      <c r="L181" s="1"/>
      <c r="M181" s="173"/>
      <c r="N181" s="1"/>
    </row>
    <row r="182" spans="2:14">
      <c r="B182" s="1"/>
      <c r="C182" s="1"/>
      <c r="D182" s="1"/>
      <c r="E182" s="1"/>
      <c r="F182" s="1"/>
      <c r="G182" s="1"/>
      <c r="H182" s="1"/>
      <c r="I182" s="1"/>
      <c r="J182" s="1"/>
      <c r="K182" s="1"/>
      <c r="L182" s="1"/>
      <c r="M182" s="173"/>
      <c r="N182" s="1"/>
    </row>
    <row r="183" spans="2:14">
      <c r="B183" s="1"/>
      <c r="C183" s="1"/>
      <c r="D183" s="1"/>
      <c r="E183" s="1"/>
      <c r="F183" s="1"/>
      <c r="G183" s="1"/>
      <c r="H183" s="1"/>
      <c r="I183" s="1"/>
      <c r="J183" s="1"/>
      <c r="K183" s="1"/>
      <c r="L183" s="1"/>
      <c r="M183" s="173"/>
      <c r="N183" s="1"/>
    </row>
    <row r="184" spans="2:14">
      <c r="B184" s="1"/>
      <c r="C184" s="1"/>
      <c r="D184" s="1"/>
      <c r="E184" s="1"/>
      <c r="F184" s="1"/>
      <c r="G184" s="1"/>
      <c r="H184" s="1"/>
      <c r="I184" s="1"/>
      <c r="J184" s="1"/>
      <c r="K184" s="1"/>
      <c r="L184" s="1"/>
      <c r="M184" s="173"/>
      <c r="N184" s="1"/>
    </row>
    <row r="185" spans="2:14">
      <c r="B185" s="1"/>
      <c r="C185" s="1"/>
      <c r="D185" s="1"/>
      <c r="E185" s="1"/>
      <c r="F185" s="1"/>
      <c r="G185" s="1"/>
      <c r="H185" s="1"/>
      <c r="I185" s="1"/>
      <c r="J185" s="1"/>
      <c r="K185" s="1"/>
      <c r="L185" s="1"/>
      <c r="M185" s="173"/>
      <c r="N185" s="1"/>
    </row>
    <row r="186" spans="2:14">
      <c r="B186" s="1"/>
      <c r="C186" s="1"/>
      <c r="D186" s="1"/>
      <c r="E186" s="1"/>
      <c r="F186" s="1"/>
      <c r="G186" s="1"/>
      <c r="H186" s="1"/>
      <c r="I186" s="1"/>
      <c r="J186" s="1"/>
      <c r="K186" s="1"/>
      <c r="L186" s="1"/>
      <c r="M186" s="173"/>
      <c r="N186" s="1"/>
    </row>
    <row r="187" spans="2:14">
      <c r="B187" s="1"/>
      <c r="C187" s="1"/>
      <c r="D187" s="1"/>
      <c r="E187" s="1"/>
      <c r="F187" s="1"/>
      <c r="G187" s="1"/>
      <c r="H187" s="1"/>
      <c r="I187" s="1"/>
      <c r="J187" s="1"/>
      <c r="K187" s="1"/>
      <c r="L187" s="1"/>
      <c r="M187" s="173"/>
      <c r="N187" s="1"/>
    </row>
    <row r="188" spans="2:14">
      <c r="B188" s="1"/>
      <c r="C188" s="1"/>
      <c r="D188" s="1"/>
      <c r="E188" s="1"/>
      <c r="F188" s="1"/>
      <c r="G188" s="1"/>
      <c r="H188" s="1"/>
      <c r="I188" s="1"/>
      <c r="J188" s="1"/>
      <c r="K188" s="1"/>
      <c r="L188" s="1"/>
      <c r="M188" s="173"/>
      <c r="N188" s="1"/>
    </row>
    <row r="189" spans="2:14">
      <c r="B189" s="1"/>
      <c r="C189" s="1"/>
      <c r="D189" s="1"/>
      <c r="E189" s="1"/>
      <c r="F189" s="1"/>
      <c r="G189" s="1"/>
      <c r="H189" s="1"/>
      <c r="I189" s="1"/>
      <c r="J189" s="1"/>
      <c r="K189" s="1"/>
      <c r="L189" s="1"/>
      <c r="M189" s="173"/>
      <c r="N189" s="1"/>
    </row>
  </sheetData>
  <mergeCells count="1">
    <mergeCell ref="J1:L1"/>
  </mergeCells>
  <pageMargins left="0.75" right="0.75" top="1" bottom="1" header="0.5" footer="0.5"/>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75"/>
  <sheetViews>
    <sheetView workbookViewId="0">
      <selection activeCell="N4" sqref="N4"/>
    </sheetView>
  </sheetViews>
  <sheetFormatPr defaultColWidth="11" defaultRowHeight="15.75"/>
  <cols>
    <col min="1" max="1" width="29.625" customWidth="1"/>
    <col min="2" max="2" width="15.125" bestFit="1" customWidth="1"/>
    <col min="3" max="9" width="12.5" bestFit="1" customWidth="1"/>
    <col min="10" max="12" width="13.875" customWidth="1"/>
  </cols>
  <sheetData>
    <row r="1" spans="1:14" ht="18.75">
      <c r="A1" s="37" t="s">
        <v>122</v>
      </c>
      <c r="J1" s="494" t="s">
        <v>215</v>
      </c>
      <c r="K1" s="494"/>
      <c r="L1" s="494"/>
    </row>
    <row r="2" spans="1:14">
      <c r="A2" s="2"/>
      <c r="B2" s="2">
        <v>2009</v>
      </c>
      <c r="C2" s="2">
        <v>2010</v>
      </c>
      <c r="D2" s="2">
        <v>2011</v>
      </c>
      <c r="E2" s="2">
        <v>2012</v>
      </c>
      <c r="F2" s="2">
        <v>2013</v>
      </c>
      <c r="G2" s="2">
        <v>2014</v>
      </c>
      <c r="H2" s="2">
        <v>2015</v>
      </c>
      <c r="I2" s="338">
        <v>2016</v>
      </c>
      <c r="J2" s="338">
        <v>2017</v>
      </c>
      <c r="K2" s="338">
        <v>2018</v>
      </c>
      <c r="L2" s="21">
        <v>2019</v>
      </c>
    </row>
    <row r="3" spans="1:14">
      <c r="A3" s="2"/>
      <c r="J3" s="495" t="s">
        <v>216</v>
      </c>
      <c r="K3" s="495"/>
      <c r="L3" s="495"/>
    </row>
    <row r="4" spans="1:14">
      <c r="A4" s="2"/>
      <c r="B4" s="2"/>
      <c r="C4" s="2"/>
      <c r="D4" s="2"/>
      <c r="E4" s="2"/>
      <c r="F4" s="2"/>
      <c r="G4" s="2"/>
      <c r="H4" s="2"/>
      <c r="I4" s="2"/>
      <c r="J4" s="26" t="s">
        <v>57</v>
      </c>
      <c r="K4" s="26" t="s">
        <v>52</v>
      </c>
      <c r="L4" s="26" t="s">
        <v>58</v>
      </c>
    </row>
    <row r="5" spans="1:14">
      <c r="A5" s="10" t="s">
        <v>45</v>
      </c>
      <c r="B5" s="68">
        <v>0</v>
      </c>
      <c r="C5" s="68">
        <v>0</v>
      </c>
      <c r="D5" s="68">
        <v>0</v>
      </c>
      <c r="E5" s="68">
        <v>0</v>
      </c>
      <c r="F5" s="68">
        <v>0</v>
      </c>
      <c r="G5" s="1">
        <v>0</v>
      </c>
      <c r="H5" s="68">
        <v>0</v>
      </c>
      <c r="I5" s="68">
        <v>0</v>
      </c>
      <c r="J5" s="68">
        <v>0</v>
      </c>
      <c r="K5" s="68">
        <v>0</v>
      </c>
      <c r="L5" s="68">
        <v>0</v>
      </c>
    </row>
    <row r="6" spans="1:14">
      <c r="A6" s="2"/>
      <c r="B6" s="2"/>
      <c r="C6" s="2"/>
      <c r="D6" s="2"/>
      <c r="E6" s="2"/>
      <c r="F6" s="2"/>
      <c r="G6" s="1"/>
      <c r="H6" s="2"/>
      <c r="I6" s="2"/>
      <c r="J6" s="2"/>
      <c r="K6" s="2"/>
      <c r="L6" s="2"/>
    </row>
    <row r="7" spans="1:14" ht="18.75">
      <c r="A7" s="93" t="s">
        <v>98</v>
      </c>
    </row>
    <row r="8" spans="1:14">
      <c r="A8" s="9" t="s">
        <v>100</v>
      </c>
      <c r="B8" s="1">
        <v>0</v>
      </c>
      <c r="C8" s="1">
        <v>0</v>
      </c>
      <c r="D8" s="1">
        <v>0</v>
      </c>
      <c r="E8" s="1">
        <v>0</v>
      </c>
      <c r="F8" s="1">
        <v>0</v>
      </c>
      <c r="G8" s="1">
        <v>0</v>
      </c>
      <c r="H8" s="1">
        <v>0</v>
      </c>
      <c r="I8" s="1">
        <v>0</v>
      </c>
      <c r="J8" s="1">
        <v>0</v>
      </c>
      <c r="K8" s="1">
        <v>0</v>
      </c>
      <c r="L8" s="1">
        <v>0</v>
      </c>
      <c r="M8" s="1"/>
      <c r="N8" s="1"/>
    </row>
    <row r="9" spans="1:14">
      <c r="A9" s="85" t="s">
        <v>93</v>
      </c>
      <c r="B9" s="1">
        <v>0</v>
      </c>
      <c r="C9" s="1">
        <v>0</v>
      </c>
      <c r="D9" s="1">
        <v>0</v>
      </c>
      <c r="E9" s="1">
        <v>0</v>
      </c>
      <c r="F9" s="1">
        <v>0</v>
      </c>
      <c r="G9" s="1">
        <v>0</v>
      </c>
      <c r="H9" s="1">
        <v>0</v>
      </c>
      <c r="I9" s="1">
        <v>0</v>
      </c>
      <c r="J9" s="1">
        <v>0</v>
      </c>
      <c r="K9" s="1">
        <v>0</v>
      </c>
      <c r="L9" s="1">
        <v>0</v>
      </c>
      <c r="M9" s="1"/>
      <c r="N9" s="1"/>
    </row>
    <row r="10" spans="1:14">
      <c r="A10" s="86" t="s">
        <v>101</v>
      </c>
      <c r="B10" s="1">
        <v>0</v>
      </c>
      <c r="C10" s="1">
        <v>0</v>
      </c>
      <c r="D10" s="1">
        <v>0</v>
      </c>
      <c r="E10" s="1">
        <v>0</v>
      </c>
      <c r="F10" s="1">
        <v>0</v>
      </c>
      <c r="G10" s="1">
        <v>0</v>
      </c>
      <c r="H10" s="1">
        <v>0</v>
      </c>
      <c r="I10" s="1">
        <v>0</v>
      </c>
      <c r="J10" s="1">
        <v>0</v>
      </c>
      <c r="K10" s="1">
        <v>0</v>
      </c>
      <c r="L10" s="1">
        <v>0</v>
      </c>
      <c r="M10" s="1"/>
      <c r="N10" s="1"/>
    </row>
    <row r="11" spans="1:14" ht="16.5" thickBot="1">
      <c r="A11" s="73" t="s">
        <v>83</v>
      </c>
      <c r="B11" s="38">
        <v>0</v>
      </c>
      <c r="C11" s="38">
        <v>0</v>
      </c>
      <c r="D11" s="38">
        <v>0</v>
      </c>
      <c r="E11" s="38">
        <v>0</v>
      </c>
      <c r="F11" s="38">
        <v>0</v>
      </c>
      <c r="G11" s="38">
        <v>0</v>
      </c>
      <c r="H11" s="38">
        <v>0</v>
      </c>
      <c r="I11" s="38">
        <v>0</v>
      </c>
      <c r="J11" s="38">
        <v>0</v>
      </c>
      <c r="K11" s="38">
        <v>0</v>
      </c>
      <c r="L11" s="38">
        <v>0</v>
      </c>
      <c r="M11" s="1"/>
      <c r="N11" s="1"/>
    </row>
    <row r="12" spans="1:14">
      <c r="A12" s="95" t="s">
        <v>108</v>
      </c>
      <c r="B12" s="1">
        <f t="shared" ref="B12:L12" si="0">SUM(B8:B11)</f>
        <v>0</v>
      </c>
      <c r="C12" s="1">
        <f t="shared" si="0"/>
        <v>0</v>
      </c>
      <c r="D12" s="1">
        <f t="shared" si="0"/>
        <v>0</v>
      </c>
      <c r="E12" s="1">
        <f t="shared" si="0"/>
        <v>0</v>
      </c>
      <c r="F12" s="1">
        <f t="shared" si="0"/>
        <v>0</v>
      </c>
      <c r="G12" s="1">
        <f t="shared" si="0"/>
        <v>0</v>
      </c>
      <c r="H12" s="1">
        <f t="shared" si="0"/>
        <v>0</v>
      </c>
      <c r="I12" s="1">
        <f t="shared" si="0"/>
        <v>0</v>
      </c>
      <c r="J12" s="1">
        <f t="shared" si="0"/>
        <v>0</v>
      </c>
      <c r="K12" s="1">
        <f t="shared" si="0"/>
        <v>0</v>
      </c>
      <c r="L12" s="1">
        <f t="shared" si="0"/>
        <v>0</v>
      </c>
    </row>
    <row r="14" spans="1:14">
      <c r="A14" s="88" t="s">
        <v>107</v>
      </c>
      <c r="B14" s="92">
        <v>0</v>
      </c>
      <c r="C14" s="92">
        <v>0</v>
      </c>
      <c r="D14" s="92">
        <v>0</v>
      </c>
      <c r="E14" s="92">
        <v>0</v>
      </c>
      <c r="F14" s="92">
        <v>0</v>
      </c>
      <c r="G14" s="92">
        <v>0</v>
      </c>
      <c r="H14" s="92">
        <v>0</v>
      </c>
      <c r="I14" s="92">
        <v>0</v>
      </c>
      <c r="J14" s="92">
        <v>0</v>
      </c>
      <c r="K14" s="92">
        <v>0</v>
      </c>
      <c r="L14" s="92">
        <v>0</v>
      </c>
    </row>
    <row r="15" spans="1:14">
      <c r="A15" s="88"/>
    </row>
    <row r="16" spans="1:14" s="9" customFormat="1">
      <c r="A16" s="89" t="s">
        <v>109</v>
      </c>
      <c r="B16" s="91">
        <f>B12+B14</f>
        <v>0</v>
      </c>
      <c r="C16" s="91">
        <f t="shared" ref="C16:L16" si="1">C12+C14</f>
        <v>0</v>
      </c>
      <c r="D16" s="91">
        <f t="shared" si="1"/>
        <v>0</v>
      </c>
      <c r="E16" s="91">
        <f t="shared" si="1"/>
        <v>0</v>
      </c>
      <c r="F16" s="91">
        <f t="shared" si="1"/>
        <v>0</v>
      </c>
      <c r="G16" s="91">
        <f t="shared" si="1"/>
        <v>0</v>
      </c>
      <c r="H16" s="91">
        <f t="shared" si="1"/>
        <v>0</v>
      </c>
      <c r="I16" s="91">
        <f t="shared" si="1"/>
        <v>0</v>
      </c>
      <c r="J16" s="91">
        <f t="shared" si="1"/>
        <v>0</v>
      </c>
      <c r="K16" s="91">
        <f t="shared" si="1"/>
        <v>0</v>
      </c>
      <c r="L16" s="91">
        <f t="shared" si="1"/>
        <v>0</v>
      </c>
    </row>
    <row r="18" spans="1:14" ht="18.75">
      <c r="A18" s="93" t="s">
        <v>105</v>
      </c>
    </row>
    <row r="19" spans="1:14">
      <c r="A19" s="9" t="s">
        <v>106</v>
      </c>
      <c r="B19" s="1"/>
      <c r="C19" s="1"/>
      <c r="D19" s="1"/>
      <c r="E19" s="1"/>
      <c r="F19" s="1"/>
      <c r="G19" s="1"/>
      <c r="H19" s="1"/>
      <c r="I19" s="1"/>
      <c r="J19" s="1"/>
      <c r="K19" s="1"/>
      <c r="L19" s="1"/>
      <c r="M19" s="1"/>
      <c r="N19" s="1"/>
    </row>
    <row r="20" spans="1:14">
      <c r="A20" s="40" t="s">
        <v>76</v>
      </c>
      <c r="B20" s="1">
        <v>0</v>
      </c>
      <c r="C20" s="1">
        <v>0</v>
      </c>
      <c r="D20" s="1">
        <v>0</v>
      </c>
      <c r="E20" s="1">
        <v>0</v>
      </c>
      <c r="F20" s="1">
        <v>0</v>
      </c>
      <c r="G20" s="1">
        <v>0</v>
      </c>
      <c r="H20" s="1">
        <v>0</v>
      </c>
      <c r="I20" s="1">
        <v>0</v>
      </c>
      <c r="J20" s="1">
        <v>0</v>
      </c>
      <c r="K20" s="1">
        <v>0</v>
      </c>
      <c r="L20" s="1">
        <v>0</v>
      </c>
      <c r="M20" s="1"/>
      <c r="N20" s="1"/>
    </row>
    <row r="21" spans="1:14">
      <c r="A21" s="40" t="s">
        <v>77</v>
      </c>
      <c r="B21" s="1">
        <v>0</v>
      </c>
      <c r="C21" s="1">
        <v>0</v>
      </c>
      <c r="D21" s="1">
        <v>0</v>
      </c>
      <c r="E21" s="1">
        <v>0</v>
      </c>
      <c r="F21" s="1">
        <v>0</v>
      </c>
      <c r="G21" s="1">
        <v>0</v>
      </c>
      <c r="H21" s="1">
        <v>0</v>
      </c>
      <c r="I21" s="1">
        <v>0</v>
      </c>
      <c r="J21" s="1">
        <v>0</v>
      </c>
      <c r="K21" s="1">
        <v>0</v>
      </c>
      <c r="L21" s="1">
        <v>0</v>
      </c>
      <c r="M21" s="1"/>
      <c r="N21" s="1"/>
    </row>
    <row r="22" spans="1:14">
      <c r="A22" s="40" t="s">
        <v>78</v>
      </c>
      <c r="B22" s="1">
        <v>0</v>
      </c>
      <c r="C22" s="1">
        <v>0</v>
      </c>
      <c r="D22" s="1">
        <v>0</v>
      </c>
      <c r="E22" s="1">
        <v>0</v>
      </c>
      <c r="F22" s="1">
        <v>0</v>
      </c>
      <c r="G22" s="1">
        <v>0</v>
      </c>
      <c r="H22" s="1">
        <v>0</v>
      </c>
      <c r="I22" s="1">
        <v>0</v>
      </c>
      <c r="J22" s="1">
        <v>0</v>
      </c>
      <c r="K22" s="1">
        <v>0</v>
      </c>
      <c r="L22" s="1">
        <v>0</v>
      </c>
      <c r="M22" s="1"/>
      <c r="N22" s="1"/>
    </row>
    <row r="23" spans="1:14">
      <c r="A23" s="40" t="s">
        <v>79</v>
      </c>
      <c r="B23" s="1">
        <v>0</v>
      </c>
      <c r="C23" s="1">
        <v>0</v>
      </c>
      <c r="D23" s="1">
        <v>0</v>
      </c>
      <c r="E23" s="1">
        <v>0</v>
      </c>
      <c r="F23" s="1">
        <v>0</v>
      </c>
      <c r="G23" s="1">
        <v>0</v>
      </c>
      <c r="H23" s="1">
        <v>0</v>
      </c>
      <c r="I23" s="1">
        <v>0</v>
      </c>
      <c r="J23" s="1">
        <v>0</v>
      </c>
      <c r="K23" s="1">
        <v>0</v>
      </c>
      <c r="L23" s="1">
        <v>0</v>
      </c>
      <c r="M23" s="1"/>
      <c r="N23" s="1"/>
    </row>
    <row r="24" spans="1:14" ht="16.5" thickBot="1">
      <c r="B24" s="38"/>
      <c r="C24" s="38"/>
      <c r="D24" s="38"/>
      <c r="E24" s="38"/>
      <c r="F24" s="38"/>
      <c r="G24" s="38"/>
      <c r="H24" s="38"/>
      <c r="I24" s="38"/>
      <c r="J24" s="38"/>
      <c r="K24" s="38"/>
      <c r="L24" s="38"/>
      <c r="M24" s="1"/>
      <c r="N24" s="1"/>
    </row>
    <row r="25" spans="1:14">
      <c r="A25" s="9" t="s">
        <v>20</v>
      </c>
      <c r="B25" s="1">
        <f>SUM(B20:B24)</f>
        <v>0</v>
      </c>
      <c r="C25" s="1">
        <f t="shared" ref="C25:K25" si="2">SUM(C20:C24)</f>
        <v>0</v>
      </c>
      <c r="D25" s="1">
        <f t="shared" si="2"/>
        <v>0</v>
      </c>
      <c r="E25" s="1">
        <f t="shared" si="2"/>
        <v>0</v>
      </c>
      <c r="F25" s="1">
        <f t="shared" si="2"/>
        <v>0</v>
      </c>
      <c r="G25" s="1">
        <f t="shared" si="2"/>
        <v>0</v>
      </c>
      <c r="H25" s="1">
        <f t="shared" si="2"/>
        <v>0</v>
      </c>
      <c r="I25" s="1">
        <f t="shared" si="2"/>
        <v>0</v>
      </c>
      <c r="J25" s="1">
        <f t="shared" si="2"/>
        <v>0</v>
      </c>
      <c r="K25" s="1">
        <f t="shared" si="2"/>
        <v>0</v>
      </c>
      <c r="L25" s="5">
        <f>SUM(L20:L24)</f>
        <v>0</v>
      </c>
      <c r="M25" s="1"/>
      <c r="N25" s="1"/>
    </row>
    <row r="26" spans="1:14">
      <c r="A26" s="45" t="s">
        <v>72</v>
      </c>
      <c r="B26" s="1"/>
      <c r="C26" s="7" t="e">
        <f>(C25/B25)-1</f>
        <v>#DIV/0!</v>
      </c>
      <c r="D26" s="7" t="e">
        <f t="shared" ref="D26:L26" si="3">(D25/C25)-1</f>
        <v>#DIV/0!</v>
      </c>
      <c r="E26" s="7" t="e">
        <f t="shared" si="3"/>
        <v>#DIV/0!</v>
      </c>
      <c r="F26" s="7" t="e">
        <f t="shared" si="3"/>
        <v>#DIV/0!</v>
      </c>
      <c r="G26" s="7" t="e">
        <f t="shared" si="3"/>
        <v>#DIV/0!</v>
      </c>
      <c r="H26" s="7" t="e">
        <f t="shared" si="3"/>
        <v>#DIV/0!</v>
      </c>
      <c r="I26" s="7" t="e">
        <f t="shared" si="3"/>
        <v>#DIV/0!</v>
      </c>
      <c r="J26" s="7" t="e">
        <f>(J25/I25)-1</f>
        <v>#DIV/0!</v>
      </c>
      <c r="K26" s="7" t="e">
        <f t="shared" si="3"/>
        <v>#DIV/0!</v>
      </c>
      <c r="L26" s="7" t="e">
        <f t="shared" si="3"/>
        <v>#DIV/0!</v>
      </c>
      <c r="M26" s="1"/>
      <c r="N26" s="1"/>
    </row>
    <row r="27" spans="1:14">
      <c r="A27" s="47" t="s">
        <v>74</v>
      </c>
      <c r="B27" s="1"/>
      <c r="C27" s="1"/>
      <c r="D27" s="1"/>
      <c r="E27" s="1"/>
      <c r="F27" s="1"/>
      <c r="G27" s="1"/>
      <c r="H27" s="1"/>
      <c r="I27" s="1"/>
      <c r="J27" s="1"/>
      <c r="K27" s="1"/>
      <c r="L27" s="23" t="e">
        <f>(L25/G25)-1</f>
        <v>#DIV/0!</v>
      </c>
      <c r="M27" s="1"/>
      <c r="N27" s="1"/>
    </row>
    <row r="28" spans="1:14">
      <c r="B28" s="1"/>
      <c r="C28" s="1"/>
      <c r="D28" s="1"/>
      <c r="E28" s="1"/>
      <c r="F28" s="1"/>
      <c r="G28" s="1"/>
      <c r="H28" s="1"/>
      <c r="I28" s="1"/>
      <c r="J28" s="1"/>
      <c r="K28" s="1"/>
      <c r="L28" s="1"/>
      <c r="M28" s="1"/>
      <c r="N28" s="1"/>
    </row>
    <row r="29" spans="1:14">
      <c r="A29" s="87" t="s">
        <v>93</v>
      </c>
      <c r="B29" s="1"/>
      <c r="C29" s="1"/>
      <c r="D29" s="1"/>
      <c r="E29" s="1"/>
      <c r="F29" s="1"/>
      <c r="G29" s="1"/>
      <c r="H29" s="1"/>
      <c r="I29" s="1"/>
      <c r="J29" s="1"/>
      <c r="K29" s="1"/>
      <c r="L29" s="1"/>
    </row>
    <row r="30" spans="1:14" ht="16.5" thickBot="1">
      <c r="A30" s="71"/>
      <c r="B30" s="38">
        <v>0</v>
      </c>
      <c r="C30" s="38">
        <v>0</v>
      </c>
      <c r="D30" s="38">
        <v>0</v>
      </c>
      <c r="E30" s="38">
        <v>0</v>
      </c>
      <c r="F30" s="38">
        <v>0</v>
      </c>
      <c r="G30" s="38">
        <v>0</v>
      </c>
      <c r="H30" s="38">
        <v>0</v>
      </c>
      <c r="I30" s="38">
        <v>0</v>
      </c>
      <c r="J30" s="38">
        <v>0</v>
      </c>
      <c r="K30" s="38">
        <v>0</v>
      </c>
      <c r="L30" s="38">
        <v>0</v>
      </c>
    </row>
    <row r="31" spans="1:14">
      <c r="A31" s="46" t="s">
        <v>104</v>
      </c>
      <c r="B31" s="1">
        <f>B30</f>
        <v>0</v>
      </c>
      <c r="C31" s="1">
        <f t="shared" ref="C31:L31" si="4">C30</f>
        <v>0</v>
      </c>
      <c r="D31" s="1">
        <f t="shared" si="4"/>
        <v>0</v>
      </c>
      <c r="E31" s="1">
        <f t="shared" si="4"/>
        <v>0</v>
      </c>
      <c r="F31" s="1">
        <f t="shared" si="4"/>
        <v>0</v>
      </c>
      <c r="G31" s="1">
        <f t="shared" si="4"/>
        <v>0</v>
      </c>
      <c r="H31" s="1">
        <f t="shared" si="4"/>
        <v>0</v>
      </c>
      <c r="I31" s="1">
        <f t="shared" si="4"/>
        <v>0</v>
      </c>
      <c r="J31" s="1">
        <f t="shared" si="4"/>
        <v>0</v>
      </c>
      <c r="K31" s="1">
        <f t="shared" si="4"/>
        <v>0</v>
      </c>
      <c r="L31" s="1">
        <f t="shared" si="4"/>
        <v>0</v>
      </c>
    </row>
    <row r="32" spans="1:14">
      <c r="B32" s="1"/>
      <c r="C32" s="1"/>
      <c r="D32" s="1"/>
      <c r="E32" s="1"/>
      <c r="F32" s="1"/>
      <c r="G32" s="1"/>
      <c r="H32" s="1"/>
      <c r="I32" s="1"/>
      <c r="J32" s="1"/>
      <c r="K32" s="1"/>
      <c r="L32" s="1"/>
    </row>
    <row r="33" spans="1:14">
      <c r="A33" s="86" t="s">
        <v>101</v>
      </c>
      <c r="B33" s="1"/>
      <c r="C33" s="1"/>
      <c r="D33" s="1"/>
      <c r="E33" s="1"/>
      <c r="F33" s="1"/>
      <c r="G33" s="1"/>
      <c r="H33" s="1"/>
      <c r="I33" s="1"/>
      <c r="J33" s="1"/>
      <c r="K33" s="1"/>
      <c r="L33" s="1"/>
    </row>
    <row r="34" spans="1:14" ht="16.5" thickBot="1">
      <c r="A34" s="71"/>
      <c r="B34" s="38">
        <v>0</v>
      </c>
      <c r="C34" s="38">
        <v>0</v>
      </c>
      <c r="D34" s="38">
        <v>0</v>
      </c>
      <c r="E34" s="38">
        <v>0</v>
      </c>
      <c r="F34" s="38">
        <v>0</v>
      </c>
      <c r="G34" s="38">
        <v>0</v>
      </c>
      <c r="H34" s="38">
        <v>0</v>
      </c>
      <c r="I34" s="38">
        <v>0</v>
      </c>
      <c r="J34" s="38">
        <v>0</v>
      </c>
      <c r="K34" s="38">
        <v>0</v>
      </c>
      <c r="L34" s="38">
        <v>0</v>
      </c>
    </row>
    <row r="35" spans="1:14">
      <c r="A35" s="46" t="s">
        <v>102</v>
      </c>
      <c r="B35" s="67">
        <f>B34</f>
        <v>0</v>
      </c>
      <c r="C35" s="67">
        <f t="shared" ref="C35:L35" si="5">C34</f>
        <v>0</v>
      </c>
      <c r="D35" s="67">
        <f t="shared" si="5"/>
        <v>0</v>
      </c>
      <c r="E35" s="67">
        <f t="shared" si="5"/>
        <v>0</v>
      </c>
      <c r="F35" s="67">
        <f t="shared" si="5"/>
        <v>0</v>
      </c>
      <c r="G35" s="67">
        <f t="shared" si="5"/>
        <v>0</v>
      </c>
      <c r="H35" s="67">
        <f t="shared" si="5"/>
        <v>0</v>
      </c>
      <c r="I35" s="67">
        <f t="shared" si="5"/>
        <v>0</v>
      </c>
      <c r="J35" s="67">
        <f t="shared" si="5"/>
        <v>0</v>
      </c>
      <c r="K35" s="67">
        <f t="shared" si="5"/>
        <v>0</v>
      </c>
      <c r="L35" s="67">
        <f t="shared" si="5"/>
        <v>0</v>
      </c>
    </row>
    <row r="36" spans="1:14">
      <c r="B36" s="1"/>
      <c r="C36" s="1"/>
      <c r="D36" s="1"/>
      <c r="E36" s="1"/>
      <c r="F36" s="1"/>
      <c r="G36" s="1"/>
      <c r="H36" s="1"/>
      <c r="I36" s="1"/>
      <c r="J36" s="1"/>
      <c r="K36" s="1"/>
      <c r="L36" s="1"/>
      <c r="M36" s="1"/>
      <c r="N36" s="1"/>
    </row>
    <row r="37" spans="1:14">
      <c r="A37" s="73" t="s">
        <v>83</v>
      </c>
      <c r="B37" s="1"/>
      <c r="C37" s="1"/>
      <c r="D37" s="1"/>
      <c r="E37" s="1"/>
      <c r="F37" s="1"/>
      <c r="G37" s="1"/>
      <c r="H37" s="1"/>
      <c r="I37" s="1"/>
      <c r="J37" s="1"/>
      <c r="K37" s="1"/>
      <c r="L37" s="1"/>
      <c r="M37" s="1"/>
      <c r="N37" s="1"/>
    </row>
    <row r="38" spans="1:14" ht="16.5" thickBot="1">
      <c r="B38" s="38">
        <v>0</v>
      </c>
      <c r="C38" s="38">
        <v>0</v>
      </c>
      <c r="D38" s="38">
        <v>0</v>
      </c>
      <c r="E38" s="38">
        <v>0</v>
      </c>
      <c r="F38" s="38">
        <v>0</v>
      </c>
      <c r="G38" s="38">
        <v>0</v>
      </c>
      <c r="H38" s="38">
        <v>0</v>
      </c>
      <c r="I38" s="38">
        <v>0</v>
      </c>
      <c r="J38" s="38">
        <v>0</v>
      </c>
      <c r="K38" s="38">
        <v>0</v>
      </c>
      <c r="L38" s="38">
        <v>0</v>
      </c>
      <c r="M38" s="1"/>
      <c r="N38" s="1"/>
    </row>
    <row r="39" spans="1:14">
      <c r="A39" s="46" t="s">
        <v>99</v>
      </c>
      <c r="B39" s="1">
        <f>B38</f>
        <v>0</v>
      </c>
      <c r="C39" s="1">
        <f t="shared" ref="C39:L39" si="6">C38</f>
        <v>0</v>
      </c>
      <c r="D39" s="1">
        <f t="shared" si="6"/>
        <v>0</v>
      </c>
      <c r="E39" s="1">
        <f t="shared" si="6"/>
        <v>0</v>
      </c>
      <c r="F39" s="1">
        <f t="shared" si="6"/>
        <v>0</v>
      </c>
      <c r="G39" s="1">
        <f t="shared" si="6"/>
        <v>0</v>
      </c>
      <c r="H39" s="1">
        <f t="shared" si="6"/>
        <v>0</v>
      </c>
      <c r="I39" s="1">
        <f t="shared" si="6"/>
        <v>0</v>
      </c>
      <c r="J39" s="1">
        <f t="shared" si="6"/>
        <v>0</v>
      </c>
      <c r="K39" s="1">
        <f t="shared" si="6"/>
        <v>0</v>
      </c>
      <c r="L39" s="1">
        <f t="shared" si="6"/>
        <v>0</v>
      </c>
      <c r="M39" s="1"/>
      <c r="N39" s="1"/>
    </row>
    <row r="40" spans="1:14">
      <c r="B40" s="1"/>
      <c r="C40" s="1"/>
      <c r="D40" s="1"/>
      <c r="E40" s="1"/>
      <c r="F40" s="1"/>
      <c r="G40" s="1"/>
      <c r="H40" s="1"/>
      <c r="I40" s="1"/>
      <c r="J40" s="1"/>
      <c r="K40" s="1"/>
      <c r="L40" s="1"/>
      <c r="M40" s="1"/>
      <c r="N40" s="1"/>
    </row>
    <row r="41" spans="1:14">
      <c r="A41" s="73" t="s">
        <v>110</v>
      </c>
      <c r="B41" s="90">
        <f t="shared" ref="B41:L41" si="7">B25+B31+B35+B39</f>
        <v>0</v>
      </c>
      <c r="C41" s="90">
        <f t="shared" si="7"/>
        <v>0</v>
      </c>
      <c r="D41" s="90">
        <f t="shared" si="7"/>
        <v>0</v>
      </c>
      <c r="E41" s="90">
        <f t="shared" si="7"/>
        <v>0</v>
      </c>
      <c r="F41" s="90">
        <f t="shared" si="7"/>
        <v>0</v>
      </c>
      <c r="G41" s="90">
        <f t="shared" si="7"/>
        <v>0</v>
      </c>
      <c r="H41" s="90">
        <f t="shared" si="7"/>
        <v>0</v>
      </c>
      <c r="I41" s="90">
        <f t="shared" si="7"/>
        <v>0</v>
      </c>
      <c r="J41" s="90">
        <f t="shared" si="7"/>
        <v>0</v>
      </c>
      <c r="K41" s="90">
        <f t="shared" si="7"/>
        <v>0</v>
      </c>
      <c r="L41" s="90">
        <f t="shared" si="7"/>
        <v>0</v>
      </c>
      <c r="M41" s="1"/>
      <c r="N41" s="1"/>
    </row>
    <row r="42" spans="1:14">
      <c r="B42" s="1"/>
      <c r="C42" s="1"/>
      <c r="D42" s="1"/>
      <c r="E42" s="1"/>
      <c r="F42" s="1"/>
      <c r="G42" s="1"/>
      <c r="H42" s="1"/>
      <c r="I42" s="1"/>
      <c r="J42" s="1"/>
      <c r="K42" s="1"/>
      <c r="L42" s="1"/>
      <c r="M42" s="1"/>
      <c r="N42" s="1"/>
    </row>
    <row r="43" spans="1:14">
      <c r="A43" s="88" t="s">
        <v>107</v>
      </c>
      <c r="B43" s="92">
        <v>0</v>
      </c>
      <c r="C43" s="92">
        <v>0</v>
      </c>
      <c r="D43" s="92">
        <v>0</v>
      </c>
      <c r="E43" s="92">
        <v>0</v>
      </c>
      <c r="F43" s="92">
        <v>0</v>
      </c>
      <c r="G43" s="92">
        <v>0</v>
      </c>
      <c r="H43" s="92">
        <v>0</v>
      </c>
      <c r="I43" s="92">
        <v>0</v>
      </c>
      <c r="J43" s="92">
        <v>0</v>
      </c>
      <c r="K43" s="92">
        <v>0</v>
      </c>
      <c r="L43" s="92">
        <v>0</v>
      </c>
      <c r="M43" s="1"/>
      <c r="N43" s="1"/>
    </row>
    <row r="44" spans="1:14">
      <c r="A44" s="88"/>
      <c r="M44" s="1"/>
      <c r="N44" s="1"/>
    </row>
    <row r="45" spans="1:14">
      <c r="A45" s="89" t="s">
        <v>111</v>
      </c>
      <c r="B45" s="91">
        <f>B41+B43</f>
        <v>0</v>
      </c>
      <c r="C45" s="91">
        <f t="shared" ref="C45:L45" si="8">C41+C43</f>
        <v>0</v>
      </c>
      <c r="D45" s="91">
        <f t="shared" si="8"/>
        <v>0</v>
      </c>
      <c r="E45" s="91">
        <f t="shared" si="8"/>
        <v>0</v>
      </c>
      <c r="F45" s="91">
        <f t="shared" si="8"/>
        <v>0</v>
      </c>
      <c r="G45" s="91">
        <f t="shared" si="8"/>
        <v>0</v>
      </c>
      <c r="H45" s="91">
        <f t="shared" si="8"/>
        <v>0</v>
      </c>
      <c r="I45" s="91">
        <f t="shared" si="8"/>
        <v>0</v>
      </c>
      <c r="J45" s="91">
        <f t="shared" si="8"/>
        <v>0</v>
      </c>
      <c r="K45" s="91">
        <f t="shared" si="8"/>
        <v>0</v>
      </c>
      <c r="L45" s="91">
        <f t="shared" si="8"/>
        <v>0</v>
      </c>
      <c r="M45" s="1"/>
      <c r="N45" s="1"/>
    </row>
    <row r="46" spans="1:14">
      <c r="B46" s="1"/>
      <c r="C46" s="1"/>
      <c r="D46" s="1"/>
      <c r="E46" s="1"/>
      <c r="F46" s="1"/>
      <c r="G46" s="1"/>
      <c r="H46" s="1"/>
      <c r="I46" s="1"/>
      <c r="J46" s="1"/>
      <c r="K46" s="1"/>
      <c r="L46" s="1"/>
      <c r="M46" s="1"/>
      <c r="N46" s="1"/>
    </row>
    <row r="47" spans="1:14">
      <c r="B47" s="1"/>
      <c r="C47" s="1"/>
      <c r="D47" s="1"/>
      <c r="E47" s="1"/>
      <c r="F47" s="1"/>
      <c r="G47" s="1"/>
      <c r="H47" s="1"/>
      <c r="I47" s="1"/>
      <c r="J47" s="1"/>
      <c r="K47" s="1"/>
      <c r="L47" s="1"/>
      <c r="M47" s="1"/>
      <c r="N47" s="1"/>
    </row>
    <row r="48" spans="1:14">
      <c r="A48" s="112" t="s">
        <v>120</v>
      </c>
      <c r="B48" s="2"/>
      <c r="C48" s="2"/>
      <c r="D48" s="2"/>
      <c r="E48" s="2"/>
      <c r="F48" s="2"/>
      <c r="G48" s="2"/>
      <c r="H48" s="2"/>
      <c r="I48" s="2"/>
      <c r="J48" s="2"/>
      <c r="K48" s="2"/>
      <c r="L48" s="2"/>
      <c r="M48" s="1"/>
      <c r="N48" s="1"/>
    </row>
    <row r="49" spans="1:14">
      <c r="A49" s="10" t="s">
        <v>100</v>
      </c>
      <c r="B49" s="3">
        <v>0</v>
      </c>
      <c r="C49" s="3">
        <v>0</v>
      </c>
      <c r="D49" s="3">
        <v>0</v>
      </c>
      <c r="E49" s="3">
        <v>0</v>
      </c>
      <c r="F49" s="3">
        <v>0</v>
      </c>
      <c r="G49" s="3">
        <v>0</v>
      </c>
      <c r="H49" s="3">
        <v>0</v>
      </c>
      <c r="I49" s="3">
        <v>0</v>
      </c>
      <c r="J49" s="3">
        <v>0</v>
      </c>
      <c r="K49" s="3">
        <v>0</v>
      </c>
      <c r="L49" s="3">
        <v>0</v>
      </c>
      <c r="M49" s="1"/>
      <c r="N49" s="1"/>
    </row>
    <row r="50" spans="1:14">
      <c r="A50" s="96" t="s">
        <v>93</v>
      </c>
      <c r="B50" s="3">
        <v>0</v>
      </c>
      <c r="C50" s="3">
        <v>0</v>
      </c>
      <c r="D50" s="3">
        <v>0</v>
      </c>
      <c r="E50" s="3">
        <v>0</v>
      </c>
      <c r="F50" s="3">
        <v>0</v>
      </c>
      <c r="G50" s="3">
        <v>0</v>
      </c>
      <c r="H50" s="3">
        <v>0</v>
      </c>
      <c r="I50" s="3">
        <v>0</v>
      </c>
      <c r="J50" s="3">
        <v>0</v>
      </c>
      <c r="K50" s="3">
        <v>0</v>
      </c>
      <c r="L50" s="3">
        <v>0</v>
      </c>
      <c r="M50" s="1"/>
      <c r="N50" s="1"/>
    </row>
    <row r="51" spans="1:14">
      <c r="A51" s="94" t="s">
        <v>101</v>
      </c>
      <c r="B51" s="3">
        <v>0</v>
      </c>
      <c r="C51" s="3">
        <v>0</v>
      </c>
      <c r="D51" s="3">
        <v>0</v>
      </c>
      <c r="E51" s="3">
        <v>0</v>
      </c>
      <c r="F51" s="3">
        <v>0</v>
      </c>
      <c r="G51" s="3">
        <v>0</v>
      </c>
      <c r="H51" s="3">
        <v>0</v>
      </c>
      <c r="I51" s="3">
        <v>0</v>
      </c>
      <c r="J51" s="3">
        <v>0</v>
      </c>
      <c r="K51" s="3">
        <v>0</v>
      </c>
      <c r="L51" s="3">
        <v>0</v>
      </c>
      <c r="M51" s="1"/>
      <c r="N51" s="1"/>
    </row>
    <row r="52" spans="1:14" ht="16.5" thickBot="1">
      <c r="A52" s="73" t="s">
        <v>83</v>
      </c>
      <c r="B52" s="72">
        <v>0</v>
      </c>
      <c r="C52" s="72">
        <v>0</v>
      </c>
      <c r="D52" s="72">
        <v>0</v>
      </c>
      <c r="E52" s="72">
        <v>0</v>
      </c>
      <c r="F52" s="72">
        <v>0</v>
      </c>
      <c r="G52" s="72">
        <v>0</v>
      </c>
      <c r="H52" s="72">
        <v>0</v>
      </c>
      <c r="I52" s="72">
        <v>0</v>
      </c>
      <c r="J52" s="72">
        <v>0</v>
      </c>
      <c r="K52" s="72">
        <v>0</v>
      </c>
      <c r="L52" s="72">
        <v>0</v>
      </c>
      <c r="M52" s="1"/>
      <c r="N52" s="1"/>
    </row>
    <row r="53" spans="1:14">
      <c r="A53" s="95" t="s">
        <v>119</v>
      </c>
      <c r="B53" s="3">
        <f>SUM(B49:B52)</f>
        <v>0</v>
      </c>
      <c r="C53" s="3">
        <f t="shared" ref="C53:L53" si="9">SUM(C49:C52)</f>
        <v>0</v>
      </c>
      <c r="D53" s="3">
        <f t="shared" si="9"/>
        <v>0</v>
      </c>
      <c r="E53" s="3">
        <f t="shared" si="9"/>
        <v>0</v>
      </c>
      <c r="F53" s="3">
        <f t="shared" si="9"/>
        <v>0</v>
      </c>
      <c r="G53" s="3">
        <f t="shared" si="9"/>
        <v>0</v>
      </c>
      <c r="H53" s="3">
        <f t="shared" si="9"/>
        <v>0</v>
      </c>
      <c r="I53" s="3">
        <f t="shared" si="9"/>
        <v>0</v>
      </c>
      <c r="J53" s="3">
        <f t="shared" si="9"/>
        <v>0</v>
      </c>
      <c r="K53" s="3">
        <f t="shared" si="9"/>
        <v>0</v>
      </c>
      <c r="L53" s="3">
        <f t="shared" si="9"/>
        <v>0</v>
      </c>
      <c r="M53" s="1"/>
      <c r="N53" s="1"/>
    </row>
    <row r="54" spans="1:14">
      <c r="A54" s="2"/>
      <c r="B54" s="2"/>
      <c r="C54" s="2"/>
      <c r="D54" s="2"/>
      <c r="E54" s="2"/>
      <c r="F54" s="2"/>
      <c r="G54" s="2"/>
      <c r="H54" s="2"/>
      <c r="I54" s="2"/>
      <c r="J54" s="2"/>
      <c r="K54" s="2"/>
      <c r="L54" s="2"/>
      <c r="M54" s="1"/>
      <c r="N54" s="1"/>
    </row>
    <row r="55" spans="1:14">
      <c r="A55" s="88" t="s">
        <v>107</v>
      </c>
      <c r="B55" s="97" t="s">
        <v>103</v>
      </c>
      <c r="C55" s="97" t="s">
        <v>103</v>
      </c>
      <c r="D55" s="97" t="s">
        <v>103</v>
      </c>
      <c r="E55" s="97" t="s">
        <v>103</v>
      </c>
      <c r="F55" s="97" t="s">
        <v>103</v>
      </c>
      <c r="G55" s="97" t="s">
        <v>103</v>
      </c>
      <c r="H55" s="97" t="s">
        <v>103</v>
      </c>
      <c r="I55" s="97" t="s">
        <v>103</v>
      </c>
      <c r="J55" s="97" t="s">
        <v>103</v>
      </c>
      <c r="K55" s="97" t="s">
        <v>103</v>
      </c>
      <c r="L55" s="97" t="s">
        <v>103</v>
      </c>
      <c r="M55" s="1"/>
      <c r="N55" s="1"/>
    </row>
    <row r="56" spans="1:14">
      <c r="A56" s="88"/>
      <c r="B56" s="2"/>
      <c r="C56" s="2"/>
      <c r="D56" s="2"/>
      <c r="E56" s="2"/>
      <c r="F56" s="2"/>
      <c r="G56" s="2"/>
      <c r="H56" s="2"/>
      <c r="I56" s="2"/>
      <c r="J56" s="2"/>
      <c r="K56" s="2"/>
      <c r="L56" s="2"/>
      <c r="M56" s="1"/>
      <c r="N56" s="1"/>
    </row>
    <row r="57" spans="1:14">
      <c r="A57" s="89" t="s">
        <v>121</v>
      </c>
      <c r="B57" s="98">
        <v>0</v>
      </c>
      <c r="C57" s="98">
        <v>0</v>
      </c>
      <c r="D57" s="98">
        <v>0</v>
      </c>
      <c r="E57" s="98">
        <v>0</v>
      </c>
      <c r="F57" s="98">
        <v>0</v>
      </c>
      <c r="G57" s="98">
        <v>0</v>
      </c>
      <c r="H57" s="98">
        <v>0</v>
      </c>
      <c r="I57" s="98">
        <v>0</v>
      </c>
      <c r="J57" s="98">
        <v>0</v>
      </c>
      <c r="K57" s="98">
        <v>0</v>
      </c>
      <c r="L57" s="98">
        <v>0</v>
      </c>
      <c r="M57" s="1"/>
      <c r="N57" s="1"/>
    </row>
    <row r="59" spans="1:14">
      <c r="B59" s="1"/>
      <c r="C59" s="1"/>
      <c r="D59" s="1"/>
      <c r="E59" s="1"/>
      <c r="F59" s="1"/>
      <c r="G59" s="1"/>
      <c r="H59" s="1"/>
      <c r="I59" s="1"/>
      <c r="J59" s="1"/>
      <c r="K59" s="1"/>
      <c r="L59" s="1"/>
      <c r="M59" s="1"/>
      <c r="N59" s="1"/>
    </row>
    <row r="60" spans="1:14">
      <c r="A60" s="9" t="s">
        <v>21</v>
      </c>
      <c r="B60" s="12">
        <f>Stats!C4</f>
        <v>64690</v>
      </c>
      <c r="C60" s="12">
        <f>Stats!D4</f>
        <v>63162</v>
      </c>
      <c r="D60" s="12">
        <f>Stats!E4</f>
        <v>67742</v>
      </c>
      <c r="E60" s="12">
        <f>Stats!F4</f>
        <v>68761</v>
      </c>
      <c r="F60" s="12">
        <f>Stats!G4</f>
        <v>69341</v>
      </c>
      <c r="G60" s="12">
        <f>Stats!H4</f>
        <v>70370</v>
      </c>
      <c r="H60" s="12">
        <f>Stats!I4</f>
        <v>71027</v>
      </c>
      <c r="I60" s="12">
        <f>Stats!J4</f>
        <v>73420</v>
      </c>
      <c r="J60" s="48">
        <f>Stats!K4</f>
        <v>74385</v>
      </c>
      <c r="K60" s="48">
        <f>Stats!L4</f>
        <v>75840</v>
      </c>
      <c r="L60" s="48">
        <f>Stats!M4</f>
        <v>77262</v>
      </c>
      <c r="M60" s="1"/>
      <c r="N60" s="1"/>
    </row>
    <row r="61" spans="1:14">
      <c r="A61" s="9" t="s">
        <v>23</v>
      </c>
    </row>
    <row r="62" spans="1:14">
      <c r="A62" s="9" t="s">
        <v>22</v>
      </c>
      <c r="B62" s="1"/>
      <c r="C62" s="1"/>
      <c r="D62" s="1"/>
      <c r="E62" s="1"/>
      <c r="F62" s="1"/>
      <c r="G62" s="1"/>
      <c r="H62" s="1"/>
      <c r="I62" s="1"/>
      <c r="J62" s="1"/>
      <c r="K62" s="1"/>
      <c r="L62" s="1"/>
      <c r="M62" s="1"/>
      <c r="N62" s="1"/>
    </row>
    <row r="63" spans="1:14">
      <c r="A63" s="9" t="s">
        <v>63</v>
      </c>
      <c r="B63" s="15"/>
      <c r="C63" s="15"/>
      <c r="D63" s="15"/>
      <c r="E63" s="15"/>
      <c r="F63" s="15"/>
      <c r="G63" s="15"/>
      <c r="H63" s="15"/>
      <c r="I63" s="15"/>
      <c r="J63" s="15"/>
      <c r="K63" s="15"/>
      <c r="L63" s="15"/>
      <c r="M63" s="1"/>
      <c r="N63" s="1"/>
    </row>
    <row r="64" spans="1:14">
      <c r="A64" s="40" t="s">
        <v>76</v>
      </c>
      <c r="B64" s="22">
        <v>0</v>
      </c>
      <c r="C64" s="22">
        <v>0</v>
      </c>
      <c r="D64" s="22">
        <v>0</v>
      </c>
      <c r="E64" s="22">
        <v>0</v>
      </c>
      <c r="F64" s="22">
        <v>0</v>
      </c>
      <c r="G64" s="22">
        <v>0</v>
      </c>
      <c r="H64" s="22">
        <v>0</v>
      </c>
      <c r="I64" s="22">
        <v>0</v>
      </c>
      <c r="J64" s="22">
        <v>0</v>
      </c>
      <c r="K64" s="22">
        <v>0</v>
      </c>
      <c r="L64" s="22">
        <v>0</v>
      </c>
      <c r="M64" s="1"/>
      <c r="N64" s="1"/>
    </row>
    <row r="65" spans="1:14">
      <c r="A65" s="40" t="s">
        <v>77</v>
      </c>
      <c r="B65" s="22">
        <v>0</v>
      </c>
      <c r="C65" s="22">
        <v>0</v>
      </c>
      <c r="D65" s="22">
        <v>0</v>
      </c>
      <c r="E65" s="22">
        <v>0</v>
      </c>
      <c r="F65" s="22">
        <v>0</v>
      </c>
      <c r="G65" s="22">
        <v>0</v>
      </c>
      <c r="H65" s="22">
        <v>0</v>
      </c>
      <c r="I65" s="22">
        <v>0</v>
      </c>
      <c r="J65" s="22">
        <v>0</v>
      </c>
      <c r="K65" s="22">
        <v>0</v>
      </c>
      <c r="L65" s="22">
        <v>0</v>
      </c>
      <c r="M65" s="1"/>
      <c r="N65" s="1"/>
    </row>
    <row r="66" spans="1:14">
      <c r="A66" s="40" t="s">
        <v>78</v>
      </c>
      <c r="B66" s="22">
        <v>0</v>
      </c>
      <c r="C66" s="22">
        <v>0</v>
      </c>
      <c r="D66" s="22">
        <v>0</v>
      </c>
      <c r="E66" s="22">
        <v>0</v>
      </c>
      <c r="F66" s="22">
        <v>0</v>
      </c>
      <c r="G66" s="22">
        <v>0</v>
      </c>
      <c r="H66" s="22">
        <v>0</v>
      </c>
      <c r="I66" s="22">
        <v>0</v>
      </c>
      <c r="J66" s="22">
        <v>0</v>
      </c>
      <c r="K66" s="22">
        <v>0</v>
      </c>
      <c r="L66" s="22">
        <v>0</v>
      </c>
      <c r="M66" s="1"/>
      <c r="N66" s="1"/>
    </row>
    <row r="67" spans="1:14" ht="16.5" thickBot="1">
      <c r="A67" s="40" t="s">
        <v>79</v>
      </c>
      <c r="B67" s="35">
        <v>0</v>
      </c>
      <c r="C67" s="35">
        <v>0</v>
      </c>
      <c r="D67" s="35">
        <v>0</v>
      </c>
      <c r="E67" s="35">
        <v>0</v>
      </c>
      <c r="F67" s="35">
        <v>0</v>
      </c>
      <c r="G67" s="35">
        <v>0</v>
      </c>
      <c r="H67" s="35">
        <v>0</v>
      </c>
      <c r="I67" s="35">
        <v>0</v>
      </c>
      <c r="J67" s="35">
        <v>0</v>
      </c>
      <c r="K67" s="35">
        <v>0</v>
      </c>
      <c r="L67" s="35">
        <v>0</v>
      </c>
      <c r="M67" s="1"/>
      <c r="N67" s="1"/>
    </row>
    <row r="68" spans="1:14" s="17" customFormat="1">
      <c r="A68" s="46" t="s">
        <v>64</v>
      </c>
      <c r="B68" s="34">
        <f t="shared" ref="B68:L68" si="10">SUM(B64:B67)</f>
        <v>0</v>
      </c>
      <c r="C68" s="34">
        <f t="shared" si="10"/>
        <v>0</v>
      </c>
      <c r="D68" s="34">
        <f t="shared" si="10"/>
        <v>0</v>
      </c>
      <c r="E68" s="34">
        <f t="shared" si="10"/>
        <v>0</v>
      </c>
      <c r="F68" s="34">
        <f t="shared" si="10"/>
        <v>0</v>
      </c>
      <c r="G68" s="34">
        <f t="shared" si="10"/>
        <v>0</v>
      </c>
      <c r="H68" s="34">
        <f t="shared" si="10"/>
        <v>0</v>
      </c>
      <c r="I68" s="34">
        <f t="shared" si="10"/>
        <v>0</v>
      </c>
      <c r="J68" s="34">
        <f t="shared" si="10"/>
        <v>0</v>
      </c>
      <c r="K68" s="34">
        <f t="shared" si="10"/>
        <v>0</v>
      </c>
      <c r="L68" s="34">
        <f t="shared" si="10"/>
        <v>0</v>
      </c>
      <c r="M68" s="33"/>
      <c r="N68" s="33"/>
    </row>
    <row r="69" spans="1:14">
      <c r="A69" s="45" t="s">
        <v>72</v>
      </c>
      <c r="B69" s="15"/>
      <c r="C69" s="36" t="e">
        <f>C68/B68</f>
        <v>#DIV/0!</v>
      </c>
      <c r="D69" s="36" t="e">
        <f t="shared" ref="D69:L69" si="11">D68/C68</f>
        <v>#DIV/0!</v>
      </c>
      <c r="E69" s="36" t="e">
        <f t="shared" si="11"/>
        <v>#DIV/0!</v>
      </c>
      <c r="F69" s="36" t="e">
        <f t="shared" si="11"/>
        <v>#DIV/0!</v>
      </c>
      <c r="G69" s="36" t="e">
        <f t="shared" si="11"/>
        <v>#DIV/0!</v>
      </c>
      <c r="H69" s="36" t="e">
        <f t="shared" si="11"/>
        <v>#DIV/0!</v>
      </c>
      <c r="I69" s="36" t="e">
        <f t="shared" si="11"/>
        <v>#DIV/0!</v>
      </c>
      <c r="J69" s="36" t="e">
        <f>J68/#REF!</f>
        <v>#REF!</v>
      </c>
      <c r="K69" s="36" t="e">
        <f t="shared" si="11"/>
        <v>#DIV/0!</v>
      </c>
      <c r="L69" s="36" t="e">
        <f t="shared" si="11"/>
        <v>#DIV/0!</v>
      </c>
      <c r="M69" s="1"/>
      <c r="N69" s="1"/>
    </row>
    <row r="70" spans="1:14">
      <c r="A70" s="18"/>
      <c r="B70" s="15"/>
      <c r="C70" s="36"/>
      <c r="D70" s="36"/>
      <c r="E70" s="36"/>
      <c r="F70" s="36"/>
      <c r="G70" s="36"/>
      <c r="H70" s="36"/>
      <c r="I70" s="36"/>
      <c r="J70" s="36"/>
      <c r="K70" s="36"/>
      <c r="L70" s="36"/>
      <c r="M70" s="1"/>
      <c r="N70" s="1"/>
    </row>
    <row r="71" spans="1:14">
      <c r="B71" s="1"/>
      <c r="C71" s="1"/>
      <c r="D71" s="1"/>
      <c r="E71" s="1"/>
      <c r="F71" s="1"/>
      <c r="G71" s="1"/>
      <c r="H71" s="1"/>
      <c r="I71" s="1"/>
      <c r="J71" s="1"/>
      <c r="K71" s="1"/>
      <c r="L71" s="1"/>
      <c r="M71" s="1"/>
      <c r="N71" s="1"/>
    </row>
    <row r="72" spans="1:14" ht="18.75">
      <c r="A72" s="37" t="s">
        <v>26</v>
      </c>
      <c r="B72" s="1"/>
      <c r="C72" s="1"/>
      <c r="D72" s="1"/>
      <c r="E72" s="1"/>
      <c r="F72" s="1"/>
      <c r="G72" s="1"/>
      <c r="H72" s="1"/>
      <c r="I72" s="1"/>
      <c r="J72" s="1"/>
      <c r="K72" s="1"/>
      <c r="L72" s="1"/>
      <c r="M72" s="1"/>
      <c r="N72" s="1"/>
    </row>
    <row r="73" spans="1:14">
      <c r="A73" s="2" t="s">
        <v>65</v>
      </c>
      <c r="B73" s="8">
        <f t="shared" ref="B73:L73" si="12">B25/B60</f>
        <v>0</v>
      </c>
      <c r="C73" s="8">
        <f t="shared" si="12"/>
        <v>0</v>
      </c>
      <c r="D73" s="8">
        <f t="shared" si="12"/>
        <v>0</v>
      </c>
      <c r="E73" s="8">
        <f t="shared" si="12"/>
        <v>0</v>
      </c>
      <c r="F73" s="8">
        <f t="shared" si="12"/>
        <v>0</v>
      </c>
      <c r="G73" s="8">
        <f t="shared" si="12"/>
        <v>0</v>
      </c>
      <c r="H73" s="8">
        <f t="shared" si="12"/>
        <v>0</v>
      </c>
      <c r="I73" s="8">
        <f t="shared" si="12"/>
        <v>0</v>
      </c>
      <c r="J73" s="8">
        <f t="shared" si="12"/>
        <v>0</v>
      </c>
      <c r="K73" s="8">
        <f t="shared" si="12"/>
        <v>0</v>
      </c>
      <c r="L73" s="8">
        <f t="shared" si="12"/>
        <v>0</v>
      </c>
      <c r="M73" s="1"/>
      <c r="N73" s="1"/>
    </row>
    <row r="74" spans="1:14">
      <c r="B74" s="1"/>
      <c r="C74" s="1"/>
      <c r="D74" s="1"/>
      <c r="E74" s="1"/>
      <c r="F74" s="1"/>
      <c r="G74" s="1"/>
      <c r="H74" s="1"/>
      <c r="I74" s="1"/>
      <c r="J74" s="1"/>
      <c r="K74" s="1"/>
      <c r="L74" s="1"/>
      <c r="M74" s="1"/>
      <c r="N74" s="1"/>
    </row>
    <row r="75" spans="1:14">
      <c r="A75" t="s">
        <v>75</v>
      </c>
      <c r="B75" s="1"/>
      <c r="C75" s="1"/>
      <c r="D75" s="1"/>
      <c r="E75" s="1"/>
      <c r="F75" s="1"/>
      <c r="G75" s="1"/>
      <c r="H75" s="1"/>
      <c r="I75" s="1"/>
      <c r="J75" s="1"/>
      <c r="K75" s="1"/>
      <c r="L75" s="1"/>
      <c r="M75" s="1"/>
      <c r="N75" s="1"/>
    </row>
    <row r="76" spans="1:14">
      <c r="A76" s="40" t="s">
        <v>76</v>
      </c>
      <c r="B76" s="1" t="e">
        <f t="shared" ref="B76:L76" si="13">B20/B64</f>
        <v>#DIV/0!</v>
      </c>
      <c r="C76" s="1" t="e">
        <f t="shared" si="13"/>
        <v>#DIV/0!</v>
      </c>
      <c r="D76" s="1" t="e">
        <f t="shared" si="13"/>
        <v>#DIV/0!</v>
      </c>
      <c r="E76" s="1" t="e">
        <f t="shared" si="13"/>
        <v>#DIV/0!</v>
      </c>
      <c r="F76" s="1" t="e">
        <f t="shared" si="13"/>
        <v>#DIV/0!</v>
      </c>
      <c r="G76" s="1" t="e">
        <f t="shared" si="13"/>
        <v>#DIV/0!</v>
      </c>
      <c r="H76" s="1" t="e">
        <f t="shared" si="13"/>
        <v>#DIV/0!</v>
      </c>
      <c r="I76" s="1" t="e">
        <f t="shared" si="13"/>
        <v>#DIV/0!</v>
      </c>
      <c r="J76" s="1" t="e">
        <f t="shared" si="13"/>
        <v>#DIV/0!</v>
      </c>
      <c r="K76" s="1" t="e">
        <f t="shared" si="13"/>
        <v>#DIV/0!</v>
      </c>
      <c r="L76" s="1" t="e">
        <f t="shared" si="13"/>
        <v>#DIV/0!</v>
      </c>
      <c r="M76" s="1"/>
      <c r="N76" s="1"/>
    </row>
    <row r="77" spans="1:14">
      <c r="A77" s="40" t="s">
        <v>77</v>
      </c>
      <c r="B77" s="1" t="e">
        <f t="shared" ref="B77:L77" si="14">B21/B65</f>
        <v>#DIV/0!</v>
      </c>
      <c r="C77" s="1" t="e">
        <f t="shared" si="14"/>
        <v>#DIV/0!</v>
      </c>
      <c r="D77" s="1" t="e">
        <f t="shared" si="14"/>
        <v>#DIV/0!</v>
      </c>
      <c r="E77" s="1" t="e">
        <f t="shared" si="14"/>
        <v>#DIV/0!</v>
      </c>
      <c r="F77" s="1" t="e">
        <f t="shared" si="14"/>
        <v>#DIV/0!</v>
      </c>
      <c r="G77" s="1" t="e">
        <f t="shared" si="14"/>
        <v>#DIV/0!</v>
      </c>
      <c r="H77" s="1" t="e">
        <f t="shared" si="14"/>
        <v>#DIV/0!</v>
      </c>
      <c r="I77" s="1" t="e">
        <f t="shared" si="14"/>
        <v>#DIV/0!</v>
      </c>
      <c r="J77" s="1" t="e">
        <f t="shared" si="14"/>
        <v>#DIV/0!</v>
      </c>
      <c r="K77" s="1" t="e">
        <f t="shared" si="14"/>
        <v>#DIV/0!</v>
      </c>
      <c r="L77" s="1" t="e">
        <f t="shared" si="14"/>
        <v>#DIV/0!</v>
      </c>
      <c r="M77" s="1"/>
      <c r="N77" s="1"/>
    </row>
    <row r="78" spans="1:14">
      <c r="A78" s="40" t="s">
        <v>78</v>
      </c>
      <c r="B78" s="1" t="e">
        <f t="shared" ref="B78:L78" si="15">B22/B66</f>
        <v>#DIV/0!</v>
      </c>
      <c r="C78" s="1" t="e">
        <f t="shared" si="15"/>
        <v>#DIV/0!</v>
      </c>
      <c r="D78" s="1" t="e">
        <f t="shared" si="15"/>
        <v>#DIV/0!</v>
      </c>
      <c r="E78" s="1" t="e">
        <f t="shared" si="15"/>
        <v>#DIV/0!</v>
      </c>
      <c r="F78" s="1" t="e">
        <f t="shared" si="15"/>
        <v>#DIV/0!</v>
      </c>
      <c r="G78" s="1" t="e">
        <f t="shared" si="15"/>
        <v>#DIV/0!</v>
      </c>
      <c r="H78" s="1" t="e">
        <f t="shared" si="15"/>
        <v>#DIV/0!</v>
      </c>
      <c r="I78" s="1" t="e">
        <f t="shared" si="15"/>
        <v>#DIV/0!</v>
      </c>
      <c r="J78" s="1" t="e">
        <f t="shared" si="15"/>
        <v>#DIV/0!</v>
      </c>
      <c r="K78" s="1" t="e">
        <f t="shared" si="15"/>
        <v>#DIV/0!</v>
      </c>
      <c r="L78" s="1" t="e">
        <f t="shared" si="15"/>
        <v>#DIV/0!</v>
      </c>
      <c r="M78" s="1"/>
      <c r="N78" s="1"/>
    </row>
    <row r="79" spans="1:14" ht="16.5" thickBot="1">
      <c r="A79" s="40" t="s">
        <v>79</v>
      </c>
      <c r="B79" s="38" t="e">
        <f t="shared" ref="B79:L79" si="16">B23/B67</f>
        <v>#DIV/0!</v>
      </c>
      <c r="C79" s="38" t="e">
        <f t="shared" si="16"/>
        <v>#DIV/0!</v>
      </c>
      <c r="D79" s="38" t="e">
        <f t="shared" si="16"/>
        <v>#DIV/0!</v>
      </c>
      <c r="E79" s="38" t="e">
        <f t="shared" si="16"/>
        <v>#DIV/0!</v>
      </c>
      <c r="F79" s="38" t="e">
        <f t="shared" si="16"/>
        <v>#DIV/0!</v>
      </c>
      <c r="G79" s="38" t="e">
        <f t="shared" si="16"/>
        <v>#DIV/0!</v>
      </c>
      <c r="H79" s="38" t="e">
        <f t="shared" si="16"/>
        <v>#DIV/0!</v>
      </c>
      <c r="I79" s="38" t="e">
        <f t="shared" si="16"/>
        <v>#DIV/0!</v>
      </c>
      <c r="J79" s="38" t="e">
        <f t="shared" si="16"/>
        <v>#DIV/0!</v>
      </c>
      <c r="K79" s="38" t="e">
        <f t="shared" si="16"/>
        <v>#DIV/0!</v>
      </c>
      <c r="L79" s="38" t="e">
        <f t="shared" si="16"/>
        <v>#DIV/0!</v>
      </c>
      <c r="M79" s="1"/>
      <c r="N79" s="1"/>
    </row>
    <row r="80" spans="1:14">
      <c r="A80" s="9" t="s">
        <v>66</v>
      </c>
      <c r="B80" s="1" t="e">
        <f t="shared" ref="B80:L80" si="17">B25/B68</f>
        <v>#DIV/0!</v>
      </c>
      <c r="C80" s="1" t="e">
        <f t="shared" si="17"/>
        <v>#DIV/0!</v>
      </c>
      <c r="D80" s="1" t="e">
        <f t="shared" si="17"/>
        <v>#DIV/0!</v>
      </c>
      <c r="E80" s="1" t="e">
        <f t="shared" si="17"/>
        <v>#DIV/0!</v>
      </c>
      <c r="F80" s="1" t="e">
        <f t="shared" si="17"/>
        <v>#DIV/0!</v>
      </c>
      <c r="G80" s="1" t="e">
        <f t="shared" si="17"/>
        <v>#DIV/0!</v>
      </c>
      <c r="H80" s="1" t="e">
        <f t="shared" si="17"/>
        <v>#DIV/0!</v>
      </c>
      <c r="I80" s="1" t="e">
        <f t="shared" si="17"/>
        <v>#DIV/0!</v>
      </c>
      <c r="J80" s="1" t="e">
        <f t="shared" si="17"/>
        <v>#DIV/0!</v>
      </c>
      <c r="K80" s="1" t="e">
        <f t="shared" si="17"/>
        <v>#DIV/0!</v>
      </c>
      <c r="L80" s="1" t="e">
        <f t="shared" si="17"/>
        <v>#DIV/0!</v>
      </c>
      <c r="M80" s="1"/>
      <c r="N80" s="1"/>
    </row>
    <row r="81" spans="1:14">
      <c r="B81" s="1"/>
      <c r="C81" s="1"/>
      <c r="D81" s="1"/>
      <c r="E81" s="1"/>
      <c r="F81" s="1"/>
      <c r="G81" s="1"/>
      <c r="H81" s="1"/>
      <c r="I81" s="1"/>
      <c r="J81" s="1"/>
      <c r="K81" s="1"/>
      <c r="L81" s="1"/>
      <c r="M81" s="1"/>
      <c r="N81" s="1"/>
    </row>
    <row r="82" spans="1:14">
      <c r="B82" s="1"/>
      <c r="C82" s="1"/>
      <c r="D82" s="1"/>
      <c r="E82" s="1"/>
      <c r="F82" s="1"/>
      <c r="G82" s="1"/>
      <c r="H82" s="1"/>
      <c r="I82" s="1"/>
      <c r="J82" s="1"/>
      <c r="K82" s="1"/>
      <c r="L82" s="1"/>
      <c r="M82" s="1"/>
      <c r="N82" s="1"/>
    </row>
    <row r="83" spans="1:14">
      <c r="A83" t="s">
        <v>69</v>
      </c>
      <c r="B83" s="14">
        <f>B66/(B60/1000)</f>
        <v>0</v>
      </c>
      <c r="C83" s="14">
        <f t="shared" ref="C83:L83" si="18">C66/(C60/1000)</f>
        <v>0</v>
      </c>
      <c r="D83" s="14">
        <f t="shared" si="18"/>
        <v>0</v>
      </c>
      <c r="E83" s="14">
        <f t="shared" si="18"/>
        <v>0</v>
      </c>
      <c r="F83" s="14">
        <f t="shared" si="18"/>
        <v>0</v>
      </c>
      <c r="G83" s="14">
        <f t="shared" si="18"/>
        <v>0</v>
      </c>
      <c r="H83" s="14">
        <f t="shared" si="18"/>
        <v>0</v>
      </c>
      <c r="I83" s="14">
        <f t="shared" si="18"/>
        <v>0</v>
      </c>
      <c r="J83" s="14">
        <f t="shared" si="18"/>
        <v>0</v>
      </c>
      <c r="K83" s="14">
        <f t="shared" si="18"/>
        <v>0</v>
      </c>
      <c r="L83" s="14">
        <f t="shared" si="18"/>
        <v>0</v>
      </c>
      <c r="M83" s="1"/>
      <c r="N83" s="1"/>
    </row>
    <row r="84" spans="1:14">
      <c r="A84" t="s">
        <v>67</v>
      </c>
      <c r="B84" s="14">
        <f>B68/(B60/1000)</f>
        <v>0</v>
      </c>
      <c r="C84" s="14">
        <f t="shared" ref="C84:L84" si="19">C68/(C60/1000)</f>
        <v>0</v>
      </c>
      <c r="D84" s="14">
        <f t="shared" si="19"/>
        <v>0</v>
      </c>
      <c r="E84" s="14">
        <f t="shared" si="19"/>
        <v>0</v>
      </c>
      <c r="F84" s="14">
        <f t="shared" si="19"/>
        <v>0</v>
      </c>
      <c r="G84" s="14">
        <f t="shared" si="19"/>
        <v>0</v>
      </c>
      <c r="H84" s="14">
        <f t="shared" si="19"/>
        <v>0</v>
      </c>
      <c r="I84" s="14">
        <f t="shared" si="19"/>
        <v>0</v>
      </c>
      <c r="J84" s="14">
        <f t="shared" si="19"/>
        <v>0</v>
      </c>
      <c r="K84" s="14">
        <f t="shared" si="19"/>
        <v>0</v>
      </c>
      <c r="L84" s="14">
        <f t="shared" si="19"/>
        <v>0</v>
      </c>
      <c r="M84" s="1"/>
      <c r="N84" s="1"/>
    </row>
    <row r="85" spans="1:14">
      <c r="B85" s="1"/>
      <c r="C85" s="1"/>
      <c r="D85" s="1"/>
      <c r="E85" s="1"/>
      <c r="F85" s="1"/>
      <c r="G85" s="1"/>
      <c r="H85" s="1"/>
      <c r="I85" s="1"/>
      <c r="J85" s="1"/>
      <c r="K85" s="1"/>
      <c r="L85" s="1"/>
      <c r="M85" s="1"/>
      <c r="N85" s="1"/>
    </row>
    <row r="86" spans="1:14">
      <c r="B86" s="1"/>
      <c r="C86" s="1"/>
      <c r="D86" s="1"/>
      <c r="E86" s="1"/>
      <c r="F86" s="1"/>
      <c r="G86" s="1"/>
      <c r="H86" s="1"/>
      <c r="I86" s="1"/>
      <c r="J86" s="1"/>
      <c r="K86" s="1"/>
      <c r="L86" s="1"/>
      <c r="M86" s="1"/>
      <c r="N86" s="1"/>
    </row>
    <row r="87" spans="1:14">
      <c r="B87" s="1"/>
      <c r="C87" s="1"/>
      <c r="D87" s="1"/>
      <c r="E87" s="1"/>
      <c r="F87" s="1"/>
      <c r="G87" s="1"/>
      <c r="H87" s="1"/>
      <c r="I87" s="1"/>
      <c r="J87" s="1"/>
      <c r="K87" s="1"/>
      <c r="L87" s="1"/>
      <c r="M87" s="1"/>
      <c r="N87" s="1"/>
    </row>
    <row r="88" spans="1:14">
      <c r="B88" s="1"/>
      <c r="C88" s="1"/>
      <c r="D88" s="1"/>
      <c r="E88" s="1"/>
      <c r="F88" s="1"/>
      <c r="G88" s="1"/>
      <c r="H88" s="1"/>
      <c r="I88" s="1"/>
      <c r="J88" s="1"/>
      <c r="K88" s="1"/>
      <c r="L88" s="1"/>
      <c r="M88" s="1"/>
      <c r="N88" s="1"/>
    </row>
    <row r="89" spans="1:14">
      <c r="B89" s="1"/>
      <c r="C89" s="1"/>
      <c r="D89" s="1"/>
      <c r="E89" s="1"/>
      <c r="F89" s="1"/>
      <c r="G89" s="1"/>
      <c r="H89" s="1"/>
      <c r="I89" s="1"/>
      <c r="J89" s="1"/>
      <c r="K89" s="1"/>
      <c r="L89" s="1"/>
      <c r="M89" s="1"/>
      <c r="N89" s="1"/>
    </row>
    <row r="90" spans="1:14">
      <c r="B90" s="1"/>
      <c r="C90" s="1"/>
      <c r="D90" s="1"/>
      <c r="E90" s="1"/>
      <c r="F90" s="1"/>
      <c r="G90" s="1"/>
      <c r="H90" s="1"/>
      <c r="I90" s="1"/>
      <c r="J90" s="1"/>
      <c r="K90" s="1"/>
      <c r="L90" s="1"/>
      <c r="M90" s="1"/>
      <c r="N90" s="1"/>
    </row>
    <row r="91" spans="1:14">
      <c r="B91" s="1"/>
      <c r="C91" s="1"/>
      <c r="D91" s="1"/>
      <c r="E91" s="1"/>
      <c r="F91" s="1"/>
      <c r="G91" s="1"/>
      <c r="H91" s="1"/>
      <c r="I91" s="1"/>
      <c r="J91" s="1"/>
      <c r="K91" s="1"/>
      <c r="L91" s="1"/>
      <c r="M91" s="1"/>
      <c r="N91" s="1"/>
    </row>
    <row r="92" spans="1:14">
      <c r="B92" s="1"/>
      <c r="C92" s="1"/>
      <c r="D92" s="1"/>
      <c r="E92" s="1"/>
      <c r="F92" s="1"/>
      <c r="G92" s="1"/>
      <c r="H92" s="1"/>
      <c r="I92" s="1"/>
      <c r="J92" s="1"/>
      <c r="K92" s="1"/>
      <c r="L92" s="1"/>
      <c r="M92" s="1"/>
      <c r="N92" s="1"/>
    </row>
    <row r="93" spans="1:14">
      <c r="B93" s="1"/>
      <c r="C93" s="1"/>
      <c r="D93" s="1"/>
      <c r="E93" s="1"/>
      <c r="F93" s="1"/>
      <c r="G93" s="1"/>
      <c r="H93" s="1"/>
      <c r="I93" s="1"/>
      <c r="J93" s="1"/>
      <c r="K93" s="1"/>
      <c r="L93" s="1"/>
      <c r="M93" s="1"/>
      <c r="N93" s="1"/>
    </row>
    <row r="94" spans="1:14">
      <c r="B94" s="1"/>
      <c r="C94" s="1"/>
      <c r="D94" s="1"/>
      <c r="E94" s="1"/>
      <c r="F94" s="1"/>
      <c r="G94" s="1"/>
      <c r="H94" s="1"/>
      <c r="I94" s="1"/>
      <c r="J94" s="1"/>
      <c r="K94" s="1"/>
      <c r="L94" s="1"/>
      <c r="M94" s="1"/>
      <c r="N94" s="1"/>
    </row>
    <row r="95" spans="1:14">
      <c r="B95" s="1"/>
      <c r="C95" s="1"/>
      <c r="D95" s="1"/>
      <c r="E95" s="1"/>
      <c r="F95" s="1"/>
      <c r="G95" s="1"/>
      <c r="H95" s="1"/>
      <c r="I95" s="1"/>
      <c r="J95" s="1"/>
      <c r="K95" s="1"/>
      <c r="L95" s="1"/>
      <c r="M95" s="1"/>
      <c r="N95" s="1"/>
    </row>
    <row r="96" spans="1:14">
      <c r="B96" s="1"/>
      <c r="C96" s="1"/>
      <c r="D96" s="1"/>
      <c r="E96" s="1"/>
      <c r="F96" s="1"/>
      <c r="G96" s="1"/>
      <c r="H96" s="1"/>
      <c r="I96" s="1"/>
      <c r="J96" s="1"/>
      <c r="K96" s="1"/>
      <c r="L96" s="1"/>
      <c r="M96" s="1"/>
      <c r="N96" s="1"/>
    </row>
    <row r="97" spans="2:14">
      <c r="B97" s="1"/>
      <c r="C97" s="1"/>
      <c r="D97" s="1"/>
      <c r="E97" s="1"/>
      <c r="F97" s="1"/>
      <c r="G97" s="1"/>
      <c r="H97" s="1"/>
      <c r="I97" s="1"/>
      <c r="J97" s="1"/>
      <c r="K97" s="1"/>
      <c r="L97" s="1"/>
      <c r="M97" s="1"/>
      <c r="N97" s="1"/>
    </row>
    <row r="98" spans="2:14">
      <c r="B98" s="1"/>
      <c r="C98" s="1"/>
      <c r="D98" s="1"/>
      <c r="E98" s="1"/>
      <c r="F98" s="1"/>
      <c r="G98" s="1"/>
      <c r="H98" s="1"/>
      <c r="I98" s="1"/>
      <c r="J98" s="1"/>
      <c r="K98" s="1"/>
      <c r="L98" s="1"/>
      <c r="M98" s="1"/>
      <c r="N98" s="1"/>
    </row>
    <row r="99" spans="2:14">
      <c r="B99" s="1"/>
      <c r="C99" s="1"/>
      <c r="D99" s="1"/>
      <c r="E99" s="1"/>
      <c r="F99" s="1"/>
      <c r="G99" s="1"/>
      <c r="H99" s="1"/>
      <c r="I99" s="1"/>
      <c r="J99" s="1"/>
      <c r="K99" s="1"/>
      <c r="L99" s="1"/>
      <c r="M99" s="1"/>
      <c r="N99" s="1"/>
    </row>
    <row r="100" spans="2:14">
      <c r="B100" s="1"/>
      <c r="C100" s="1"/>
      <c r="D100" s="1"/>
      <c r="E100" s="1"/>
      <c r="F100" s="1"/>
      <c r="G100" s="1"/>
      <c r="H100" s="1"/>
      <c r="I100" s="1"/>
      <c r="J100" s="1"/>
      <c r="K100" s="1"/>
      <c r="L100" s="1"/>
      <c r="M100" s="1"/>
      <c r="N100" s="1"/>
    </row>
    <row r="101" spans="2:14">
      <c r="B101" s="1"/>
      <c r="C101" s="1"/>
      <c r="D101" s="1"/>
      <c r="E101" s="1"/>
      <c r="F101" s="1"/>
      <c r="G101" s="1"/>
      <c r="H101" s="1"/>
      <c r="I101" s="1"/>
      <c r="J101" s="1"/>
      <c r="K101" s="1"/>
      <c r="L101" s="1"/>
      <c r="M101" s="1"/>
      <c r="N101" s="1"/>
    </row>
    <row r="102" spans="2:14">
      <c r="B102" s="1"/>
      <c r="C102" s="1"/>
      <c r="D102" s="1"/>
      <c r="E102" s="1"/>
      <c r="F102" s="1"/>
      <c r="G102" s="1"/>
      <c r="H102" s="1"/>
      <c r="I102" s="1"/>
      <c r="J102" s="1"/>
      <c r="K102" s="1"/>
      <c r="L102" s="1"/>
      <c r="M102" s="1"/>
      <c r="N102" s="1"/>
    </row>
    <row r="103" spans="2:14">
      <c r="B103" s="1"/>
      <c r="C103" s="1"/>
      <c r="D103" s="1"/>
      <c r="E103" s="1"/>
      <c r="F103" s="1"/>
      <c r="G103" s="1"/>
      <c r="H103" s="1"/>
      <c r="I103" s="1"/>
      <c r="J103" s="1"/>
      <c r="K103" s="1"/>
      <c r="L103" s="1"/>
      <c r="M103" s="1"/>
      <c r="N103" s="1"/>
    </row>
    <row r="104" spans="2:14">
      <c r="B104" s="1"/>
      <c r="C104" s="1"/>
      <c r="D104" s="1"/>
      <c r="E104" s="1"/>
      <c r="F104" s="1"/>
      <c r="G104" s="1"/>
      <c r="H104" s="1"/>
      <c r="I104" s="1"/>
      <c r="J104" s="1"/>
      <c r="K104" s="1"/>
      <c r="L104" s="1"/>
      <c r="M104" s="1"/>
      <c r="N104" s="1"/>
    </row>
    <row r="105" spans="2:14">
      <c r="B105" s="1"/>
      <c r="C105" s="1"/>
      <c r="D105" s="1"/>
      <c r="E105" s="1"/>
      <c r="F105" s="1"/>
      <c r="G105" s="1"/>
      <c r="H105" s="1"/>
      <c r="I105" s="1"/>
      <c r="J105" s="1"/>
      <c r="K105" s="1"/>
      <c r="L105" s="1"/>
      <c r="M105" s="1"/>
      <c r="N105" s="1"/>
    </row>
    <row r="106" spans="2:14">
      <c r="B106" s="1"/>
      <c r="C106" s="1"/>
      <c r="D106" s="1"/>
      <c r="E106" s="1"/>
      <c r="F106" s="1"/>
      <c r="G106" s="1"/>
      <c r="H106" s="1"/>
      <c r="I106" s="1"/>
      <c r="J106" s="1"/>
      <c r="K106" s="1"/>
      <c r="L106" s="1"/>
      <c r="M106" s="1"/>
      <c r="N106" s="1"/>
    </row>
    <row r="107" spans="2:14">
      <c r="B107" s="1"/>
      <c r="C107" s="1"/>
      <c r="D107" s="1"/>
      <c r="E107" s="1"/>
      <c r="F107" s="1"/>
      <c r="G107" s="1"/>
      <c r="H107" s="1"/>
      <c r="I107" s="1"/>
      <c r="J107" s="1"/>
      <c r="K107" s="1"/>
      <c r="L107" s="1"/>
      <c r="M107" s="1"/>
      <c r="N107" s="1"/>
    </row>
    <row r="108" spans="2:14">
      <c r="B108" s="1"/>
      <c r="C108" s="1"/>
      <c r="D108" s="1"/>
      <c r="E108" s="1"/>
      <c r="F108" s="1"/>
      <c r="G108" s="1"/>
      <c r="H108" s="1"/>
      <c r="I108" s="1"/>
      <c r="J108" s="1"/>
      <c r="K108" s="1"/>
      <c r="L108" s="1"/>
      <c r="M108" s="1"/>
      <c r="N108" s="1"/>
    </row>
    <row r="109" spans="2:14">
      <c r="B109" s="1"/>
      <c r="C109" s="1"/>
      <c r="D109" s="1"/>
      <c r="E109" s="1"/>
      <c r="F109" s="1"/>
      <c r="G109" s="1"/>
      <c r="H109" s="1"/>
      <c r="I109" s="1"/>
      <c r="J109" s="1"/>
      <c r="K109" s="1"/>
      <c r="L109" s="1"/>
      <c r="M109" s="1"/>
      <c r="N109" s="1"/>
    </row>
    <row r="110" spans="2:14">
      <c r="B110" s="1"/>
      <c r="C110" s="1"/>
      <c r="D110" s="1"/>
      <c r="E110" s="1"/>
      <c r="F110" s="1"/>
      <c r="G110" s="1"/>
      <c r="H110" s="1"/>
      <c r="I110" s="1"/>
      <c r="J110" s="1"/>
      <c r="K110" s="1"/>
      <c r="L110" s="1"/>
      <c r="M110" s="1"/>
      <c r="N110" s="1"/>
    </row>
    <row r="111" spans="2:14">
      <c r="B111" s="1"/>
      <c r="C111" s="1"/>
      <c r="D111" s="1"/>
      <c r="E111" s="1"/>
      <c r="F111" s="1"/>
      <c r="G111" s="1"/>
      <c r="H111" s="1"/>
      <c r="I111" s="1"/>
      <c r="J111" s="1"/>
      <c r="K111" s="1"/>
      <c r="L111" s="1"/>
      <c r="M111" s="1"/>
      <c r="N111" s="1"/>
    </row>
    <row r="112" spans="2:14">
      <c r="B112" s="1"/>
      <c r="C112" s="1"/>
      <c r="D112" s="1"/>
      <c r="E112" s="1"/>
      <c r="F112" s="1"/>
      <c r="G112" s="1"/>
      <c r="H112" s="1"/>
      <c r="I112" s="1"/>
      <c r="J112" s="1"/>
      <c r="K112" s="1"/>
      <c r="L112" s="1"/>
      <c r="M112" s="1"/>
      <c r="N112" s="1"/>
    </row>
    <row r="113" spans="2:14">
      <c r="B113" s="1"/>
      <c r="C113" s="1"/>
      <c r="D113" s="1"/>
      <c r="E113" s="1"/>
      <c r="F113" s="1"/>
      <c r="G113" s="1"/>
      <c r="H113" s="1"/>
      <c r="I113" s="1"/>
      <c r="J113" s="1"/>
      <c r="K113" s="1"/>
      <c r="L113" s="1"/>
      <c r="M113" s="1"/>
      <c r="N113" s="1"/>
    </row>
    <row r="114" spans="2:14">
      <c r="B114" s="1"/>
      <c r="C114" s="1"/>
      <c r="D114" s="1"/>
      <c r="E114" s="1"/>
      <c r="F114" s="1"/>
      <c r="G114" s="1"/>
      <c r="H114" s="1"/>
      <c r="I114" s="1"/>
      <c r="J114" s="1"/>
      <c r="K114" s="1"/>
      <c r="L114" s="1"/>
      <c r="M114" s="1"/>
      <c r="N114" s="1"/>
    </row>
    <row r="115" spans="2:14">
      <c r="B115" s="1"/>
      <c r="C115" s="1"/>
      <c r="D115" s="1"/>
      <c r="E115" s="1"/>
      <c r="F115" s="1"/>
      <c r="G115" s="1"/>
      <c r="H115" s="1"/>
      <c r="I115" s="1"/>
      <c r="J115" s="1"/>
      <c r="K115" s="1"/>
      <c r="L115" s="1"/>
      <c r="M115" s="1"/>
      <c r="N115" s="1"/>
    </row>
    <row r="116" spans="2:14">
      <c r="B116" s="1"/>
      <c r="C116" s="1"/>
      <c r="D116" s="1"/>
      <c r="E116" s="1"/>
      <c r="F116" s="1"/>
      <c r="G116" s="1"/>
      <c r="H116" s="1"/>
      <c r="I116" s="1"/>
      <c r="J116" s="1"/>
      <c r="K116" s="1"/>
      <c r="L116" s="1"/>
      <c r="M116" s="1"/>
      <c r="N116" s="1"/>
    </row>
    <row r="117" spans="2:14">
      <c r="B117" s="1"/>
      <c r="C117" s="1"/>
      <c r="D117" s="1"/>
      <c r="E117" s="1"/>
      <c r="F117" s="1"/>
      <c r="G117" s="1"/>
      <c r="H117" s="1"/>
      <c r="I117" s="1"/>
      <c r="J117" s="1"/>
      <c r="K117" s="1"/>
      <c r="L117" s="1"/>
      <c r="M117" s="1"/>
      <c r="N117" s="1"/>
    </row>
    <row r="118" spans="2:14">
      <c r="B118" s="1"/>
      <c r="C118" s="1"/>
      <c r="D118" s="1"/>
      <c r="E118" s="1"/>
      <c r="F118" s="1"/>
      <c r="G118" s="1"/>
      <c r="H118" s="1"/>
      <c r="I118" s="1"/>
      <c r="J118" s="1"/>
      <c r="K118" s="1"/>
      <c r="L118" s="1"/>
      <c r="M118" s="1"/>
      <c r="N118" s="1"/>
    </row>
    <row r="119" spans="2:14">
      <c r="B119" s="1"/>
      <c r="C119" s="1"/>
      <c r="D119" s="1"/>
      <c r="E119" s="1"/>
      <c r="F119" s="1"/>
      <c r="G119" s="1"/>
      <c r="H119" s="1"/>
      <c r="I119" s="1"/>
      <c r="J119" s="1"/>
      <c r="K119" s="1"/>
      <c r="L119" s="1"/>
      <c r="M119" s="1"/>
      <c r="N119" s="1"/>
    </row>
    <row r="120" spans="2:14">
      <c r="B120" s="1"/>
      <c r="C120" s="1"/>
      <c r="D120" s="1"/>
      <c r="E120" s="1"/>
      <c r="F120" s="1"/>
      <c r="G120" s="1"/>
      <c r="H120" s="1"/>
      <c r="I120" s="1"/>
      <c r="J120" s="1"/>
      <c r="K120" s="1"/>
      <c r="L120" s="1"/>
      <c r="M120" s="1"/>
      <c r="N120" s="1"/>
    </row>
    <row r="121" spans="2:14">
      <c r="B121" s="1"/>
      <c r="C121" s="1"/>
      <c r="D121" s="1"/>
      <c r="E121" s="1"/>
      <c r="F121" s="1"/>
      <c r="G121" s="1"/>
      <c r="H121" s="1"/>
      <c r="I121" s="1"/>
      <c r="J121" s="1"/>
      <c r="K121" s="1"/>
      <c r="L121" s="1"/>
      <c r="M121" s="1"/>
      <c r="N121" s="1"/>
    </row>
    <row r="122" spans="2:14">
      <c r="B122" s="1"/>
      <c r="C122" s="1"/>
      <c r="D122" s="1"/>
      <c r="E122" s="1"/>
      <c r="F122" s="1"/>
      <c r="G122" s="1"/>
      <c r="H122" s="1"/>
      <c r="I122" s="1"/>
      <c r="J122" s="1"/>
      <c r="K122" s="1"/>
      <c r="L122" s="1"/>
      <c r="M122" s="1"/>
      <c r="N122" s="1"/>
    </row>
    <row r="123" spans="2:14">
      <c r="B123" s="1"/>
      <c r="C123" s="1"/>
      <c r="D123" s="1"/>
      <c r="E123" s="1"/>
      <c r="F123" s="1"/>
      <c r="G123" s="1"/>
      <c r="H123" s="1"/>
      <c r="I123" s="1"/>
      <c r="J123" s="1"/>
      <c r="K123" s="1"/>
      <c r="L123" s="1"/>
      <c r="M123" s="1"/>
      <c r="N123" s="1"/>
    </row>
    <row r="124" spans="2:14">
      <c r="B124" s="1"/>
      <c r="C124" s="1"/>
      <c r="D124" s="1"/>
      <c r="E124" s="1"/>
      <c r="F124" s="1"/>
      <c r="G124" s="1"/>
      <c r="H124" s="1"/>
      <c r="I124" s="1"/>
      <c r="J124" s="1"/>
      <c r="K124" s="1"/>
      <c r="L124" s="1"/>
      <c r="M124" s="1"/>
      <c r="N124" s="1"/>
    </row>
    <row r="125" spans="2:14">
      <c r="B125" s="1"/>
      <c r="C125" s="1"/>
      <c r="D125" s="1"/>
      <c r="E125" s="1"/>
      <c r="F125" s="1"/>
      <c r="G125" s="1"/>
      <c r="H125" s="1"/>
      <c r="I125" s="1"/>
      <c r="J125" s="1"/>
      <c r="K125" s="1"/>
      <c r="L125" s="1"/>
      <c r="M125" s="1"/>
      <c r="N125" s="1"/>
    </row>
    <row r="126" spans="2:14">
      <c r="B126" s="1"/>
      <c r="C126" s="1"/>
      <c r="D126" s="1"/>
      <c r="E126" s="1"/>
      <c r="F126" s="1"/>
      <c r="G126" s="1"/>
      <c r="H126" s="1"/>
      <c r="I126" s="1"/>
      <c r="J126" s="1"/>
      <c r="K126" s="1"/>
      <c r="L126" s="1"/>
      <c r="M126" s="1"/>
      <c r="N126" s="1"/>
    </row>
    <row r="127" spans="2:14">
      <c r="B127" s="1"/>
      <c r="C127" s="1"/>
      <c r="D127" s="1"/>
      <c r="E127" s="1"/>
      <c r="F127" s="1"/>
      <c r="G127" s="1"/>
      <c r="H127" s="1"/>
      <c r="I127" s="1"/>
      <c r="J127" s="1"/>
      <c r="K127" s="1"/>
      <c r="L127" s="1"/>
      <c r="M127" s="1"/>
      <c r="N127" s="1"/>
    </row>
    <row r="128" spans="2:14">
      <c r="B128" s="1"/>
      <c r="C128" s="1"/>
      <c r="D128" s="1"/>
      <c r="E128" s="1"/>
      <c r="F128" s="1"/>
      <c r="G128" s="1"/>
      <c r="H128" s="1"/>
      <c r="I128" s="1"/>
      <c r="J128" s="1"/>
      <c r="K128" s="1"/>
      <c r="L128" s="1"/>
      <c r="M128" s="1"/>
      <c r="N128" s="1"/>
    </row>
    <row r="129" spans="2:14">
      <c r="B129" s="1"/>
      <c r="C129" s="1"/>
      <c r="D129" s="1"/>
      <c r="E129" s="1"/>
      <c r="F129" s="1"/>
      <c r="G129" s="1"/>
      <c r="H129" s="1"/>
      <c r="I129" s="1"/>
      <c r="J129" s="1"/>
      <c r="K129" s="1"/>
      <c r="L129" s="1"/>
      <c r="M129" s="1"/>
      <c r="N129" s="1"/>
    </row>
    <row r="130" spans="2:14">
      <c r="B130" s="1"/>
      <c r="C130" s="1"/>
      <c r="D130" s="1"/>
      <c r="E130" s="1"/>
      <c r="F130" s="1"/>
      <c r="G130" s="1"/>
      <c r="H130" s="1"/>
      <c r="I130" s="1"/>
      <c r="J130" s="1"/>
      <c r="K130" s="1"/>
      <c r="L130" s="1"/>
      <c r="M130" s="1"/>
      <c r="N130" s="1"/>
    </row>
    <row r="131" spans="2:14">
      <c r="B131" s="1"/>
      <c r="C131" s="1"/>
      <c r="D131" s="1"/>
      <c r="E131" s="1"/>
      <c r="F131" s="1"/>
      <c r="G131" s="1"/>
      <c r="H131" s="1"/>
      <c r="I131" s="1"/>
      <c r="J131" s="1"/>
      <c r="K131" s="1"/>
      <c r="L131" s="1"/>
      <c r="M131" s="1"/>
      <c r="N131" s="1"/>
    </row>
    <row r="132" spans="2:14">
      <c r="B132" s="1"/>
      <c r="C132" s="1"/>
      <c r="D132" s="1"/>
      <c r="E132" s="1"/>
      <c r="F132" s="1"/>
      <c r="G132" s="1"/>
      <c r="H132" s="1"/>
      <c r="I132" s="1"/>
      <c r="J132" s="1"/>
      <c r="K132" s="1"/>
      <c r="L132" s="1"/>
      <c r="M132" s="1"/>
      <c r="N132" s="1"/>
    </row>
    <row r="133" spans="2:14">
      <c r="B133" s="1"/>
      <c r="C133" s="1"/>
      <c r="D133" s="1"/>
      <c r="E133" s="1"/>
      <c r="F133" s="1"/>
      <c r="G133" s="1"/>
      <c r="H133" s="1"/>
      <c r="I133" s="1"/>
      <c r="J133" s="1"/>
      <c r="K133" s="1"/>
      <c r="L133" s="1"/>
      <c r="M133" s="1"/>
      <c r="N133" s="1"/>
    </row>
    <row r="134" spans="2:14">
      <c r="B134" s="1"/>
      <c r="C134" s="1"/>
      <c r="D134" s="1"/>
      <c r="E134" s="1"/>
      <c r="F134" s="1"/>
      <c r="G134" s="1"/>
      <c r="H134" s="1"/>
      <c r="I134" s="1"/>
      <c r="J134" s="1"/>
      <c r="K134" s="1"/>
      <c r="L134" s="1"/>
      <c r="M134" s="1"/>
      <c r="N134" s="1"/>
    </row>
    <row r="135" spans="2:14">
      <c r="B135" s="1"/>
      <c r="C135" s="1"/>
      <c r="D135" s="1"/>
      <c r="E135" s="1"/>
      <c r="F135" s="1"/>
      <c r="G135" s="1"/>
      <c r="H135" s="1"/>
      <c r="I135" s="1"/>
      <c r="J135" s="1"/>
      <c r="K135" s="1"/>
      <c r="L135" s="1"/>
      <c r="M135" s="1"/>
      <c r="N135" s="1"/>
    </row>
    <row r="136" spans="2:14">
      <c r="B136" s="1"/>
      <c r="C136" s="1"/>
      <c r="D136" s="1"/>
      <c r="E136" s="1"/>
      <c r="F136" s="1"/>
      <c r="G136" s="1"/>
      <c r="H136" s="1"/>
      <c r="I136" s="1"/>
      <c r="J136" s="1"/>
      <c r="K136" s="1"/>
      <c r="L136" s="1"/>
      <c r="M136" s="1"/>
      <c r="N136" s="1"/>
    </row>
    <row r="137" spans="2:14">
      <c r="B137" s="1"/>
      <c r="C137" s="1"/>
      <c r="D137" s="1"/>
      <c r="E137" s="1"/>
      <c r="F137" s="1"/>
      <c r="G137" s="1"/>
      <c r="H137" s="1"/>
      <c r="I137" s="1"/>
      <c r="J137" s="1"/>
      <c r="K137" s="1"/>
      <c r="L137" s="1"/>
      <c r="M137" s="1"/>
      <c r="N137" s="1"/>
    </row>
    <row r="138" spans="2:14">
      <c r="B138" s="1"/>
      <c r="C138" s="1"/>
      <c r="D138" s="1"/>
      <c r="E138" s="1"/>
      <c r="F138" s="1"/>
      <c r="G138" s="1"/>
      <c r="H138" s="1"/>
      <c r="I138" s="1"/>
      <c r="J138" s="1"/>
      <c r="K138" s="1"/>
      <c r="L138" s="1"/>
      <c r="M138" s="1"/>
      <c r="N138" s="1"/>
    </row>
    <row r="139" spans="2:14">
      <c r="B139" s="1"/>
      <c r="C139" s="1"/>
      <c r="D139" s="1"/>
      <c r="E139" s="1"/>
      <c r="F139" s="1"/>
      <c r="G139" s="1"/>
      <c r="H139" s="1"/>
      <c r="I139" s="1"/>
      <c r="J139" s="1"/>
      <c r="K139" s="1"/>
      <c r="L139" s="1"/>
      <c r="M139" s="1"/>
      <c r="N139" s="1"/>
    </row>
    <row r="140" spans="2:14">
      <c r="B140" s="1"/>
      <c r="C140" s="1"/>
      <c r="D140" s="1"/>
      <c r="E140" s="1"/>
      <c r="F140" s="1"/>
      <c r="G140" s="1"/>
      <c r="H140" s="1"/>
      <c r="I140" s="1"/>
      <c r="J140" s="1"/>
      <c r="K140" s="1"/>
      <c r="L140" s="1"/>
      <c r="M140" s="1"/>
      <c r="N140" s="1"/>
    </row>
    <row r="141" spans="2:14">
      <c r="B141" s="1"/>
      <c r="C141" s="1"/>
      <c r="D141" s="1"/>
      <c r="E141" s="1"/>
      <c r="F141" s="1"/>
      <c r="G141" s="1"/>
      <c r="H141" s="1"/>
      <c r="I141" s="1"/>
      <c r="J141" s="1"/>
      <c r="K141" s="1"/>
      <c r="L141" s="1"/>
      <c r="M141" s="1"/>
      <c r="N141" s="1"/>
    </row>
    <row r="142" spans="2:14">
      <c r="B142" s="1"/>
      <c r="C142" s="1"/>
      <c r="D142" s="1"/>
      <c r="E142" s="1"/>
      <c r="F142" s="1"/>
      <c r="G142" s="1"/>
      <c r="H142" s="1"/>
      <c r="I142" s="1"/>
      <c r="J142" s="1"/>
      <c r="K142" s="1"/>
      <c r="L142" s="1"/>
      <c r="M142" s="1"/>
      <c r="N142" s="1"/>
    </row>
    <row r="143" spans="2:14">
      <c r="B143" s="1"/>
      <c r="C143" s="1"/>
      <c r="D143" s="1"/>
      <c r="E143" s="1"/>
      <c r="F143" s="1"/>
      <c r="G143" s="1"/>
      <c r="H143" s="1"/>
      <c r="I143" s="1"/>
      <c r="J143" s="1"/>
      <c r="K143" s="1"/>
      <c r="L143" s="1"/>
      <c r="M143" s="1"/>
      <c r="N143" s="1"/>
    </row>
    <row r="144" spans="2:14">
      <c r="B144" s="1"/>
      <c r="C144" s="1"/>
      <c r="D144" s="1"/>
      <c r="E144" s="1"/>
      <c r="F144" s="1"/>
      <c r="G144" s="1"/>
      <c r="H144" s="1"/>
      <c r="I144" s="1"/>
      <c r="J144" s="1"/>
      <c r="K144" s="1"/>
      <c r="L144" s="1"/>
      <c r="M144" s="1"/>
      <c r="N144" s="1"/>
    </row>
    <row r="145" spans="2:14">
      <c r="B145" s="1"/>
      <c r="C145" s="1"/>
      <c r="D145" s="1"/>
      <c r="E145" s="1"/>
      <c r="F145" s="1"/>
      <c r="G145" s="1"/>
      <c r="H145" s="1"/>
      <c r="I145" s="1"/>
      <c r="J145" s="1"/>
      <c r="K145" s="1"/>
      <c r="L145" s="1"/>
      <c r="M145" s="1"/>
      <c r="N145" s="1"/>
    </row>
    <row r="146" spans="2:14">
      <c r="B146" s="1"/>
      <c r="C146" s="1"/>
      <c r="D146" s="1"/>
      <c r="E146" s="1"/>
      <c r="F146" s="1"/>
      <c r="G146" s="1"/>
      <c r="H146" s="1"/>
      <c r="I146" s="1"/>
      <c r="J146" s="1"/>
      <c r="K146" s="1"/>
      <c r="L146" s="1"/>
      <c r="M146" s="1"/>
      <c r="N146" s="1"/>
    </row>
    <row r="147" spans="2:14">
      <c r="B147" s="1"/>
      <c r="C147" s="1"/>
      <c r="D147" s="1"/>
      <c r="E147" s="1"/>
      <c r="F147" s="1"/>
      <c r="G147" s="1"/>
      <c r="H147" s="1"/>
      <c r="I147" s="1"/>
      <c r="J147" s="1"/>
      <c r="K147" s="1"/>
      <c r="L147" s="1"/>
      <c r="M147" s="1"/>
      <c r="N147" s="1"/>
    </row>
    <row r="148" spans="2:14">
      <c r="B148" s="1"/>
      <c r="C148" s="1"/>
      <c r="D148" s="1"/>
      <c r="E148" s="1"/>
      <c r="F148" s="1"/>
      <c r="G148" s="1"/>
      <c r="H148" s="1"/>
      <c r="I148" s="1"/>
      <c r="J148" s="1"/>
      <c r="K148" s="1"/>
      <c r="L148" s="1"/>
      <c r="M148" s="1"/>
      <c r="N148" s="1"/>
    </row>
    <row r="149" spans="2:14">
      <c r="B149" s="1"/>
      <c r="C149" s="1"/>
      <c r="D149" s="1"/>
      <c r="E149" s="1"/>
      <c r="F149" s="1"/>
      <c r="G149" s="1"/>
      <c r="H149" s="1"/>
      <c r="I149" s="1"/>
      <c r="J149" s="1"/>
      <c r="K149" s="1"/>
      <c r="L149" s="1"/>
      <c r="M149" s="1"/>
      <c r="N149" s="1"/>
    </row>
    <row r="150" spans="2:14">
      <c r="B150" s="1"/>
      <c r="C150" s="1"/>
      <c r="D150" s="1"/>
      <c r="E150" s="1"/>
      <c r="F150" s="1"/>
      <c r="G150" s="1"/>
      <c r="H150" s="1"/>
      <c r="I150" s="1"/>
      <c r="J150" s="1"/>
      <c r="K150" s="1"/>
      <c r="L150" s="1"/>
      <c r="M150" s="1"/>
      <c r="N150" s="1"/>
    </row>
    <row r="151" spans="2:14">
      <c r="B151" s="1"/>
      <c r="C151" s="1"/>
      <c r="D151" s="1"/>
      <c r="E151" s="1"/>
      <c r="F151" s="1"/>
      <c r="G151" s="1"/>
      <c r="H151" s="1"/>
      <c r="I151" s="1"/>
      <c r="J151" s="1"/>
      <c r="K151" s="1"/>
      <c r="L151" s="1"/>
      <c r="M151" s="1"/>
      <c r="N151" s="1"/>
    </row>
    <row r="152" spans="2:14">
      <c r="B152" s="1"/>
      <c r="C152" s="1"/>
      <c r="D152" s="1"/>
      <c r="E152" s="1"/>
      <c r="F152" s="1"/>
      <c r="G152" s="1"/>
      <c r="H152" s="1"/>
      <c r="I152" s="1"/>
      <c r="J152" s="1"/>
      <c r="K152" s="1"/>
      <c r="L152" s="1"/>
      <c r="M152" s="1"/>
      <c r="N152" s="1"/>
    </row>
    <row r="153" spans="2:14">
      <c r="B153" s="1"/>
      <c r="C153" s="1"/>
      <c r="D153" s="1"/>
      <c r="E153" s="1"/>
      <c r="F153" s="1"/>
      <c r="G153" s="1"/>
      <c r="H153" s="1"/>
      <c r="I153" s="1"/>
      <c r="J153" s="1"/>
      <c r="K153" s="1"/>
      <c r="L153" s="1"/>
      <c r="M153" s="1"/>
      <c r="N153" s="1"/>
    </row>
    <row r="154" spans="2:14">
      <c r="B154" s="1"/>
      <c r="C154" s="1"/>
      <c r="D154" s="1"/>
      <c r="E154" s="1"/>
      <c r="F154" s="1"/>
      <c r="G154" s="1"/>
      <c r="H154" s="1"/>
      <c r="I154" s="1"/>
      <c r="J154" s="1"/>
      <c r="K154" s="1"/>
      <c r="L154" s="1"/>
      <c r="M154" s="1"/>
      <c r="N154" s="1"/>
    </row>
    <row r="155" spans="2:14">
      <c r="B155" s="1"/>
      <c r="C155" s="1"/>
      <c r="D155" s="1"/>
      <c r="E155" s="1"/>
      <c r="F155" s="1"/>
      <c r="G155" s="1"/>
      <c r="H155" s="1"/>
      <c r="I155" s="1"/>
      <c r="J155" s="1"/>
      <c r="K155" s="1"/>
      <c r="L155" s="1"/>
      <c r="M155" s="1"/>
      <c r="N155" s="1"/>
    </row>
    <row r="156" spans="2:14">
      <c r="B156" s="1"/>
      <c r="C156" s="1"/>
      <c r="D156" s="1"/>
      <c r="E156" s="1"/>
      <c r="F156" s="1"/>
      <c r="G156" s="1"/>
      <c r="H156" s="1"/>
      <c r="I156" s="1"/>
      <c r="J156" s="1"/>
      <c r="K156" s="1"/>
      <c r="L156" s="1"/>
      <c r="M156" s="1"/>
      <c r="N156" s="1"/>
    </row>
    <row r="157" spans="2:14">
      <c r="B157" s="1"/>
      <c r="C157" s="1"/>
      <c r="D157" s="1"/>
      <c r="E157" s="1"/>
      <c r="F157" s="1"/>
      <c r="G157" s="1"/>
      <c r="H157" s="1"/>
      <c r="I157" s="1"/>
      <c r="J157" s="1"/>
      <c r="K157" s="1"/>
      <c r="L157" s="1"/>
      <c r="M157" s="1"/>
      <c r="N157" s="1"/>
    </row>
    <row r="158" spans="2:14">
      <c r="B158" s="1"/>
      <c r="C158" s="1"/>
      <c r="D158" s="1"/>
      <c r="E158" s="1"/>
      <c r="F158" s="1"/>
      <c r="G158" s="1"/>
      <c r="H158" s="1"/>
      <c r="I158" s="1"/>
      <c r="J158" s="1"/>
      <c r="K158" s="1"/>
      <c r="L158" s="1"/>
      <c r="M158" s="1"/>
      <c r="N158" s="1"/>
    </row>
    <row r="159" spans="2:14">
      <c r="B159" s="1"/>
      <c r="C159" s="1"/>
      <c r="D159" s="1"/>
      <c r="E159" s="1"/>
      <c r="F159" s="1"/>
      <c r="G159" s="1"/>
      <c r="H159" s="1"/>
      <c r="I159" s="1"/>
      <c r="J159" s="1"/>
      <c r="K159" s="1"/>
      <c r="L159" s="1"/>
      <c r="M159" s="1"/>
      <c r="N159" s="1"/>
    </row>
    <row r="160" spans="2:14">
      <c r="B160" s="1"/>
      <c r="C160" s="1"/>
      <c r="D160" s="1"/>
      <c r="E160" s="1"/>
      <c r="F160" s="1"/>
      <c r="G160" s="1"/>
      <c r="H160" s="1"/>
      <c r="I160" s="1"/>
      <c r="J160" s="1"/>
      <c r="K160" s="1"/>
      <c r="L160" s="1"/>
      <c r="M160" s="1"/>
      <c r="N160" s="1"/>
    </row>
    <row r="161" spans="2:14">
      <c r="B161" s="1"/>
      <c r="C161" s="1"/>
      <c r="D161" s="1"/>
      <c r="E161" s="1"/>
      <c r="F161" s="1"/>
      <c r="G161" s="1"/>
      <c r="H161" s="1"/>
      <c r="I161" s="1"/>
      <c r="J161" s="1"/>
      <c r="K161" s="1"/>
      <c r="L161" s="1"/>
      <c r="M161" s="1"/>
      <c r="N161" s="1"/>
    </row>
    <row r="162" spans="2:14">
      <c r="B162" s="1"/>
      <c r="C162" s="1"/>
      <c r="D162" s="1"/>
      <c r="E162" s="1"/>
      <c r="F162" s="1"/>
      <c r="G162" s="1"/>
      <c r="H162" s="1"/>
      <c r="I162" s="1"/>
      <c r="J162" s="1"/>
      <c r="K162" s="1"/>
      <c r="L162" s="1"/>
      <c r="M162" s="1"/>
      <c r="N162" s="1"/>
    </row>
    <row r="163" spans="2:14">
      <c r="B163" s="1"/>
      <c r="C163" s="1"/>
      <c r="D163" s="1"/>
      <c r="E163" s="1"/>
      <c r="F163" s="1"/>
      <c r="G163" s="1"/>
      <c r="H163" s="1"/>
      <c r="I163" s="1"/>
      <c r="J163" s="1"/>
      <c r="K163" s="1"/>
      <c r="L163" s="1"/>
      <c r="M163" s="1"/>
      <c r="N163" s="1"/>
    </row>
    <row r="164" spans="2:14">
      <c r="B164" s="1"/>
      <c r="C164" s="1"/>
      <c r="D164" s="1"/>
      <c r="E164" s="1"/>
      <c r="F164" s="1"/>
      <c r="G164" s="1"/>
      <c r="H164" s="1"/>
      <c r="I164" s="1"/>
      <c r="J164" s="1"/>
      <c r="K164" s="1"/>
      <c r="L164" s="1"/>
      <c r="M164" s="1"/>
      <c r="N164" s="1"/>
    </row>
    <row r="165" spans="2:14">
      <c r="B165" s="1"/>
      <c r="C165" s="1"/>
      <c r="D165" s="1"/>
      <c r="E165" s="1"/>
      <c r="F165" s="1"/>
      <c r="G165" s="1"/>
      <c r="H165" s="1"/>
      <c r="I165" s="1"/>
      <c r="J165" s="1"/>
      <c r="K165" s="1"/>
      <c r="L165" s="1"/>
      <c r="M165" s="1"/>
      <c r="N165" s="1"/>
    </row>
    <row r="166" spans="2:14">
      <c r="B166" s="1"/>
      <c r="C166" s="1"/>
      <c r="D166" s="1"/>
      <c r="E166" s="1"/>
      <c r="F166" s="1"/>
      <c r="G166" s="1"/>
      <c r="H166" s="1"/>
      <c r="I166" s="1"/>
      <c r="J166" s="1"/>
      <c r="K166" s="1"/>
      <c r="L166" s="1"/>
      <c r="M166" s="1"/>
      <c r="N166" s="1"/>
    </row>
    <row r="167" spans="2:14">
      <c r="B167" s="1"/>
      <c r="C167" s="1"/>
      <c r="D167" s="1"/>
      <c r="E167" s="1"/>
      <c r="F167" s="1"/>
      <c r="G167" s="1"/>
      <c r="H167" s="1"/>
      <c r="I167" s="1"/>
      <c r="J167" s="1"/>
      <c r="K167" s="1"/>
      <c r="L167" s="1"/>
      <c r="M167" s="1"/>
      <c r="N167" s="1"/>
    </row>
    <row r="168" spans="2:14">
      <c r="B168" s="1"/>
      <c r="C168" s="1"/>
      <c r="D168" s="1"/>
      <c r="E168" s="1"/>
      <c r="F168" s="1"/>
      <c r="G168" s="1"/>
      <c r="H168" s="1"/>
      <c r="I168" s="1"/>
      <c r="J168" s="1"/>
      <c r="K168" s="1"/>
      <c r="L168" s="1"/>
      <c r="M168" s="1"/>
      <c r="N168" s="1"/>
    </row>
    <row r="169" spans="2:14">
      <c r="B169" s="1"/>
      <c r="C169" s="1"/>
      <c r="D169" s="1"/>
      <c r="E169" s="1"/>
      <c r="F169" s="1"/>
      <c r="G169" s="1"/>
      <c r="H169" s="1"/>
      <c r="I169" s="1"/>
      <c r="J169" s="1"/>
      <c r="K169" s="1"/>
      <c r="L169" s="1"/>
      <c r="M169" s="1"/>
      <c r="N169" s="1"/>
    </row>
    <row r="170" spans="2:14">
      <c r="B170" s="1"/>
      <c r="C170" s="1"/>
      <c r="D170" s="1"/>
      <c r="E170" s="1"/>
      <c r="F170" s="1"/>
      <c r="G170" s="1"/>
      <c r="H170" s="1"/>
      <c r="I170" s="1"/>
      <c r="J170" s="1"/>
      <c r="K170" s="1"/>
      <c r="L170" s="1"/>
      <c r="M170" s="1"/>
      <c r="N170" s="1"/>
    </row>
    <row r="171" spans="2:14">
      <c r="B171" s="1"/>
      <c r="C171" s="1"/>
      <c r="D171" s="1"/>
      <c r="E171" s="1"/>
      <c r="F171" s="1"/>
      <c r="G171" s="1"/>
      <c r="H171" s="1"/>
      <c r="I171" s="1"/>
      <c r="J171" s="1"/>
      <c r="K171" s="1"/>
      <c r="L171" s="1"/>
      <c r="M171" s="1"/>
      <c r="N171" s="1"/>
    </row>
    <row r="172" spans="2:14">
      <c r="B172" s="1"/>
      <c r="C172" s="1"/>
      <c r="D172" s="1"/>
      <c r="E172" s="1"/>
      <c r="F172" s="1"/>
      <c r="G172" s="1"/>
      <c r="H172" s="1"/>
      <c r="I172" s="1"/>
      <c r="J172" s="1"/>
      <c r="K172" s="1"/>
      <c r="L172" s="1"/>
      <c r="M172" s="1"/>
      <c r="N172" s="1"/>
    </row>
    <row r="173" spans="2:14">
      <c r="B173" s="1"/>
      <c r="C173" s="1"/>
      <c r="D173" s="1"/>
      <c r="E173" s="1"/>
      <c r="F173" s="1"/>
      <c r="G173" s="1"/>
      <c r="H173" s="1"/>
      <c r="I173" s="1"/>
      <c r="J173" s="1"/>
      <c r="K173" s="1"/>
      <c r="L173" s="1"/>
      <c r="M173" s="1"/>
      <c r="N173" s="1"/>
    </row>
    <row r="174" spans="2:14">
      <c r="B174" s="1"/>
      <c r="C174" s="1"/>
      <c r="D174" s="1"/>
      <c r="E174" s="1"/>
      <c r="F174" s="1"/>
      <c r="G174" s="1"/>
      <c r="H174" s="1"/>
      <c r="I174" s="1"/>
      <c r="J174" s="1"/>
      <c r="K174" s="1"/>
      <c r="L174" s="1"/>
      <c r="M174" s="1"/>
      <c r="N174" s="1"/>
    </row>
    <row r="175" spans="2:14">
      <c r="B175" s="1"/>
      <c r="C175" s="1"/>
      <c r="D175" s="1"/>
      <c r="E175" s="1"/>
      <c r="F175" s="1"/>
      <c r="G175" s="1"/>
      <c r="H175" s="1"/>
      <c r="I175" s="1"/>
      <c r="J175" s="1"/>
      <c r="K175" s="1"/>
      <c r="L175" s="1"/>
      <c r="M175" s="1"/>
      <c r="N175" s="1"/>
    </row>
  </sheetData>
  <mergeCells count="2">
    <mergeCell ref="J1:L1"/>
    <mergeCell ref="J3:L3"/>
  </mergeCells>
  <pageMargins left="0.75" right="0.75" top="1" bottom="1" header="0.5" footer="0.5"/>
  <pageSetup orientation="portrait" horizontalDpi="4294967292" verticalDpi="4294967292"/>
  <drawing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X281"/>
  <sheetViews>
    <sheetView topLeftCell="O1" workbookViewId="0">
      <selection activeCell="W1" sqref="W1"/>
    </sheetView>
  </sheetViews>
  <sheetFormatPr defaultColWidth="11" defaultRowHeight="15.75"/>
  <cols>
    <col min="1" max="1" width="44" customWidth="1"/>
    <col min="2" max="2" width="15.125" bestFit="1" customWidth="1"/>
    <col min="3" max="9" width="12.5" bestFit="1" customWidth="1"/>
    <col min="10" max="12" width="13.875" customWidth="1"/>
    <col min="14" max="14" width="11" style="190"/>
    <col min="24" max="24" width="22.375" customWidth="1"/>
  </cols>
  <sheetData>
    <row r="1" spans="1:14" ht="18.75">
      <c r="A1" s="37" t="s">
        <v>32</v>
      </c>
      <c r="J1" s="494" t="s">
        <v>215</v>
      </c>
      <c r="K1" s="494"/>
      <c r="L1" s="494"/>
    </row>
    <row r="2" spans="1:14">
      <c r="A2" s="2"/>
    </row>
    <row r="3" spans="1:14">
      <c r="A3" s="2" t="s">
        <v>163</v>
      </c>
      <c r="B3" s="82" t="s">
        <v>61</v>
      </c>
      <c r="C3" s="82" t="s">
        <v>61</v>
      </c>
      <c r="D3" s="82" t="s">
        <v>61</v>
      </c>
      <c r="E3" s="82" t="s">
        <v>61</v>
      </c>
      <c r="F3" s="82" t="s">
        <v>61</v>
      </c>
      <c r="G3" s="82" t="s">
        <v>61</v>
      </c>
      <c r="H3" s="82" t="s">
        <v>61</v>
      </c>
      <c r="I3" s="82" t="s">
        <v>61</v>
      </c>
      <c r="J3" s="82" t="s">
        <v>61</v>
      </c>
      <c r="K3" s="82" t="s">
        <v>61</v>
      </c>
      <c r="L3" s="82" t="s">
        <v>61</v>
      </c>
    </row>
    <row r="4" spans="1:14">
      <c r="A4" s="2"/>
      <c r="B4" s="30" t="s">
        <v>57</v>
      </c>
      <c r="C4" s="30" t="s">
        <v>57</v>
      </c>
      <c r="D4" s="30" t="s">
        <v>57</v>
      </c>
      <c r="E4" s="30" t="s">
        <v>57</v>
      </c>
      <c r="F4" s="30" t="s">
        <v>57</v>
      </c>
      <c r="G4" s="30" t="s">
        <v>57</v>
      </c>
      <c r="H4" s="30" t="s">
        <v>57</v>
      </c>
      <c r="I4" s="30" t="s">
        <v>57</v>
      </c>
      <c r="J4" s="30" t="s">
        <v>57</v>
      </c>
      <c r="K4" s="30" t="s">
        <v>202</v>
      </c>
      <c r="L4" s="30" t="s">
        <v>58</v>
      </c>
    </row>
    <row r="5" spans="1:14" ht="18.75">
      <c r="A5" s="93" t="s">
        <v>98</v>
      </c>
      <c r="B5" s="254">
        <v>2009</v>
      </c>
      <c r="C5" s="254">
        <v>2010</v>
      </c>
      <c r="D5" s="254">
        <v>2011</v>
      </c>
      <c r="E5" s="254">
        <v>2012</v>
      </c>
      <c r="F5" s="254">
        <v>2013</v>
      </c>
      <c r="G5" s="254">
        <v>2014</v>
      </c>
      <c r="H5" s="254">
        <v>2015</v>
      </c>
      <c r="I5" s="254">
        <v>2016</v>
      </c>
      <c r="J5" s="254">
        <v>2017</v>
      </c>
      <c r="K5" s="254">
        <v>2018</v>
      </c>
      <c r="L5" s="254">
        <v>2019</v>
      </c>
      <c r="M5" s="2"/>
      <c r="N5" s="195"/>
    </row>
    <row r="6" spans="1:14">
      <c r="A6" s="10" t="s">
        <v>100</v>
      </c>
      <c r="B6" s="27">
        <v>92527</v>
      </c>
      <c r="C6" s="27">
        <v>106423</v>
      </c>
      <c r="D6" s="27">
        <v>101076</v>
      </c>
      <c r="E6" s="27">
        <v>97102</v>
      </c>
      <c r="F6" s="27">
        <v>118263</v>
      </c>
      <c r="G6" s="27">
        <v>162625</v>
      </c>
      <c r="H6" s="27">
        <v>157812</v>
      </c>
      <c r="I6" s="32">
        <v>151146</v>
      </c>
      <c r="J6" s="32">
        <v>159913</v>
      </c>
      <c r="K6" s="32">
        <v>168523</v>
      </c>
      <c r="L6" s="32">
        <v>139383</v>
      </c>
      <c r="M6" s="3"/>
      <c r="N6" s="174"/>
    </row>
    <row r="7" spans="1:14">
      <c r="A7" s="96" t="s">
        <v>93</v>
      </c>
      <c r="B7" s="32">
        <v>0</v>
      </c>
      <c r="C7" s="32">
        <v>0</v>
      </c>
      <c r="D7" s="32">
        <v>0</v>
      </c>
      <c r="E7" s="32">
        <v>0</v>
      </c>
      <c r="F7" s="32">
        <v>0</v>
      </c>
      <c r="G7" s="32">
        <v>0</v>
      </c>
      <c r="H7" s="32">
        <v>0</v>
      </c>
      <c r="I7" s="32">
        <v>0</v>
      </c>
      <c r="J7" s="32">
        <v>0</v>
      </c>
      <c r="K7" s="32">
        <v>0</v>
      </c>
      <c r="L7" s="32">
        <v>0</v>
      </c>
      <c r="M7" s="3"/>
      <c r="N7" s="174"/>
    </row>
    <row r="8" spans="1:14">
      <c r="A8" s="94" t="s">
        <v>101</v>
      </c>
      <c r="B8" s="32">
        <v>0</v>
      </c>
      <c r="C8" s="32">
        <v>0</v>
      </c>
      <c r="D8" s="32">
        <v>0</v>
      </c>
      <c r="E8" s="32">
        <v>0</v>
      </c>
      <c r="F8" s="32">
        <v>0</v>
      </c>
      <c r="G8" s="32">
        <v>0</v>
      </c>
      <c r="H8" s="32">
        <v>0</v>
      </c>
      <c r="I8" s="32">
        <v>0</v>
      </c>
      <c r="J8" s="32">
        <v>0</v>
      </c>
      <c r="K8" s="32">
        <v>0</v>
      </c>
      <c r="L8" s="32">
        <v>0</v>
      </c>
      <c r="M8" s="3"/>
      <c r="N8" s="174"/>
    </row>
    <row r="9" spans="1:14">
      <c r="A9" s="73" t="s">
        <v>83</v>
      </c>
      <c r="B9" s="145">
        <v>0</v>
      </c>
      <c r="C9" s="145">
        <v>0</v>
      </c>
      <c r="D9" s="145">
        <v>0</v>
      </c>
      <c r="E9" s="145">
        <v>0</v>
      </c>
      <c r="F9" s="145">
        <v>0</v>
      </c>
      <c r="G9" s="145">
        <v>0</v>
      </c>
      <c r="H9" s="145">
        <v>0</v>
      </c>
      <c r="I9" s="145">
        <v>0</v>
      </c>
      <c r="J9" s="145">
        <v>0</v>
      </c>
      <c r="K9" s="145">
        <v>0</v>
      </c>
      <c r="L9" s="145">
        <v>0</v>
      </c>
      <c r="M9" s="3"/>
      <c r="N9" s="174"/>
    </row>
    <row r="10" spans="1:14" ht="16.5" thickBot="1">
      <c r="A10" s="73"/>
      <c r="B10" s="125">
        <v>0</v>
      </c>
      <c r="C10" s="125">
        <v>0</v>
      </c>
      <c r="D10" s="125">
        <v>0</v>
      </c>
      <c r="E10" s="125">
        <v>0</v>
      </c>
      <c r="F10" s="125">
        <v>0</v>
      </c>
      <c r="G10" s="125">
        <v>0</v>
      </c>
      <c r="H10" s="125">
        <v>0</v>
      </c>
      <c r="I10" s="125">
        <v>0</v>
      </c>
      <c r="J10" s="125">
        <v>0</v>
      </c>
      <c r="K10" s="125">
        <v>0</v>
      </c>
      <c r="L10" s="125">
        <v>0</v>
      </c>
      <c r="M10" s="3"/>
      <c r="N10" s="174"/>
    </row>
    <row r="11" spans="1:14">
      <c r="A11" s="95" t="s">
        <v>108</v>
      </c>
      <c r="B11" s="32">
        <f>SUM(B6:B9)</f>
        <v>92527</v>
      </c>
      <c r="C11" s="32">
        <f t="shared" ref="C11:L11" si="0">SUM(C6:C9)</f>
        <v>106423</v>
      </c>
      <c r="D11" s="32">
        <f t="shared" si="0"/>
        <v>101076</v>
      </c>
      <c r="E11" s="32">
        <f t="shared" si="0"/>
        <v>97102</v>
      </c>
      <c r="F11" s="32">
        <f t="shared" si="0"/>
        <v>118263</v>
      </c>
      <c r="G11" s="32">
        <f t="shared" si="0"/>
        <v>162625</v>
      </c>
      <c r="H11" s="32">
        <f t="shared" si="0"/>
        <v>157812</v>
      </c>
      <c r="I11" s="32">
        <f t="shared" si="0"/>
        <v>151146</v>
      </c>
      <c r="J11" s="32">
        <f t="shared" si="0"/>
        <v>159913</v>
      </c>
      <c r="K11" s="32">
        <f t="shared" si="0"/>
        <v>168523</v>
      </c>
      <c r="L11" s="32">
        <f t="shared" si="0"/>
        <v>139383</v>
      </c>
      <c r="M11" s="2"/>
      <c r="N11" s="195"/>
    </row>
    <row r="12" spans="1:14">
      <c r="B12" s="19"/>
      <c r="C12" s="19"/>
      <c r="D12" s="19"/>
      <c r="E12" s="19"/>
      <c r="F12" s="19"/>
      <c r="G12" s="19"/>
      <c r="H12" s="19"/>
      <c r="I12" s="19"/>
      <c r="J12" s="19"/>
      <c r="K12" s="19"/>
      <c r="L12" s="19"/>
    </row>
    <row r="13" spans="1:14">
      <c r="B13" s="19"/>
      <c r="C13" s="19"/>
      <c r="D13" s="19"/>
      <c r="E13" s="19"/>
      <c r="F13" s="19"/>
      <c r="G13" s="19"/>
      <c r="H13" s="19"/>
      <c r="I13" s="19"/>
      <c r="J13" s="19"/>
      <c r="K13" s="19"/>
      <c r="L13" s="19"/>
    </row>
    <row r="14" spans="1:14" ht="18.75">
      <c r="A14" s="93" t="s">
        <v>73</v>
      </c>
      <c r="B14" s="254">
        <v>2009</v>
      </c>
      <c r="C14" s="254">
        <v>2010</v>
      </c>
      <c r="D14" s="254">
        <v>2011</v>
      </c>
      <c r="E14" s="254">
        <v>2012</v>
      </c>
      <c r="F14" s="254">
        <v>2013</v>
      </c>
      <c r="G14" s="254">
        <v>2014</v>
      </c>
      <c r="H14" s="254">
        <v>2015</v>
      </c>
      <c r="I14" s="254">
        <v>2016</v>
      </c>
      <c r="J14" s="254">
        <v>2017</v>
      </c>
      <c r="K14" s="254">
        <v>2018</v>
      </c>
      <c r="L14" s="254">
        <v>2019</v>
      </c>
      <c r="M14" s="1"/>
      <c r="N14" s="173"/>
    </row>
    <row r="15" spans="1:14">
      <c r="A15" s="214" t="s">
        <v>100</v>
      </c>
      <c r="B15" s="32">
        <v>92527</v>
      </c>
      <c r="C15" s="32">
        <v>106423</v>
      </c>
      <c r="D15" s="32">
        <v>101076</v>
      </c>
      <c r="E15" s="27">
        <v>97102</v>
      </c>
      <c r="F15" s="32">
        <v>118263</v>
      </c>
      <c r="G15" s="32">
        <v>162625</v>
      </c>
      <c r="H15" s="32">
        <v>157812</v>
      </c>
      <c r="I15" s="32">
        <v>151146</v>
      </c>
      <c r="J15" s="32">
        <v>159913</v>
      </c>
      <c r="K15" s="32">
        <v>168523</v>
      </c>
      <c r="L15" s="32">
        <v>139383</v>
      </c>
      <c r="M15" s="1"/>
      <c r="N15" s="173"/>
    </row>
    <row r="16" spans="1:14">
      <c r="A16" s="216" t="s">
        <v>93</v>
      </c>
      <c r="B16" s="32">
        <v>0</v>
      </c>
      <c r="C16" s="32">
        <v>0</v>
      </c>
      <c r="D16" s="32">
        <v>0</v>
      </c>
      <c r="E16" s="32">
        <v>0</v>
      </c>
      <c r="F16" s="32">
        <v>0</v>
      </c>
      <c r="G16" s="32">
        <v>0</v>
      </c>
      <c r="H16" s="32">
        <v>0</v>
      </c>
      <c r="I16" s="32">
        <v>0</v>
      </c>
      <c r="J16" s="32">
        <v>0</v>
      </c>
      <c r="K16" s="32">
        <v>0</v>
      </c>
      <c r="L16" s="32">
        <v>0</v>
      </c>
      <c r="M16" s="1"/>
      <c r="N16" s="173"/>
    </row>
    <row r="17" spans="1:24">
      <c r="A17" s="217" t="s">
        <v>155</v>
      </c>
      <c r="B17" s="32">
        <v>0</v>
      </c>
      <c r="C17" s="32">
        <v>0</v>
      </c>
      <c r="D17" s="32">
        <v>0</v>
      </c>
      <c r="E17" s="32">
        <v>0</v>
      </c>
      <c r="F17" s="32">
        <v>0</v>
      </c>
      <c r="G17" s="32">
        <v>0</v>
      </c>
      <c r="H17" s="32">
        <v>0</v>
      </c>
      <c r="I17" s="32">
        <v>0</v>
      </c>
      <c r="J17" s="32">
        <v>0</v>
      </c>
      <c r="K17" s="32">
        <v>0</v>
      </c>
      <c r="L17" s="32">
        <v>0</v>
      </c>
      <c r="M17" s="1"/>
      <c r="N17" s="173"/>
    </row>
    <row r="18" spans="1:24">
      <c r="A18" s="156" t="s">
        <v>156</v>
      </c>
      <c r="B18" s="32"/>
      <c r="C18" s="32"/>
      <c r="D18" s="32"/>
      <c r="E18" s="32"/>
      <c r="F18" s="32"/>
      <c r="G18" s="32"/>
      <c r="H18" s="32"/>
      <c r="I18" s="32"/>
      <c r="J18" s="32"/>
      <c r="K18" s="32"/>
      <c r="L18" s="32"/>
      <c r="M18" s="1"/>
      <c r="N18" s="173"/>
    </row>
    <row r="19" spans="1:24" ht="16.5" thickBot="1">
      <c r="A19" s="156" t="s">
        <v>157</v>
      </c>
      <c r="B19" s="125">
        <v>0</v>
      </c>
      <c r="C19" s="125">
        <v>0</v>
      </c>
      <c r="D19" s="125">
        <v>0</v>
      </c>
      <c r="E19" s="125">
        <v>0</v>
      </c>
      <c r="F19" s="125">
        <v>0</v>
      </c>
      <c r="G19" s="125">
        <v>0</v>
      </c>
      <c r="H19" s="125">
        <v>0</v>
      </c>
      <c r="I19" s="125">
        <v>0</v>
      </c>
      <c r="J19" s="125">
        <v>0</v>
      </c>
      <c r="K19" s="125">
        <v>0</v>
      </c>
      <c r="L19" s="125">
        <v>0</v>
      </c>
      <c r="M19" s="1"/>
      <c r="N19" s="173"/>
    </row>
    <row r="20" spans="1:24">
      <c r="A20" s="218" t="s">
        <v>119</v>
      </c>
      <c r="B20" s="32">
        <f t="shared" ref="B20:L20" si="1">SUM(B15:B19)</f>
        <v>92527</v>
      </c>
      <c r="C20" s="32">
        <f t="shared" si="1"/>
        <v>106423</v>
      </c>
      <c r="D20" s="32">
        <f t="shared" si="1"/>
        <v>101076</v>
      </c>
      <c r="E20" s="32">
        <f t="shared" si="1"/>
        <v>97102</v>
      </c>
      <c r="F20" s="32">
        <f t="shared" si="1"/>
        <v>118263</v>
      </c>
      <c r="G20" s="32">
        <f t="shared" si="1"/>
        <v>162625</v>
      </c>
      <c r="H20" s="32">
        <f t="shared" si="1"/>
        <v>157812</v>
      </c>
      <c r="I20" s="32">
        <f t="shared" si="1"/>
        <v>151146</v>
      </c>
      <c r="J20" s="32">
        <f t="shared" si="1"/>
        <v>159913</v>
      </c>
      <c r="K20" s="32">
        <f t="shared" si="1"/>
        <v>168523</v>
      </c>
      <c r="L20" s="32">
        <f t="shared" si="1"/>
        <v>139383</v>
      </c>
      <c r="M20" s="1"/>
      <c r="N20" s="173"/>
    </row>
    <row r="21" spans="1:24">
      <c r="B21" s="27"/>
      <c r="C21" s="27"/>
      <c r="D21" s="27"/>
      <c r="E21" s="27"/>
      <c r="F21" s="27"/>
      <c r="G21" s="27"/>
      <c r="H21" s="27"/>
      <c r="I21" s="27"/>
      <c r="J21" s="27"/>
      <c r="K21" s="27"/>
      <c r="L21" s="27"/>
      <c r="M21" s="1"/>
      <c r="N21" s="173"/>
    </row>
    <row r="22" spans="1:24">
      <c r="A22" s="112"/>
      <c r="B22" s="31"/>
      <c r="C22" s="31"/>
      <c r="D22" s="31"/>
      <c r="E22" s="31"/>
      <c r="F22" s="31"/>
      <c r="G22" s="31"/>
      <c r="H22" s="31"/>
      <c r="I22" s="31"/>
      <c r="J22" s="31"/>
      <c r="K22" s="31"/>
      <c r="L22" s="31"/>
      <c r="M22" s="1"/>
      <c r="N22" s="173"/>
    </row>
    <row r="23" spans="1:24">
      <c r="A23" s="112"/>
      <c r="M23" s="1"/>
      <c r="N23" s="173"/>
    </row>
    <row r="24" spans="1:24">
      <c r="M24" s="1"/>
      <c r="N24" s="173"/>
    </row>
    <row r="25" spans="1:24">
      <c r="M25" s="1"/>
      <c r="N25" s="173"/>
    </row>
    <row r="26" spans="1:24">
      <c r="M26" s="1"/>
      <c r="N26" s="173"/>
    </row>
    <row r="27" spans="1:24" ht="17.25" customHeight="1">
      <c r="M27" s="1"/>
      <c r="N27" s="173"/>
      <c r="X27" s="249"/>
    </row>
    <row r="28" spans="1:24">
      <c r="M28" s="1"/>
      <c r="N28" s="173"/>
    </row>
    <row r="29" spans="1:24">
      <c r="M29" s="1"/>
      <c r="N29" s="173"/>
    </row>
    <row r="30" spans="1:24">
      <c r="A30" s="190"/>
      <c r="B30" s="190"/>
      <c r="C30" s="190"/>
      <c r="D30" s="190"/>
      <c r="E30" s="190"/>
      <c r="F30" s="190"/>
      <c r="G30" s="190"/>
      <c r="H30" s="190"/>
      <c r="I30" s="190"/>
      <c r="J30" s="190"/>
      <c r="K30" s="190"/>
      <c r="L30" s="190"/>
      <c r="M30" s="190"/>
    </row>
    <row r="31" spans="1:24">
      <c r="A31" s="2" t="s">
        <v>203</v>
      </c>
      <c r="B31" s="254">
        <v>2009</v>
      </c>
      <c r="C31" s="254">
        <v>2010</v>
      </c>
      <c r="D31" s="254">
        <v>2011</v>
      </c>
      <c r="E31" s="254">
        <v>2012</v>
      </c>
      <c r="F31" s="254">
        <v>2013</v>
      </c>
      <c r="G31" s="254">
        <v>2014</v>
      </c>
      <c r="H31" s="254">
        <v>2015</v>
      </c>
      <c r="I31" s="254">
        <v>2016</v>
      </c>
      <c r="J31" s="254">
        <v>2017</v>
      </c>
      <c r="K31" s="254">
        <v>2018</v>
      </c>
      <c r="L31" s="254">
        <v>2019</v>
      </c>
    </row>
    <row r="32" spans="1:24">
      <c r="A32" s="2" t="s">
        <v>100</v>
      </c>
      <c r="B32" s="8">
        <f t="shared" ref="B32:L32" si="2">+B20/B33</f>
        <v>1.4649156138184352</v>
      </c>
      <c r="C32" s="8">
        <f t="shared" si="2"/>
        <v>1.5710046942812435</v>
      </c>
      <c r="D32" s="8">
        <f t="shared" si="2"/>
        <v>1.4699611698491877</v>
      </c>
      <c r="E32" s="8">
        <f t="shared" si="2"/>
        <v>1.4003547684631026</v>
      </c>
      <c r="F32" s="8">
        <f t="shared" si="2"/>
        <v>1.6805883188858888</v>
      </c>
      <c r="G32" s="8">
        <f t="shared" si="2"/>
        <v>2.2896222563250594</v>
      </c>
      <c r="H32" s="8">
        <f t="shared" si="2"/>
        <v>2.1494415690547535</v>
      </c>
      <c r="I32" s="8">
        <f t="shared" si="2"/>
        <v>2.0319419237749545</v>
      </c>
      <c r="J32" s="8">
        <f t="shared" si="2"/>
        <v>2.1085574894514769</v>
      </c>
      <c r="K32" s="8">
        <f t="shared" si="2"/>
        <v>2.1811886826641818</v>
      </c>
      <c r="L32" s="8">
        <f t="shared" si="2"/>
        <v>1.76478855406432</v>
      </c>
      <c r="M32" s="1"/>
      <c r="N32" s="173"/>
    </row>
    <row r="33" spans="1:22">
      <c r="A33" s="9" t="s">
        <v>21</v>
      </c>
      <c r="B33" s="12">
        <f>Stats!D4</f>
        <v>63162</v>
      </c>
      <c r="C33" s="12">
        <f>Stats!E4</f>
        <v>67742</v>
      </c>
      <c r="D33" s="12">
        <f>Stats!F4</f>
        <v>68761</v>
      </c>
      <c r="E33" s="12">
        <f>Stats!G4</f>
        <v>69341</v>
      </c>
      <c r="F33" s="12">
        <f>Stats!H4</f>
        <v>70370</v>
      </c>
      <c r="G33" s="12">
        <f>Stats!I4</f>
        <v>71027</v>
      </c>
      <c r="H33" s="12">
        <f>Stats!J4</f>
        <v>73420</v>
      </c>
      <c r="I33" s="48">
        <f>Stats!K4</f>
        <v>74385</v>
      </c>
      <c r="J33" s="48">
        <f>Stats!L4</f>
        <v>75840</v>
      </c>
      <c r="K33" s="48">
        <f>Stats!M4</f>
        <v>77262</v>
      </c>
      <c r="L33" s="48">
        <f>Stats!N4</f>
        <v>78980</v>
      </c>
      <c r="M33" s="1"/>
      <c r="N33" s="173"/>
    </row>
    <row r="34" spans="1:22">
      <c r="A34" s="450"/>
      <c r="B34" s="27"/>
      <c r="C34" s="27"/>
      <c r="D34" s="27"/>
      <c r="E34" s="27"/>
      <c r="F34" s="27"/>
      <c r="G34" s="27"/>
      <c r="H34" s="27"/>
      <c r="I34" s="27"/>
      <c r="J34" s="27"/>
      <c r="K34" s="27"/>
      <c r="L34" s="27"/>
      <c r="M34" s="27"/>
      <c r="N34" s="173"/>
    </row>
    <row r="35" spans="1:22">
      <c r="M35" s="1"/>
      <c r="N35" s="173"/>
    </row>
    <row r="36" spans="1:22">
      <c r="A36" s="190"/>
      <c r="B36" s="332"/>
      <c r="C36" s="332"/>
      <c r="D36" s="332"/>
      <c r="E36" s="332"/>
      <c r="F36" s="332"/>
      <c r="G36" s="332"/>
      <c r="H36" s="332"/>
      <c r="I36" s="332"/>
      <c r="J36" s="332"/>
      <c r="K36" s="332"/>
      <c r="L36" s="332"/>
      <c r="M36" s="173"/>
      <c r="N36" s="173"/>
    </row>
    <row r="37" spans="1:22">
      <c r="A37" s="333"/>
      <c r="B37" s="190"/>
      <c r="C37" s="190"/>
      <c r="D37" s="190"/>
      <c r="E37" s="190"/>
      <c r="F37" s="190"/>
      <c r="G37" s="190"/>
      <c r="H37" s="190"/>
      <c r="I37" s="190"/>
      <c r="J37" s="190"/>
      <c r="K37" s="190"/>
      <c r="L37" s="190"/>
      <c r="M37" s="173"/>
      <c r="N37" s="173"/>
    </row>
    <row r="38" spans="1:22">
      <c r="M38" s="1"/>
      <c r="N38" s="173"/>
      <c r="V38" s="19"/>
    </row>
    <row r="39" spans="1:22">
      <c r="K39" s="14"/>
    </row>
    <row r="40" spans="1:22">
      <c r="M40" s="1"/>
      <c r="N40" s="173"/>
    </row>
    <row r="41" spans="1:22">
      <c r="A41" s="356"/>
      <c r="B41" s="145"/>
      <c r="C41" s="145"/>
      <c r="D41" s="145"/>
      <c r="E41" s="145"/>
      <c r="F41" s="145"/>
      <c r="G41" s="145"/>
      <c r="H41" s="145"/>
      <c r="I41" s="145"/>
      <c r="J41" s="145"/>
      <c r="K41" s="145"/>
      <c r="L41" s="145"/>
      <c r="M41" s="1"/>
      <c r="N41" s="173"/>
    </row>
    <row r="42" spans="1:22">
      <c r="A42" s="356"/>
      <c r="B42" s="145"/>
      <c r="C42" s="145"/>
      <c r="D42" s="145"/>
      <c r="E42" s="145"/>
      <c r="F42" s="145"/>
      <c r="G42" s="145"/>
      <c r="H42" s="145"/>
      <c r="I42" s="145"/>
      <c r="J42" s="145"/>
      <c r="K42" s="145"/>
      <c r="L42" s="145"/>
      <c r="M42" s="1"/>
      <c r="N42" s="173"/>
    </row>
    <row r="43" spans="1:22">
      <c r="A43" s="356"/>
      <c r="B43" s="145"/>
      <c r="C43" s="145"/>
      <c r="D43" s="145"/>
      <c r="E43" s="145"/>
      <c r="F43" s="145"/>
      <c r="G43" s="145"/>
      <c r="H43" s="145"/>
      <c r="I43" s="145"/>
      <c r="J43" s="145"/>
      <c r="K43" s="145"/>
      <c r="L43" s="145"/>
      <c r="M43" s="1"/>
      <c r="N43" s="173"/>
    </row>
    <row r="44" spans="1:22" s="17" customFormat="1">
      <c r="A44" s="356"/>
      <c r="B44" s="145"/>
      <c r="C44" s="145"/>
      <c r="D44" s="145"/>
      <c r="E44" s="145"/>
      <c r="F44" s="145"/>
      <c r="G44" s="145"/>
      <c r="H44" s="145"/>
      <c r="I44" s="145"/>
      <c r="J44" s="145"/>
      <c r="K44" s="145"/>
      <c r="L44" s="145"/>
      <c r="M44" s="33"/>
      <c r="N44" s="197"/>
    </row>
    <row r="45" spans="1:22">
      <c r="A45" s="163"/>
      <c r="B45" s="117"/>
      <c r="C45" s="117"/>
      <c r="D45" s="117"/>
      <c r="E45" s="117"/>
      <c r="F45" s="117"/>
      <c r="G45" s="117"/>
      <c r="H45" s="117"/>
      <c r="I45" s="117"/>
      <c r="J45" s="117"/>
      <c r="K45" s="117"/>
      <c r="L45" s="117"/>
      <c r="M45" s="1"/>
      <c r="N45" s="173"/>
    </row>
    <row r="46" spans="1:22">
      <c r="A46" s="163"/>
      <c r="B46" s="165"/>
      <c r="C46" s="165"/>
      <c r="D46" s="165"/>
      <c r="E46" s="165"/>
      <c r="F46" s="165"/>
      <c r="G46" s="165"/>
      <c r="H46" s="165"/>
      <c r="I46" s="211"/>
      <c r="J46" s="211"/>
      <c r="K46" s="211"/>
      <c r="L46" s="211"/>
      <c r="M46" s="1"/>
      <c r="N46" s="173"/>
    </row>
    <row r="47" spans="1:22">
      <c r="A47" s="163"/>
      <c r="B47" s="163"/>
      <c r="C47" s="163"/>
      <c r="D47" s="163"/>
      <c r="E47" s="163"/>
      <c r="F47" s="163"/>
      <c r="G47" s="163"/>
      <c r="H47" s="163"/>
      <c r="I47" s="163"/>
      <c r="J47" s="163"/>
      <c r="K47" s="163"/>
      <c r="L47" s="163"/>
      <c r="M47" s="1"/>
      <c r="N47" s="173"/>
    </row>
    <row r="48" spans="1:22">
      <c r="A48" s="357"/>
      <c r="B48" s="163"/>
      <c r="C48" s="163"/>
      <c r="D48" s="163"/>
      <c r="E48" s="163"/>
      <c r="F48" s="163"/>
      <c r="G48" s="163"/>
      <c r="H48" s="163"/>
      <c r="I48" s="163"/>
      <c r="J48" s="163"/>
      <c r="K48" s="163"/>
      <c r="L48" s="163"/>
      <c r="M48" s="1"/>
      <c r="N48" s="173"/>
    </row>
    <row r="49" spans="1:14">
      <c r="A49" s="357"/>
      <c r="B49" s="117"/>
      <c r="C49" s="117"/>
      <c r="D49" s="117"/>
      <c r="E49" s="117"/>
      <c r="F49" s="117"/>
      <c r="G49" s="117"/>
      <c r="H49" s="117"/>
      <c r="I49" s="117"/>
      <c r="J49" s="117"/>
      <c r="K49" s="117"/>
      <c r="L49" s="117"/>
      <c r="M49" s="1"/>
      <c r="N49" s="173"/>
    </row>
    <row r="50" spans="1:14">
      <c r="A50" s="357"/>
      <c r="B50" s="358"/>
      <c r="C50" s="358"/>
      <c r="D50" s="358"/>
      <c r="E50" s="358"/>
      <c r="F50" s="358"/>
      <c r="G50" s="358"/>
      <c r="H50" s="358"/>
      <c r="I50" s="358"/>
      <c r="J50" s="358"/>
      <c r="K50" s="358"/>
      <c r="L50" s="358"/>
      <c r="M50" s="1"/>
      <c r="N50" s="173"/>
    </row>
    <row r="51" spans="1:14">
      <c r="A51" s="359"/>
      <c r="B51" s="360"/>
      <c r="C51" s="360"/>
      <c r="D51" s="360"/>
      <c r="E51" s="360"/>
      <c r="F51" s="360"/>
      <c r="G51" s="360"/>
      <c r="H51" s="360"/>
      <c r="I51" s="360"/>
      <c r="J51" s="360"/>
      <c r="K51" s="360"/>
      <c r="L51" s="360"/>
      <c r="M51" s="1"/>
      <c r="N51" s="173"/>
    </row>
    <row r="52" spans="1:14">
      <c r="A52" s="242"/>
      <c r="B52" s="360"/>
      <c r="C52" s="360"/>
      <c r="D52" s="360"/>
      <c r="E52" s="360"/>
      <c r="F52" s="360"/>
      <c r="G52" s="360"/>
      <c r="H52" s="360"/>
      <c r="I52" s="360"/>
      <c r="J52" s="360"/>
      <c r="K52" s="360"/>
      <c r="L52" s="360"/>
      <c r="M52" s="1"/>
      <c r="N52" s="173"/>
    </row>
    <row r="53" spans="1:14">
      <c r="A53" s="361"/>
      <c r="B53" s="362"/>
      <c r="C53" s="362"/>
      <c r="D53" s="362"/>
      <c r="E53" s="362"/>
      <c r="F53" s="362"/>
      <c r="G53" s="362"/>
      <c r="H53" s="362"/>
      <c r="I53" s="362"/>
      <c r="J53" s="362"/>
      <c r="K53" s="362"/>
      <c r="L53" s="362"/>
      <c r="M53" s="1"/>
      <c r="N53" s="173"/>
    </row>
    <row r="54" spans="1:14">
      <c r="A54" s="363"/>
      <c r="B54" s="358"/>
      <c r="C54" s="237"/>
      <c r="D54" s="237"/>
      <c r="E54" s="237"/>
      <c r="F54" s="237"/>
      <c r="G54" s="237"/>
      <c r="H54" s="237"/>
      <c r="I54" s="237"/>
      <c r="J54" s="237"/>
      <c r="K54" s="237"/>
      <c r="L54" s="237"/>
      <c r="M54" s="1"/>
      <c r="N54" s="173"/>
    </row>
    <row r="55" spans="1:14">
      <c r="A55" s="242"/>
      <c r="B55" s="358"/>
      <c r="C55" s="237"/>
      <c r="D55" s="237"/>
      <c r="E55" s="237"/>
      <c r="F55" s="237"/>
      <c r="G55" s="237"/>
      <c r="H55" s="237"/>
      <c r="I55" s="237"/>
      <c r="J55" s="237"/>
      <c r="K55" s="237"/>
      <c r="L55" s="237"/>
      <c r="M55" s="1"/>
      <c r="N55" s="173"/>
    </row>
    <row r="56" spans="1:14">
      <c r="A56" s="163"/>
      <c r="B56" s="117"/>
      <c r="C56" s="117"/>
      <c r="D56" s="117"/>
      <c r="E56" s="117"/>
      <c r="F56" s="117"/>
      <c r="G56" s="117"/>
      <c r="H56" s="117"/>
      <c r="I56" s="117"/>
      <c r="J56" s="117"/>
      <c r="K56" s="117"/>
      <c r="L56" s="117"/>
      <c r="M56" s="1"/>
      <c r="N56" s="173"/>
    </row>
    <row r="57" spans="1:14" ht="18.75">
      <c r="A57" s="364"/>
      <c r="B57" s="117"/>
      <c r="C57" s="117"/>
      <c r="D57" s="117"/>
      <c r="E57" s="117"/>
      <c r="F57" s="117"/>
      <c r="G57" s="117"/>
      <c r="H57" s="117"/>
      <c r="I57" s="117"/>
      <c r="J57" s="117"/>
      <c r="K57" s="117"/>
      <c r="L57" s="117"/>
      <c r="M57" s="1"/>
      <c r="N57" s="173"/>
    </row>
    <row r="58" spans="1:14">
      <c r="A58" s="165"/>
      <c r="B58" s="365"/>
      <c r="C58" s="365"/>
      <c r="D58" s="365"/>
      <c r="E58" s="365"/>
      <c r="F58" s="365"/>
      <c r="G58" s="365"/>
      <c r="H58" s="365"/>
      <c r="I58" s="365"/>
      <c r="J58" s="365"/>
      <c r="K58" s="365"/>
      <c r="L58" s="365"/>
      <c r="M58" s="1"/>
      <c r="N58" s="173"/>
    </row>
    <row r="59" spans="1:14">
      <c r="A59" s="163"/>
      <c r="B59" s="117"/>
      <c r="C59" s="117"/>
      <c r="D59" s="117"/>
      <c r="E59" s="117"/>
      <c r="F59" s="117"/>
      <c r="G59" s="117"/>
      <c r="H59" s="117"/>
      <c r="I59" s="117"/>
      <c r="J59" s="117"/>
      <c r="K59" s="117"/>
      <c r="L59" s="117"/>
      <c r="M59" s="1"/>
      <c r="N59" s="173"/>
    </row>
    <row r="60" spans="1:14">
      <c r="A60" s="163"/>
      <c r="B60" s="117"/>
      <c r="C60" s="117"/>
      <c r="D60" s="117"/>
      <c r="E60" s="117"/>
      <c r="F60" s="117"/>
      <c r="G60" s="117"/>
      <c r="H60" s="117"/>
      <c r="I60" s="117"/>
      <c r="J60" s="117"/>
      <c r="K60" s="117"/>
      <c r="L60" s="117"/>
      <c r="M60" s="1"/>
      <c r="N60" s="173"/>
    </row>
    <row r="61" spans="1:14">
      <c r="A61" s="163"/>
      <c r="B61" s="117"/>
      <c r="C61" s="117"/>
      <c r="D61" s="117"/>
      <c r="E61" s="117"/>
      <c r="F61" s="117"/>
      <c r="G61" s="117"/>
      <c r="H61" s="117"/>
      <c r="I61" s="117"/>
      <c r="J61" s="117"/>
      <c r="K61" s="117"/>
      <c r="L61" s="117"/>
      <c r="M61" s="1"/>
      <c r="N61" s="173"/>
    </row>
    <row r="62" spans="1:14">
      <c r="A62" s="359"/>
      <c r="B62" s="117"/>
      <c r="C62" s="117"/>
      <c r="D62" s="117"/>
      <c r="E62" s="117"/>
      <c r="F62" s="117"/>
      <c r="G62" s="117"/>
      <c r="H62" s="117"/>
      <c r="I62" s="117"/>
      <c r="J62" s="117"/>
      <c r="K62" s="117"/>
      <c r="L62" s="117"/>
      <c r="M62" s="1"/>
      <c r="N62" s="173"/>
    </row>
    <row r="63" spans="1:14">
      <c r="A63" s="357"/>
      <c r="B63" s="117"/>
      <c r="C63" s="117"/>
      <c r="D63" s="117"/>
      <c r="E63" s="117"/>
      <c r="F63" s="117"/>
      <c r="G63" s="117"/>
      <c r="H63" s="117"/>
      <c r="I63" s="117"/>
      <c r="J63" s="117"/>
      <c r="K63" s="117"/>
      <c r="L63" s="117"/>
      <c r="M63" s="1"/>
      <c r="N63" s="173"/>
    </row>
    <row r="64" spans="1:14">
      <c r="A64" s="163"/>
      <c r="B64" s="117"/>
      <c r="C64" s="117"/>
      <c r="D64" s="117"/>
      <c r="E64" s="117"/>
      <c r="F64" s="117"/>
      <c r="G64" s="117"/>
      <c r="H64" s="117"/>
      <c r="I64" s="117"/>
      <c r="J64" s="117"/>
      <c r="K64" s="117"/>
      <c r="L64" s="117"/>
      <c r="M64" s="1"/>
      <c r="N64" s="173"/>
    </row>
    <row r="65" spans="1:14">
      <c r="A65" s="163"/>
      <c r="B65" s="117"/>
      <c r="C65" s="117"/>
      <c r="D65" s="117"/>
      <c r="E65" s="117"/>
      <c r="F65" s="117"/>
      <c r="G65" s="117"/>
      <c r="H65" s="117"/>
      <c r="I65" s="117"/>
      <c r="J65" s="117"/>
      <c r="K65" s="117"/>
      <c r="L65" s="117"/>
      <c r="M65" s="1"/>
      <c r="N65" s="173"/>
    </row>
    <row r="66" spans="1:14">
      <c r="A66" s="163"/>
      <c r="B66" s="159"/>
      <c r="C66" s="159"/>
      <c r="D66" s="159"/>
      <c r="E66" s="159"/>
      <c r="F66" s="159"/>
      <c r="G66" s="159"/>
      <c r="H66" s="159"/>
      <c r="I66" s="159"/>
      <c r="J66" s="159"/>
      <c r="K66" s="159"/>
      <c r="L66" s="159"/>
      <c r="M66" s="1"/>
      <c r="N66" s="173"/>
    </row>
    <row r="67" spans="1:14">
      <c r="A67" s="163"/>
      <c r="B67" s="163"/>
      <c r="C67" s="163"/>
      <c r="D67" s="163"/>
      <c r="E67" s="163"/>
      <c r="F67" s="163"/>
      <c r="G67" s="163"/>
      <c r="H67" s="163"/>
      <c r="I67" s="163"/>
      <c r="J67" s="163"/>
      <c r="K67" s="163"/>
      <c r="L67" s="163"/>
      <c r="M67" s="1"/>
      <c r="N67" s="173"/>
    </row>
    <row r="68" spans="1:14">
      <c r="A68" s="163"/>
      <c r="B68" s="163"/>
      <c r="C68" s="163"/>
      <c r="D68" s="163"/>
      <c r="E68" s="163"/>
      <c r="F68" s="163"/>
      <c r="G68" s="163"/>
      <c r="H68" s="163"/>
      <c r="I68" s="163"/>
      <c r="J68" s="163"/>
      <c r="K68" s="163"/>
      <c r="L68" s="163"/>
      <c r="M68" s="1"/>
      <c r="N68" s="173"/>
    </row>
    <row r="69" spans="1:14">
      <c r="A69" s="163"/>
      <c r="B69" s="163"/>
      <c r="C69" s="163"/>
      <c r="D69" s="163"/>
      <c r="E69" s="163"/>
      <c r="F69" s="163"/>
      <c r="G69" s="163"/>
      <c r="H69" s="163"/>
      <c r="I69" s="163"/>
      <c r="J69" s="163"/>
      <c r="K69" s="163"/>
      <c r="L69" s="163"/>
      <c r="M69" s="1"/>
      <c r="N69" s="173"/>
    </row>
    <row r="70" spans="1:14">
      <c r="A70" s="163"/>
      <c r="B70" s="163"/>
      <c r="C70" s="163"/>
      <c r="D70" s="163"/>
      <c r="E70" s="163"/>
      <c r="F70" s="163"/>
      <c r="G70" s="163"/>
      <c r="H70" s="163"/>
      <c r="I70" s="163"/>
      <c r="J70" s="163"/>
      <c r="K70" s="163"/>
      <c r="L70" s="163"/>
      <c r="M70" s="1"/>
      <c r="N70" s="173"/>
    </row>
    <row r="71" spans="1:14">
      <c r="A71" s="163"/>
      <c r="B71" s="163"/>
      <c r="C71" s="163"/>
      <c r="D71" s="163"/>
      <c r="E71" s="163"/>
      <c r="F71" s="163"/>
      <c r="G71" s="163"/>
      <c r="H71" s="163"/>
      <c r="I71" s="163"/>
      <c r="J71" s="163"/>
      <c r="K71" s="163"/>
      <c r="L71" s="163"/>
      <c r="M71" s="1"/>
      <c r="N71" s="173"/>
    </row>
    <row r="72" spans="1:14">
      <c r="A72" s="163"/>
      <c r="B72" s="163"/>
      <c r="C72" s="163"/>
      <c r="D72" s="163"/>
      <c r="E72" s="163"/>
      <c r="F72" s="163"/>
      <c r="G72" s="163"/>
      <c r="H72" s="163"/>
      <c r="I72" s="163"/>
      <c r="J72" s="163"/>
      <c r="K72" s="163"/>
      <c r="L72" s="163"/>
      <c r="M72" s="1"/>
      <c r="N72" s="173"/>
    </row>
    <row r="73" spans="1:14">
      <c r="A73" s="163"/>
      <c r="B73" s="163"/>
      <c r="C73" s="163"/>
      <c r="D73" s="163"/>
      <c r="E73" s="163"/>
      <c r="F73" s="163"/>
      <c r="G73" s="163"/>
      <c r="H73" s="163"/>
      <c r="I73" s="163"/>
      <c r="J73" s="163"/>
      <c r="K73" s="163"/>
      <c r="L73" s="163"/>
      <c r="M73" s="1"/>
      <c r="N73" s="173"/>
    </row>
    <row r="74" spans="1:14">
      <c r="A74" s="163"/>
      <c r="B74" s="163"/>
      <c r="C74" s="163"/>
      <c r="D74" s="163"/>
      <c r="E74" s="163"/>
      <c r="F74" s="163"/>
      <c r="G74" s="163"/>
      <c r="H74" s="163"/>
      <c r="I74" s="163"/>
      <c r="J74" s="163"/>
      <c r="K74" s="163"/>
      <c r="L74" s="163"/>
      <c r="M74" s="1"/>
      <c r="N74" s="173"/>
    </row>
    <row r="75" spans="1:14">
      <c r="A75" s="163"/>
      <c r="B75" s="163"/>
      <c r="C75" s="163"/>
      <c r="D75" s="163"/>
      <c r="E75" s="163"/>
      <c r="F75" s="163"/>
      <c r="G75" s="163"/>
      <c r="H75" s="163"/>
      <c r="I75" s="163"/>
      <c r="J75" s="163"/>
      <c r="K75" s="163"/>
      <c r="L75" s="163"/>
      <c r="M75" s="1"/>
      <c r="N75" s="173"/>
    </row>
    <row r="76" spans="1:14">
      <c r="A76" s="163"/>
      <c r="B76" s="163"/>
      <c r="C76" s="163"/>
      <c r="D76" s="163"/>
      <c r="E76" s="163"/>
      <c r="F76" s="163"/>
      <c r="G76" s="163"/>
      <c r="H76" s="163"/>
      <c r="I76" s="163"/>
      <c r="J76" s="163"/>
      <c r="K76" s="163"/>
      <c r="L76" s="163"/>
      <c r="M76" s="1"/>
      <c r="N76" s="173"/>
    </row>
    <row r="77" spans="1:14">
      <c r="A77" s="163"/>
      <c r="B77" s="163"/>
      <c r="C77" s="163"/>
      <c r="D77" s="163"/>
      <c r="E77" s="163"/>
      <c r="F77" s="163"/>
      <c r="G77" s="163"/>
      <c r="H77" s="163"/>
      <c r="I77" s="163"/>
      <c r="J77" s="163"/>
      <c r="K77" s="163"/>
      <c r="L77" s="163"/>
      <c r="M77" s="1"/>
      <c r="N77" s="173"/>
    </row>
    <row r="78" spans="1:14">
      <c r="A78" s="163"/>
      <c r="B78" s="163"/>
      <c r="C78" s="163"/>
      <c r="D78" s="163"/>
      <c r="E78" s="163"/>
      <c r="F78" s="163"/>
      <c r="G78" s="163"/>
      <c r="H78" s="163"/>
      <c r="I78" s="163"/>
      <c r="J78" s="163"/>
      <c r="K78" s="163"/>
      <c r="L78" s="163"/>
      <c r="M78" s="1"/>
      <c r="N78" s="173"/>
    </row>
    <row r="79" spans="1:14">
      <c r="A79" s="163"/>
      <c r="B79" s="163"/>
      <c r="C79" s="163"/>
      <c r="D79" s="163"/>
      <c r="E79" s="163"/>
      <c r="F79" s="163"/>
      <c r="G79" s="163"/>
      <c r="H79" s="163"/>
      <c r="I79" s="163"/>
      <c r="J79" s="163"/>
      <c r="K79" s="163"/>
      <c r="L79" s="163"/>
      <c r="M79" s="1"/>
      <c r="N79" s="173"/>
    </row>
    <row r="80" spans="1:14">
      <c r="A80" s="163"/>
      <c r="B80" s="163"/>
      <c r="C80" s="163"/>
      <c r="D80" s="163"/>
      <c r="E80" s="163"/>
      <c r="F80" s="163"/>
      <c r="G80" s="163"/>
      <c r="H80" s="163"/>
      <c r="I80" s="163"/>
      <c r="J80" s="163"/>
      <c r="K80" s="163"/>
      <c r="L80" s="163"/>
      <c r="M80" s="1"/>
      <c r="N80" s="173"/>
    </row>
    <row r="81" spans="1:14">
      <c r="A81" s="163"/>
      <c r="B81" s="163"/>
      <c r="C81" s="163"/>
      <c r="D81" s="163"/>
      <c r="E81" s="163"/>
      <c r="F81" s="163"/>
      <c r="G81" s="163"/>
      <c r="H81" s="163"/>
      <c r="I81" s="163"/>
      <c r="J81" s="163"/>
      <c r="K81" s="163"/>
      <c r="L81" s="163"/>
      <c r="M81" s="1"/>
      <c r="N81" s="173"/>
    </row>
    <row r="82" spans="1:14">
      <c r="M82" s="1"/>
      <c r="N82" s="173"/>
    </row>
    <row r="83" spans="1:14">
      <c r="M83" s="1"/>
      <c r="N83" s="173"/>
    </row>
    <row r="84" spans="1:14">
      <c r="M84" s="1"/>
      <c r="N84" s="173"/>
    </row>
    <row r="85" spans="1:14">
      <c r="M85" s="1"/>
      <c r="N85" s="173"/>
    </row>
    <row r="86" spans="1:14">
      <c r="M86" s="1"/>
      <c r="N86" s="173"/>
    </row>
    <row r="87" spans="1:14">
      <c r="M87" s="1"/>
      <c r="N87" s="173"/>
    </row>
    <row r="88" spans="1:14">
      <c r="M88" s="1"/>
      <c r="N88" s="173"/>
    </row>
    <row r="89" spans="1:14">
      <c r="M89" s="1"/>
      <c r="N89" s="173"/>
    </row>
    <row r="90" spans="1:14">
      <c r="M90" s="1"/>
      <c r="N90" s="173"/>
    </row>
    <row r="91" spans="1:14">
      <c r="M91" s="1"/>
      <c r="N91" s="173"/>
    </row>
    <row r="92" spans="1:14">
      <c r="M92" s="1"/>
      <c r="N92" s="173"/>
    </row>
    <row r="93" spans="1:14">
      <c r="M93" s="1"/>
      <c r="N93" s="173"/>
    </row>
    <row r="94" spans="1:14">
      <c r="B94" s="1"/>
      <c r="C94" s="1"/>
      <c r="D94" s="1"/>
      <c r="E94" s="1"/>
      <c r="F94" s="1"/>
      <c r="G94" s="1"/>
      <c r="H94" s="1"/>
      <c r="I94" s="1"/>
      <c r="J94" s="1"/>
      <c r="K94" s="1"/>
      <c r="L94" s="1"/>
      <c r="M94" s="1"/>
      <c r="N94" s="173"/>
    </row>
    <row r="95" spans="1:14">
      <c r="B95" s="1"/>
      <c r="C95" s="1"/>
      <c r="D95" s="1"/>
      <c r="E95" s="1"/>
      <c r="F95" s="1"/>
      <c r="G95" s="1"/>
      <c r="H95" s="1"/>
      <c r="I95" s="1"/>
      <c r="J95" s="1"/>
      <c r="K95" s="1"/>
      <c r="L95" s="1"/>
      <c r="M95" s="1"/>
      <c r="N95" s="173"/>
    </row>
    <row r="96" spans="1:14">
      <c r="B96" s="1"/>
      <c r="C96" s="1"/>
      <c r="D96" s="1"/>
      <c r="E96" s="1"/>
      <c r="F96" s="1"/>
      <c r="G96" s="1"/>
      <c r="H96" s="1"/>
      <c r="I96" s="1"/>
      <c r="J96" s="1"/>
      <c r="K96" s="1"/>
      <c r="L96" s="1"/>
      <c r="M96" s="1"/>
      <c r="N96" s="173"/>
    </row>
    <row r="97" spans="2:14">
      <c r="B97" s="1"/>
      <c r="C97" s="1"/>
      <c r="D97" s="1"/>
      <c r="E97" s="1"/>
      <c r="F97" s="1"/>
      <c r="G97" s="1"/>
      <c r="H97" s="1"/>
      <c r="I97" s="1"/>
      <c r="J97" s="1"/>
      <c r="K97" s="1"/>
      <c r="L97" s="1"/>
      <c r="M97" s="1"/>
      <c r="N97" s="173"/>
    </row>
    <row r="98" spans="2:14">
      <c r="B98" s="1"/>
      <c r="C98" s="1"/>
      <c r="D98" s="1"/>
      <c r="E98" s="1"/>
      <c r="F98" s="1"/>
      <c r="G98" s="1"/>
      <c r="H98" s="1"/>
      <c r="I98" s="1"/>
      <c r="J98" s="1"/>
      <c r="K98" s="1"/>
      <c r="L98" s="1"/>
      <c r="M98" s="1"/>
      <c r="N98" s="173"/>
    </row>
    <row r="99" spans="2:14">
      <c r="B99" s="1"/>
      <c r="C99" s="1"/>
      <c r="D99" s="1"/>
      <c r="E99" s="1"/>
      <c r="F99" s="1"/>
      <c r="G99" s="1"/>
      <c r="H99" s="1"/>
      <c r="I99" s="1"/>
      <c r="J99" s="1"/>
      <c r="K99" s="1"/>
      <c r="L99" s="1"/>
      <c r="M99" s="1"/>
      <c r="N99" s="173"/>
    </row>
    <row r="100" spans="2:14">
      <c r="B100" s="1"/>
      <c r="C100" s="1"/>
      <c r="D100" s="1"/>
      <c r="E100" s="1"/>
      <c r="F100" s="1"/>
      <c r="G100" s="1"/>
      <c r="H100" s="1"/>
      <c r="I100" s="1"/>
      <c r="J100" s="1"/>
      <c r="K100" s="1"/>
      <c r="L100" s="1"/>
      <c r="M100" s="1"/>
      <c r="N100" s="173"/>
    </row>
    <row r="101" spans="2:14">
      <c r="B101" s="1"/>
      <c r="C101" s="1"/>
      <c r="D101" s="1"/>
      <c r="E101" s="1"/>
      <c r="F101" s="1"/>
      <c r="G101" s="1"/>
      <c r="H101" s="1"/>
      <c r="I101" s="1"/>
      <c r="J101" s="1"/>
      <c r="K101" s="1"/>
      <c r="L101" s="1"/>
      <c r="M101" s="1"/>
      <c r="N101" s="173"/>
    </row>
    <row r="102" spans="2:14">
      <c r="B102" s="1"/>
      <c r="C102" s="1"/>
      <c r="D102" s="1"/>
      <c r="E102" s="1"/>
      <c r="F102" s="1"/>
      <c r="G102" s="1"/>
      <c r="H102" s="1"/>
      <c r="I102" s="1"/>
      <c r="J102" s="1"/>
      <c r="K102" s="1"/>
      <c r="L102" s="1"/>
      <c r="M102" s="1"/>
      <c r="N102" s="173"/>
    </row>
    <row r="103" spans="2:14">
      <c r="B103" s="1"/>
      <c r="C103" s="1"/>
      <c r="D103" s="1"/>
      <c r="E103" s="1"/>
      <c r="F103" s="1"/>
      <c r="G103" s="1"/>
      <c r="H103" s="1"/>
      <c r="I103" s="1"/>
      <c r="J103" s="1"/>
      <c r="K103" s="1"/>
      <c r="L103" s="1"/>
      <c r="M103" s="1"/>
      <c r="N103" s="173"/>
    </row>
    <row r="104" spans="2:14">
      <c r="B104" s="1"/>
      <c r="C104" s="1"/>
      <c r="D104" s="1"/>
      <c r="E104" s="1"/>
      <c r="F104" s="1"/>
      <c r="G104" s="1"/>
      <c r="H104" s="1"/>
      <c r="I104" s="1"/>
      <c r="J104" s="1"/>
      <c r="K104" s="1"/>
      <c r="L104" s="1"/>
      <c r="M104" s="1"/>
      <c r="N104" s="173"/>
    </row>
    <row r="105" spans="2:14">
      <c r="B105" s="1"/>
      <c r="C105" s="1"/>
      <c r="D105" s="1"/>
      <c r="E105" s="1"/>
      <c r="F105" s="1"/>
      <c r="G105" s="1"/>
      <c r="H105" s="1"/>
      <c r="I105" s="1"/>
      <c r="J105" s="1"/>
      <c r="K105" s="1"/>
      <c r="L105" s="1"/>
      <c r="M105" s="1"/>
      <c r="N105" s="173"/>
    </row>
    <row r="106" spans="2:14">
      <c r="B106" s="1"/>
      <c r="C106" s="1"/>
      <c r="D106" s="1"/>
      <c r="E106" s="1"/>
      <c r="F106" s="1"/>
      <c r="G106" s="1"/>
      <c r="H106" s="1"/>
      <c r="I106" s="1"/>
      <c r="J106" s="1"/>
      <c r="K106" s="1"/>
      <c r="L106" s="1"/>
      <c r="M106" s="1"/>
      <c r="N106" s="173"/>
    </row>
    <row r="107" spans="2:14">
      <c r="B107" s="1"/>
      <c r="C107" s="1"/>
      <c r="D107" s="1"/>
      <c r="E107" s="1"/>
      <c r="F107" s="1"/>
      <c r="G107" s="1"/>
      <c r="H107" s="1"/>
      <c r="I107" s="1"/>
      <c r="J107" s="1"/>
      <c r="K107" s="1"/>
      <c r="L107" s="1"/>
      <c r="M107" s="1"/>
      <c r="N107" s="173"/>
    </row>
    <row r="108" spans="2:14">
      <c r="B108" s="1"/>
      <c r="C108" s="1"/>
      <c r="D108" s="1"/>
      <c r="E108" s="1"/>
      <c r="F108" s="1"/>
      <c r="G108" s="1"/>
      <c r="H108" s="1"/>
      <c r="I108" s="1"/>
      <c r="J108" s="1"/>
      <c r="K108" s="1"/>
      <c r="L108" s="1"/>
      <c r="M108" s="1"/>
      <c r="N108" s="173"/>
    </row>
    <row r="109" spans="2:14">
      <c r="B109" s="1"/>
      <c r="C109" s="1"/>
      <c r="D109" s="1"/>
      <c r="E109" s="1"/>
      <c r="F109" s="1"/>
      <c r="G109" s="1"/>
      <c r="H109" s="1"/>
      <c r="I109" s="1"/>
      <c r="J109" s="1"/>
      <c r="K109" s="1"/>
      <c r="L109" s="1"/>
      <c r="M109" s="1"/>
      <c r="N109" s="173"/>
    </row>
    <row r="110" spans="2:14">
      <c r="B110" s="1"/>
      <c r="C110" s="1"/>
      <c r="D110" s="1"/>
      <c r="E110" s="1"/>
      <c r="F110" s="1"/>
      <c r="G110" s="1"/>
      <c r="H110" s="1"/>
      <c r="I110" s="1"/>
      <c r="J110" s="1"/>
      <c r="K110" s="1"/>
      <c r="L110" s="1"/>
      <c r="M110" s="1"/>
      <c r="N110" s="173"/>
    </row>
    <row r="111" spans="2:14">
      <c r="B111" s="1"/>
      <c r="C111" s="1"/>
      <c r="D111" s="1"/>
      <c r="E111" s="1"/>
      <c r="F111" s="1"/>
      <c r="G111" s="1"/>
      <c r="H111" s="1"/>
      <c r="I111" s="1"/>
      <c r="J111" s="1"/>
      <c r="K111" s="1"/>
      <c r="L111" s="1"/>
      <c r="M111" s="1"/>
      <c r="N111" s="173"/>
    </row>
    <row r="112" spans="2:14">
      <c r="B112" s="1"/>
      <c r="C112" s="1"/>
      <c r="D112" s="1"/>
      <c r="E112" s="1"/>
      <c r="F112" s="1"/>
      <c r="G112" s="1"/>
      <c r="H112" s="1"/>
      <c r="I112" s="1"/>
      <c r="J112" s="1"/>
      <c r="K112" s="1"/>
      <c r="L112" s="1"/>
      <c r="M112" s="1"/>
      <c r="N112" s="173"/>
    </row>
    <row r="113" spans="2:14">
      <c r="B113" s="1"/>
      <c r="C113" s="1"/>
      <c r="D113" s="1"/>
      <c r="E113" s="1"/>
      <c r="F113" s="1"/>
      <c r="G113" s="1"/>
      <c r="H113" s="1"/>
      <c r="I113" s="1"/>
      <c r="J113" s="1"/>
      <c r="K113" s="1"/>
      <c r="L113" s="1"/>
      <c r="M113" s="1"/>
      <c r="N113" s="173"/>
    </row>
    <row r="114" spans="2:14">
      <c r="B114" s="1"/>
      <c r="C114" s="1"/>
      <c r="D114" s="1"/>
      <c r="E114" s="1"/>
      <c r="F114" s="1"/>
      <c r="G114" s="1"/>
      <c r="H114" s="1"/>
      <c r="I114" s="1"/>
      <c r="J114" s="1"/>
      <c r="K114" s="1"/>
      <c r="L114" s="1"/>
      <c r="M114" s="1"/>
      <c r="N114" s="173"/>
    </row>
    <row r="115" spans="2:14">
      <c r="B115" s="1"/>
      <c r="C115" s="1"/>
      <c r="D115" s="1"/>
      <c r="E115" s="1"/>
      <c r="F115" s="1"/>
      <c r="G115" s="1"/>
      <c r="H115" s="1"/>
      <c r="I115" s="1"/>
      <c r="J115" s="1"/>
      <c r="K115" s="1"/>
      <c r="L115" s="1"/>
      <c r="M115" s="1"/>
      <c r="N115" s="173"/>
    </row>
    <row r="116" spans="2:14">
      <c r="B116" s="1"/>
      <c r="C116" s="1"/>
      <c r="D116" s="1"/>
      <c r="E116" s="1"/>
      <c r="F116" s="1"/>
      <c r="G116" s="1"/>
      <c r="H116" s="1"/>
      <c r="I116" s="1"/>
      <c r="J116" s="1"/>
      <c r="K116" s="1"/>
      <c r="L116" s="1"/>
      <c r="M116" s="1"/>
      <c r="N116" s="173"/>
    </row>
    <row r="117" spans="2:14">
      <c r="B117" s="1"/>
      <c r="C117" s="1"/>
      <c r="D117" s="1"/>
      <c r="E117" s="1"/>
      <c r="F117" s="1"/>
      <c r="G117" s="1"/>
      <c r="H117" s="1"/>
      <c r="I117" s="1"/>
      <c r="J117" s="1"/>
      <c r="K117" s="1"/>
      <c r="L117" s="1"/>
      <c r="M117" s="1"/>
      <c r="N117" s="173"/>
    </row>
    <row r="118" spans="2:14">
      <c r="B118" s="1"/>
      <c r="C118" s="1"/>
      <c r="D118" s="1"/>
      <c r="E118" s="1"/>
      <c r="F118" s="1"/>
      <c r="G118" s="1"/>
      <c r="H118" s="1"/>
      <c r="I118" s="1"/>
      <c r="J118" s="1"/>
      <c r="K118" s="1"/>
      <c r="L118" s="1"/>
      <c r="M118" s="1"/>
      <c r="N118" s="173"/>
    </row>
    <row r="119" spans="2:14">
      <c r="B119" s="1"/>
      <c r="C119" s="1"/>
      <c r="D119" s="1"/>
      <c r="E119" s="1"/>
      <c r="F119" s="1"/>
      <c r="G119" s="1"/>
      <c r="H119" s="1"/>
      <c r="I119" s="1"/>
      <c r="J119" s="1"/>
      <c r="K119" s="1"/>
      <c r="L119" s="1"/>
      <c r="M119" s="1"/>
      <c r="N119" s="173"/>
    </row>
    <row r="120" spans="2:14">
      <c r="B120" s="1"/>
      <c r="C120" s="1"/>
      <c r="D120" s="1"/>
      <c r="E120" s="1"/>
      <c r="F120" s="1"/>
      <c r="G120" s="1"/>
      <c r="H120" s="1"/>
      <c r="I120" s="1"/>
      <c r="J120" s="1"/>
      <c r="K120" s="1"/>
      <c r="L120" s="1"/>
      <c r="M120" s="1"/>
      <c r="N120" s="173"/>
    </row>
    <row r="121" spans="2:14">
      <c r="B121" s="1"/>
      <c r="C121" s="1"/>
      <c r="D121" s="1"/>
      <c r="E121" s="1"/>
      <c r="F121" s="1"/>
      <c r="G121" s="1"/>
      <c r="H121" s="1"/>
      <c r="I121" s="1"/>
      <c r="J121" s="1"/>
      <c r="K121" s="1"/>
      <c r="L121" s="1"/>
      <c r="M121" s="1"/>
      <c r="N121" s="173"/>
    </row>
    <row r="122" spans="2:14">
      <c r="B122" s="1"/>
      <c r="C122" s="1"/>
      <c r="D122" s="1"/>
      <c r="E122" s="1"/>
      <c r="F122" s="1"/>
      <c r="G122" s="1"/>
      <c r="H122" s="1"/>
      <c r="I122" s="1"/>
      <c r="J122" s="1"/>
      <c r="K122" s="1"/>
      <c r="L122" s="1"/>
      <c r="M122" s="1"/>
      <c r="N122" s="173"/>
    </row>
    <row r="123" spans="2:14">
      <c r="B123" s="1"/>
      <c r="C123" s="1"/>
      <c r="D123" s="1"/>
      <c r="E123" s="1"/>
      <c r="F123" s="1"/>
      <c r="G123" s="1"/>
      <c r="H123" s="1"/>
      <c r="I123" s="1"/>
      <c r="J123" s="1"/>
      <c r="K123" s="1"/>
      <c r="L123" s="1"/>
      <c r="M123" s="1"/>
      <c r="N123" s="173"/>
    </row>
    <row r="124" spans="2:14">
      <c r="B124" s="1"/>
      <c r="C124" s="1"/>
      <c r="D124" s="1"/>
      <c r="E124" s="1"/>
      <c r="F124" s="1"/>
      <c r="G124" s="1"/>
      <c r="H124" s="1"/>
      <c r="I124" s="1"/>
      <c r="J124" s="1"/>
      <c r="K124" s="1"/>
      <c r="L124" s="1"/>
      <c r="M124" s="1"/>
      <c r="N124" s="173"/>
    </row>
    <row r="125" spans="2:14">
      <c r="B125" s="1"/>
      <c r="C125" s="1"/>
      <c r="D125" s="1"/>
      <c r="E125" s="1"/>
      <c r="F125" s="1"/>
      <c r="G125" s="1"/>
      <c r="H125" s="1"/>
      <c r="I125" s="1"/>
      <c r="J125" s="1"/>
      <c r="K125" s="1"/>
      <c r="L125" s="1"/>
      <c r="M125" s="1"/>
      <c r="N125" s="173"/>
    </row>
    <row r="126" spans="2:14">
      <c r="B126" s="1"/>
      <c r="C126" s="1"/>
      <c r="D126" s="1"/>
      <c r="E126" s="1"/>
      <c r="F126" s="1"/>
      <c r="G126" s="1"/>
      <c r="H126" s="1"/>
      <c r="I126" s="1"/>
      <c r="J126" s="1"/>
      <c r="K126" s="1"/>
      <c r="L126" s="1"/>
      <c r="M126" s="1"/>
      <c r="N126" s="173"/>
    </row>
    <row r="127" spans="2:14">
      <c r="B127" s="1"/>
      <c r="C127" s="1"/>
      <c r="D127" s="1"/>
      <c r="E127" s="1"/>
      <c r="F127" s="1"/>
      <c r="G127" s="1"/>
      <c r="H127" s="1"/>
      <c r="I127" s="1"/>
      <c r="J127" s="1"/>
      <c r="K127" s="1"/>
      <c r="L127" s="1"/>
      <c r="M127" s="1"/>
      <c r="N127" s="173"/>
    </row>
    <row r="128" spans="2:14">
      <c r="B128" s="1"/>
      <c r="C128" s="1"/>
      <c r="D128" s="1"/>
      <c r="E128" s="1"/>
      <c r="F128" s="1"/>
      <c r="G128" s="1"/>
      <c r="H128" s="1"/>
      <c r="I128" s="1"/>
      <c r="J128" s="1"/>
      <c r="K128" s="1"/>
      <c r="L128" s="1"/>
      <c r="M128" s="1"/>
      <c r="N128" s="173"/>
    </row>
    <row r="129" spans="2:14">
      <c r="B129" s="1"/>
      <c r="C129" s="1"/>
      <c r="D129" s="1"/>
      <c r="E129" s="1"/>
      <c r="F129" s="1"/>
      <c r="G129" s="1"/>
      <c r="H129" s="1"/>
      <c r="I129" s="1"/>
      <c r="J129" s="1"/>
      <c r="K129" s="1"/>
      <c r="L129" s="1"/>
      <c r="M129" s="1"/>
      <c r="N129" s="173"/>
    </row>
    <row r="130" spans="2:14">
      <c r="B130" s="1"/>
      <c r="C130" s="1"/>
      <c r="D130" s="1"/>
      <c r="E130" s="1"/>
      <c r="F130" s="1"/>
      <c r="G130" s="1"/>
      <c r="H130" s="1"/>
      <c r="I130" s="1"/>
      <c r="J130" s="1"/>
      <c r="K130" s="1"/>
      <c r="L130" s="1"/>
      <c r="M130" s="1"/>
      <c r="N130" s="173"/>
    </row>
    <row r="131" spans="2:14">
      <c r="B131" s="1"/>
      <c r="C131" s="1"/>
      <c r="D131" s="1"/>
      <c r="E131" s="1"/>
      <c r="F131" s="1"/>
      <c r="G131" s="1"/>
      <c r="H131" s="1"/>
      <c r="I131" s="1"/>
      <c r="J131" s="1"/>
      <c r="K131" s="1"/>
      <c r="L131" s="1"/>
      <c r="M131" s="1"/>
      <c r="N131" s="173"/>
    </row>
    <row r="132" spans="2:14">
      <c r="B132" s="1"/>
      <c r="C132" s="1"/>
      <c r="D132" s="1"/>
      <c r="E132" s="1"/>
      <c r="F132" s="1"/>
      <c r="G132" s="1"/>
      <c r="H132" s="1"/>
      <c r="I132" s="1"/>
      <c r="J132" s="1"/>
      <c r="K132" s="1"/>
      <c r="L132" s="1"/>
      <c r="M132" s="1"/>
      <c r="N132" s="173"/>
    </row>
    <row r="133" spans="2:14">
      <c r="B133" s="1"/>
      <c r="C133" s="1"/>
      <c r="D133" s="1"/>
      <c r="E133" s="1"/>
      <c r="F133" s="1"/>
      <c r="G133" s="1"/>
      <c r="H133" s="1"/>
      <c r="I133" s="1"/>
      <c r="J133" s="1"/>
      <c r="K133" s="1"/>
      <c r="L133" s="1"/>
      <c r="M133" s="1"/>
      <c r="N133" s="173"/>
    </row>
    <row r="134" spans="2:14">
      <c r="B134" s="1"/>
      <c r="C134" s="1"/>
      <c r="D134" s="1"/>
      <c r="E134" s="1"/>
      <c r="F134" s="1"/>
      <c r="G134" s="1"/>
      <c r="H134" s="1"/>
      <c r="I134" s="1"/>
      <c r="J134" s="1"/>
      <c r="K134" s="1"/>
      <c r="L134" s="1"/>
      <c r="M134" s="1"/>
      <c r="N134" s="173"/>
    </row>
    <row r="135" spans="2:14">
      <c r="B135" s="1"/>
      <c r="C135" s="1"/>
      <c r="D135" s="1"/>
      <c r="E135" s="1"/>
      <c r="F135" s="1"/>
      <c r="G135" s="1"/>
      <c r="H135" s="1"/>
      <c r="I135" s="1"/>
      <c r="J135" s="1"/>
      <c r="K135" s="1"/>
      <c r="L135" s="1"/>
      <c r="M135" s="1"/>
      <c r="N135" s="173"/>
    </row>
    <row r="136" spans="2:14">
      <c r="B136" s="1"/>
      <c r="C136" s="1"/>
      <c r="D136" s="1"/>
      <c r="E136" s="1"/>
      <c r="F136" s="1"/>
      <c r="G136" s="1"/>
      <c r="H136" s="1"/>
      <c r="I136" s="1"/>
      <c r="J136" s="1"/>
      <c r="K136" s="1"/>
      <c r="L136" s="1"/>
      <c r="M136" s="1"/>
      <c r="N136" s="173"/>
    </row>
    <row r="137" spans="2:14">
      <c r="B137" s="1"/>
      <c r="C137" s="1"/>
      <c r="D137" s="1"/>
      <c r="E137" s="1"/>
      <c r="F137" s="1"/>
      <c r="G137" s="1"/>
      <c r="H137" s="1"/>
      <c r="I137" s="1"/>
      <c r="J137" s="1"/>
      <c r="K137" s="1"/>
      <c r="L137" s="1"/>
      <c r="M137" s="1"/>
      <c r="N137" s="173"/>
    </row>
    <row r="138" spans="2:14">
      <c r="B138" s="1"/>
      <c r="C138" s="1"/>
      <c r="D138" s="1"/>
      <c r="E138" s="1"/>
      <c r="F138" s="1"/>
      <c r="G138" s="1"/>
      <c r="H138" s="1"/>
      <c r="I138" s="1"/>
      <c r="J138" s="1"/>
      <c r="K138" s="1"/>
      <c r="L138" s="1"/>
      <c r="M138" s="1"/>
      <c r="N138" s="173"/>
    </row>
    <row r="139" spans="2:14">
      <c r="B139" s="1"/>
      <c r="C139" s="1"/>
      <c r="D139" s="1"/>
      <c r="E139" s="1"/>
      <c r="F139" s="1"/>
      <c r="G139" s="1"/>
      <c r="H139" s="1"/>
      <c r="I139" s="1"/>
      <c r="J139" s="1"/>
      <c r="K139" s="1"/>
      <c r="L139" s="1"/>
      <c r="M139" s="1"/>
      <c r="N139" s="173"/>
    </row>
    <row r="140" spans="2:14">
      <c r="B140" s="1"/>
      <c r="C140" s="1"/>
      <c r="D140" s="1"/>
      <c r="E140" s="1"/>
      <c r="F140" s="1"/>
      <c r="G140" s="1"/>
      <c r="H140" s="1"/>
      <c r="I140" s="1"/>
      <c r="J140" s="1"/>
      <c r="K140" s="1"/>
      <c r="L140" s="1"/>
      <c r="M140" s="1"/>
      <c r="N140" s="173"/>
    </row>
    <row r="141" spans="2:14">
      <c r="B141" s="1"/>
      <c r="C141" s="1"/>
      <c r="D141" s="1"/>
      <c r="E141" s="1"/>
      <c r="F141" s="1"/>
      <c r="G141" s="1"/>
      <c r="H141" s="1"/>
      <c r="I141" s="1"/>
      <c r="J141" s="1"/>
      <c r="K141" s="1"/>
      <c r="L141" s="1"/>
      <c r="M141" s="1"/>
      <c r="N141" s="173"/>
    </row>
    <row r="142" spans="2:14">
      <c r="B142" s="1"/>
      <c r="C142" s="1"/>
      <c r="D142" s="1"/>
      <c r="E142" s="1"/>
      <c r="F142" s="1"/>
      <c r="G142" s="1"/>
      <c r="H142" s="1"/>
      <c r="I142" s="1"/>
      <c r="J142" s="1"/>
      <c r="K142" s="1"/>
      <c r="L142" s="1"/>
      <c r="M142" s="1"/>
      <c r="N142" s="173"/>
    </row>
    <row r="143" spans="2:14">
      <c r="B143" s="1"/>
      <c r="C143" s="1"/>
      <c r="D143" s="1"/>
      <c r="E143" s="1"/>
      <c r="F143" s="1"/>
      <c r="G143" s="1"/>
      <c r="H143" s="1"/>
      <c r="I143" s="1"/>
      <c r="J143" s="1"/>
      <c r="K143" s="1"/>
      <c r="L143" s="1"/>
      <c r="M143" s="1"/>
      <c r="N143" s="173"/>
    </row>
    <row r="144" spans="2:14">
      <c r="B144" s="1"/>
      <c r="C144" s="1"/>
      <c r="D144" s="1"/>
      <c r="E144" s="1"/>
      <c r="F144" s="1"/>
      <c r="G144" s="1"/>
      <c r="H144" s="1"/>
      <c r="I144" s="1"/>
      <c r="J144" s="1"/>
      <c r="K144" s="1"/>
      <c r="L144" s="1"/>
      <c r="M144" s="1"/>
      <c r="N144" s="173"/>
    </row>
    <row r="145" spans="2:14">
      <c r="B145" s="1"/>
      <c r="C145" s="1"/>
      <c r="D145" s="1"/>
      <c r="E145" s="1"/>
      <c r="F145" s="1"/>
      <c r="G145" s="1"/>
      <c r="H145" s="1"/>
      <c r="I145" s="1"/>
      <c r="J145" s="1"/>
      <c r="K145" s="1"/>
      <c r="L145" s="1"/>
      <c r="M145" s="1"/>
      <c r="N145" s="173"/>
    </row>
    <row r="146" spans="2:14">
      <c r="B146" s="1"/>
      <c r="C146" s="1"/>
      <c r="D146" s="1"/>
      <c r="E146" s="1"/>
      <c r="F146" s="1"/>
      <c r="G146" s="1"/>
      <c r="H146" s="1"/>
      <c r="I146" s="1"/>
      <c r="J146" s="1"/>
      <c r="K146" s="1"/>
      <c r="L146" s="1"/>
      <c r="M146" s="1"/>
      <c r="N146" s="173"/>
    </row>
    <row r="147" spans="2:14">
      <c r="B147" s="1"/>
      <c r="C147" s="1"/>
      <c r="D147" s="1"/>
      <c r="E147" s="1"/>
      <c r="F147" s="1"/>
      <c r="G147" s="1"/>
      <c r="H147" s="1"/>
      <c r="I147" s="1"/>
      <c r="J147" s="1"/>
      <c r="K147" s="1"/>
      <c r="L147" s="1"/>
      <c r="M147" s="1"/>
      <c r="N147" s="173"/>
    </row>
    <row r="148" spans="2:14">
      <c r="B148" s="1"/>
      <c r="C148" s="1"/>
      <c r="D148" s="1"/>
      <c r="E148" s="1"/>
      <c r="F148" s="1"/>
      <c r="G148" s="1"/>
      <c r="H148" s="1"/>
      <c r="I148" s="1"/>
      <c r="J148" s="1"/>
      <c r="K148" s="1"/>
      <c r="L148" s="1"/>
      <c r="M148" s="1"/>
      <c r="N148" s="173"/>
    </row>
    <row r="246" spans="2:12">
      <c r="B246" s="1"/>
      <c r="C246" s="1"/>
      <c r="D246" s="1"/>
      <c r="E246" s="1"/>
      <c r="F246" s="1"/>
      <c r="G246" s="1"/>
      <c r="H246" s="1"/>
      <c r="I246" s="1"/>
      <c r="J246" s="1"/>
      <c r="K246" s="1"/>
      <c r="L246" s="1"/>
    </row>
    <row r="247" spans="2:12">
      <c r="B247" s="1"/>
      <c r="C247" s="1"/>
      <c r="D247" s="1"/>
      <c r="E247" s="1"/>
      <c r="F247" s="1"/>
      <c r="G247" s="1"/>
      <c r="H247" s="1"/>
      <c r="I247" s="1"/>
      <c r="J247" s="1"/>
      <c r="K247" s="1"/>
      <c r="L247" s="1"/>
    </row>
    <row r="248" spans="2:12">
      <c r="B248" s="1"/>
      <c r="C248" s="1"/>
      <c r="D248" s="1"/>
      <c r="E248" s="1"/>
      <c r="F248" s="1"/>
      <c r="G248" s="1"/>
      <c r="H248" s="1"/>
      <c r="I248" s="1"/>
      <c r="J248" s="1"/>
      <c r="K248" s="1"/>
      <c r="L248" s="1"/>
    </row>
    <row r="249" spans="2:12">
      <c r="B249" s="1"/>
      <c r="C249" s="1"/>
      <c r="D249" s="1"/>
      <c r="E249" s="1"/>
      <c r="F249" s="1"/>
      <c r="G249" s="1"/>
      <c r="H249" s="1"/>
      <c r="I249" s="1"/>
      <c r="J249" s="1"/>
      <c r="K249" s="1"/>
      <c r="L249" s="1"/>
    </row>
    <row r="250" spans="2:12">
      <c r="B250" s="1"/>
      <c r="C250" s="1"/>
      <c r="D250" s="1"/>
      <c r="E250" s="1"/>
      <c r="F250" s="1"/>
      <c r="G250" s="1"/>
      <c r="H250" s="1"/>
      <c r="I250" s="1"/>
      <c r="J250" s="1"/>
      <c r="K250" s="1"/>
      <c r="L250" s="1"/>
    </row>
    <row r="251" spans="2:12">
      <c r="B251" s="1"/>
      <c r="C251" s="1"/>
      <c r="D251" s="1"/>
      <c r="E251" s="1"/>
      <c r="F251" s="1"/>
      <c r="G251" s="1"/>
      <c r="H251" s="1"/>
      <c r="I251" s="1"/>
      <c r="J251" s="1"/>
      <c r="K251" s="1"/>
      <c r="L251" s="1"/>
    </row>
    <row r="252" spans="2:12">
      <c r="B252" s="1"/>
      <c r="C252" s="1"/>
      <c r="D252" s="1"/>
      <c r="E252" s="1"/>
      <c r="F252" s="1"/>
      <c r="G252" s="1"/>
      <c r="H252" s="1"/>
      <c r="I252" s="1"/>
      <c r="J252" s="1"/>
      <c r="K252" s="1"/>
      <c r="L252" s="1"/>
    </row>
    <row r="253" spans="2:12">
      <c r="B253" s="1"/>
      <c r="C253" s="1"/>
      <c r="D253" s="1"/>
      <c r="E253" s="1"/>
      <c r="F253" s="1"/>
      <c r="G253" s="1"/>
      <c r="H253" s="1"/>
      <c r="I253" s="1"/>
      <c r="J253" s="1"/>
      <c r="K253" s="1"/>
      <c r="L253" s="1"/>
    </row>
    <row r="254" spans="2:12">
      <c r="B254" s="1"/>
      <c r="C254" s="1"/>
      <c r="D254" s="1"/>
      <c r="E254" s="1"/>
      <c r="F254" s="1"/>
      <c r="G254" s="1"/>
      <c r="H254" s="1"/>
      <c r="I254" s="1"/>
      <c r="J254" s="1"/>
      <c r="K254" s="1"/>
      <c r="L254" s="1"/>
    </row>
    <row r="255" spans="2:12">
      <c r="B255" s="1"/>
      <c r="C255" s="1"/>
      <c r="D255" s="1"/>
      <c r="E255" s="1"/>
      <c r="F255" s="1"/>
      <c r="G255" s="1"/>
      <c r="H255" s="1"/>
      <c r="I255" s="1"/>
      <c r="J255" s="1"/>
      <c r="K255" s="1"/>
      <c r="L255" s="1"/>
    </row>
    <row r="256" spans="2:12">
      <c r="B256" s="1"/>
      <c r="C256" s="1"/>
      <c r="D256" s="1"/>
      <c r="E256" s="1"/>
      <c r="F256" s="1"/>
      <c r="G256" s="1"/>
      <c r="H256" s="1"/>
      <c r="I256" s="1"/>
      <c r="J256" s="1"/>
      <c r="K256" s="1"/>
      <c r="L256" s="1"/>
    </row>
    <row r="257" spans="2:12">
      <c r="B257" s="1"/>
      <c r="C257" s="1"/>
      <c r="D257" s="1"/>
      <c r="E257" s="1"/>
      <c r="F257" s="1"/>
      <c r="G257" s="1"/>
      <c r="H257" s="1"/>
      <c r="I257" s="1"/>
      <c r="J257" s="1"/>
      <c r="K257" s="1"/>
      <c r="L257" s="1"/>
    </row>
    <row r="258" spans="2:12">
      <c r="B258" s="1"/>
      <c r="C258" s="1"/>
      <c r="D258" s="1"/>
      <c r="E258" s="1"/>
      <c r="F258" s="1"/>
      <c r="G258" s="1"/>
      <c r="H258" s="1"/>
      <c r="I258" s="1"/>
      <c r="J258" s="1"/>
      <c r="K258" s="1"/>
      <c r="L258" s="1"/>
    </row>
    <row r="259" spans="2:12">
      <c r="B259" s="1"/>
      <c r="C259" s="1"/>
      <c r="D259" s="1"/>
      <c r="E259" s="1"/>
      <c r="F259" s="1"/>
      <c r="G259" s="1"/>
      <c r="H259" s="1"/>
      <c r="I259" s="1"/>
      <c r="J259" s="1"/>
      <c r="K259" s="1"/>
      <c r="L259" s="1"/>
    </row>
    <row r="260" spans="2:12">
      <c r="B260" s="1"/>
      <c r="C260" s="1"/>
      <c r="D260" s="1"/>
      <c r="E260" s="1"/>
      <c r="F260" s="1"/>
      <c r="G260" s="1"/>
      <c r="H260" s="1"/>
      <c r="I260" s="1"/>
      <c r="J260" s="1"/>
      <c r="K260" s="1"/>
      <c r="L260" s="1"/>
    </row>
    <row r="261" spans="2:12">
      <c r="B261" s="1"/>
      <c r="C261" s="1"/>
      <c r="D261" s="1"/>
      <c r="E261" s="1"/>
      <c r="F261" s="1"/>
      <c r="G261" s="1"/>
      <c r="H261" s="1"/>
      <c r="I261" s="1"/>
      <c r="J261" s="1"/>
      <c r="K261" s="1"/>
      <c r="L261" s="1"/>
    </row>
    <row r="262" spans="2:12">
      <c r="B262" s="1"/>
      <c r="C262" s="1"/>
      <c r="D262" s="1"/>
      <c r="E262" s="1"/>
      <c r="F262" s="1"/>
      <c r="G262" s="1"/>
      <c r="H262" s="1"/>
      <c r="I262" s="1"/>
      <c r="J262" s="1"/>
      <c r="K262" s="1"/>
      <c r="L262" s="1"/>
    </row>
    <row r="263" spans="2:12">
      <c r="B263" s="1"/>
      <c r="C263" s="1"/>
      <c r="D263" s="1"/>
      <c r="E263" s="1"/>
      <c r="F263" s="1"/>
      <c r="G263" s="1"/>
      <c r="H263" s="1"/>
      <c r="I263" s="1"/>
      <c r="J263" s="1"/>
      <c r="K263" s="1"/>
      <c r="L263" s="1"/>
    </row>
    <row r="264" spans="2:12">
      <c r="B264" s="1"/>
      <c r="C264" s="1"/>
      <c r="D264" s="1"/>
      <c r="E264" s="1"/>
      <c r="F264" s="1"/>
      <c r="G264" s="1"/>
      <c r="H264" s="1"/>
      <c r="I264" s="1"/>
      <c r="J264" s="1"/>
      <c r="K264" s="1"/>
      <c r="L264" s="1"/>
    </row>
    <row r="265" spans="2:12">
      <c r="B265" s="1"/>
      <c r="C265" s="1"/>
      <c r="D265" s="1"/>
      <c r="E265" s="1"/>
      <c r="F265" s="1"/>
      <c r="G265" s="1"/>
      <c r="H265" s="1"/>
      <c r="I265" s="1"/>
      <c r="J265" s="1"/>
      <c r="K265" s="1"/>
      <c r="L265" s="1"/>
    </row>
    <row r="266" spans="2:12">
      <c r="B266" s="1"/>
      <c r="C266" s="1"/>
      <c r="D266" s="1"/>
      <c r="E266" s="1"/>
      <c r="F266" s="1"/>
      <c r="G266" s="1"/>
      <c r="H266" s="1"/>
      <c r="I266" s="1"/>
      <c r="J266" s="1"/>
      <c r="K266" s="1"/>
      <c r="L266" s="1"/>
    </row>
    <row r="267" spans="2:12">
      <c r="B267" s="1"/>
      <c r="C267" s="1"/>
      <c r="D267" s="1"/>
      <c r="E267" s="1"/>
      <c r="F267" s="1"/>
      <c r="G267" s="1"/>
      <c r="H267" s="1"/>
      <c r="I267" s="1"/>
      <c r="J267" s="1"/>
      <c r="K267" s="1"/>
      <c r="L267" s="1"/>
    </row>
    <row r="268" spans="2:12">
      <c r="B268" s="1"/>
      <c r="C268" s="1"/>
      <c r="D268" s="1"/>
      <c r="E268" s="1"/>
      <c r="F268" s="1"/>
      <c r="G268" s="1"/>
      <c r="H268" s="1"/>
      <c r="I268" s="1"/>
      <c r="J268" s="1"/>
      <c r="K268" s="1"/>
      <c r="L268" s="1"/>
    </row>
    <row r="269" spans="2:12">
      <c r="B269" s="1"/>
      <c r="C269" s="1"/>
      <c r="D269" s="1"/>
      <c r="E269" s="1"/>
      <c r="F269" s="1"/>
      <c r="G269" s="1"/>
      <c r="H269" s="1"/>
      <c r="I269" s="1"/>
      <c r="J269" s="1"/>
      <c r="K269" s="1"/>
      <c r="L269" s="1"/>
    </row>
    <row r="270" spans="2:12">
      <c r="B270" s="1"/>
      <c r="C270" s="1"/>
      <c r="D270" s="1"/>
      <c r="E270" s="1"/>
      <c r="F270" s="1"/>
      <c r="G270" s="1"/>
      <c r="H270" s="1"/>
      <c r="I270" s="1"/>
      <c r="J270" s="1"/>
      <c r="K270" s="1"/>
      <c r="L270" s="1"/>
    </row>
    <row r="271" spans="2:12">
      <c r="B271" s="1"/>
      <c r="C271" s="1"/>
      <c r="D271" s="1"/>
      <c r="E271" s="1"/>
      <c r="F271" s="1"/>
      <c r="G271" s="1"/>
      <c r="H271" s="1"/>
      <c r="I271" s="1"/>
      <c r="J271" s="1"/>
      <c r="K271" s="1"/>
      <c r="L271" s="1"/>
    </row>
    <row r="272" spans="2:12">
      <c r="B272" s="1"/>
      <c r="C272" s="1"/>
      <c r="D272" s="1"/>
      <c r="E272" s="1"/>
      <c r="F272" s="1"/>
      <c r="G272" s="1"/>
      <c r="H272" s="1"/>
      <c r="I272" s="1"/>
      <c r="J272" s="1"/>
      <c r="K272" s="1"/>
      <c r="L272" s="1"/>
    </row>
    <row r="273" spans="2:12">
      <c r="B273" s="1"/>
      <c r="C273" s="1"/>
      <c r="D273" s="1"/>
      <c r="E273" s="1"/>
      <c r="F273" s="1"/>
      <c r="G273" s="1"/>
      <c r="H273" s="1"/>
      <c r="I273" s="1"/>
      <c r="J273" s="1"/>
      <c r="K273" s="1"/>
      <c r="L273" s="1"/>
    </row>
    <row r="274" spans="2:12">
      <c r="B274" s="1"/>
      <c r="C274" s="1"/>
      <c r="D274" s="1"/>
      <c r="E274" s="1"/>
      <c r="F274" s="1"/>
      <c r="G274" s="1"/>
      <c r="H274" s="1"/>
      <c r="I274" s="1"/>
      <c r="J274" s="1"/>
      <c r="K274" s="1"/>
      <c r="L274" s="1"/>
    </row>
    <row r="275" spans="2:12">
      <c r="B275" s="1"/>
      <c r="C275" s="1"/>
      <c r="D275" s="1"/>
      <c r="E275" s="1"/>
      <c r="F275" s="1"/>
      <c r="G275" s="1"/>
      <c r="H275" s="1"/>
      <c r="I275" s="1"/>
      <c r="J275" s="1"/>
      <c r="K275" s="1"/>
      <c r="L275" s="1"/>
    </row>
    <row r="276" spans="2:12">
      <c r="B276" s="1"/>
      <c r="C276" s="1"/>
      <c r="D276" s="1"/>
      <c r="E276" s="1"/>
      <c r="F276" s="1"/>
      <c r="G276" s="1"/>
      <c r="H276" s="1"/>
      <c r="I276" s="1"/>
      <c r="J276" s="1"/>
      <c r="K276" s="1"/>
      <c r="L276" s="1"/>
    </row>
    <row r="277" spans="2:12">
      <c r="B277" s="1"/>
      <c r="C277" s="1"/>
      <c r="D277" s="1"/>
      <c r="E277" s="1"/>
      <c r="F277" s="1"/>
      <c r="G277" s="1"/>
      <c r="H277" s="1"/>
      <c r="I277" s="1"/>
      <c r="J277" s="1"/>
      <c r="K277" s="1"/>
      <c r="L277" s="1"/>
    </row>
    <row r="278" spans="2:12">
      <c r="B278" s="1"/>
      <c r="C278" s="1"/>
      <c r="D278" s="1"/>
      <c r="E278" s="1"/>
      <c r="F278" s="1"/>
      <c r="G278" s="1"/>
      <c r="H278" s="1"/>
      <c r="I278" s="1"/>
      <c r="J278" s="1"/>
      <c r="K278" s="1"/>
      <c r="L278" s="1"/>
    </row>
    <row r="279" spans="2:12">
      <c r="B279" s="1"/>
      <c r="C279" s="1"/>
      <c r="D279" s="1"/>
      <c r="E279" s="1"/>
      <c r="F279" s="1"/>
      <c r="G279" s="1"/>
      <c r="H279" s="1"/>
      <c r="I279" s="1"/>
      <c r="J279" s="1"/>
      <c r="K279" s="1"/>
      <c r="L279" s="1"/>
    </row>
    <row r="280" spans="2:12">
      <c r="B280" s="1"/>
      <c r="C280" s="1"/>
      <c r="D280" s="1"/>
      <c r="E280" s="1"/>
      <c r="F280" s="1"/>
      <c r="G280" s="1"/>
      <c r="H280" s="1"/>
      <c r="I280" s="1"/>
      <c r="J280" s="1"/>
      <c r="K280" s="1"/>
      <c r="L280" s="1"/>
    </row>
    <row r="281" spans="2:12">
      <c r="B281" s="1"/>
      <c r="C281" s="1"/>
      <c r="D281" s="1"/>
      <c r="E281" s="1"/>
      <c r="F281" s="1"/>
      <c r="G281" s="1"/>
      <c r="H281" s="1"/>
      <c r="I281" s="1"/>
      <c r="J281" s="1"/>
      <c r="K281" s="1"/>
      <c r="L281" s="1"/>
    </row>
  </sheetData>
  <sheetProtection algorithmName="SHA-512" hashValue="w9GdEEVOeNLGt/COOYcY7mR7icJ6/TaMPQ4V78w3/ss8shTPgxPVjWF2m2V6maKpY6ogDWE9jHXA6mxNGnhlbA==" saltValue="epzyqkGE/USMkvlfBdfCgw==" spinCount="100000" sheet="1" objects="1" scenarios="1"/>
  <mergeCells count="1">
    <mergeCell ref="J1:L1"/>
  </mergeCells>
  <pageMargins left="0.75" right="0.75" top="1" bottom="1" header="0.5" footer="0.5"/>
  <pageSetup orientation="portrait" horizontalDpi="4294967292" vertic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V758"/>
  <sheetViews>
    <sheetView topLeftCell="O1" workbookViewId="0">
      <selection activeCell="V1" sqref="V1"/>
    </sheetView>
  </sheetViews>
  <sheetFormatPr defaultColWidth="11" defaultRowHeight="15.75"/>
  <cols>
    <col min="1" max="1" width="33.375" customWidth="1"/>
    <col min="2" max="9" width="14.125" bestFit="1" customWidth="1"/>
    <col min="10" max="10" width="14.375" bestFit="1" customWidth="1"/>
    <col min="11" max="11" width="14.375" customWidth="1"/>
    <col min="12" max="13" width="13.875" customWidth="1"/>
    <col min="14" max="14" width="11" style="190"/>
    <col min="22" max="22" width="30" customWidth="1"/>
  </cols>
  <sheetData>
    <row r="1" spans="1:22" ht="18.75">
      <c r="A1" s="37" t="s">
        <v>46</v>
      </c>
      <c r="J1" s="494" t="s">
        <v>215</v>
      </c>
      <c r="K1" s="494"/>
      <c r="L1" s="494"/>
    </row>
    <row r="2" spans="1:22">
      <c r="A2" s="2"/>
      <c r="B2" s="31"/>
      <c r="C2" s="31"/>
      <c r="D2" s="31"/>
      <c r="E2" s="31"/>
      <c r="F2" s="31"/>
      <c r="G2" s="31"/>
      <c r="H2" s="31"/>
      <c r="I2" s="31"/>
      <c r="J2" s="247"/>
      <c r="K2" s="247"/>
      <c r="L2" s="247"/>
      <c r="M2" s="19"/>
    </row>
    <row r="3" spans="1:22">
      <c r="A3" s="2"/>
      <c r="B3" s="82" t="s">
        <v>61</v>
      </c>
      <c r="C3" s="82" t="s">
        <v>61</v>
      </c>
      <c r="D3" s="82" t="s">
        <v>61</v>
      </c>
      <c r="E3" s="82" t="s">
        <v>61</v>
      </c>
      <c r="F3" s="82" t="s">
        <v>61</v>
      </c>
      <c r="G3" s="82" t="s">
        <v>61</v>
      </c>
      <c r="H3" s="82" t="s">
        <v>61</v>
      </c>
      <c r="I3" s="82" t="s">
        <v>61</v>
      </c>
      <c r="J3" s="82" t="s">
        <v>61</v>
      </c>
      <c r="K3" s="82" t="s">
        <v>61</v>
      </c>
      <c r="L3" s="82" t="s">
        <v>61</v>
      </c>
      <c r="M3" s="19"/>
    </row>
    <row r="4" spans="1:22">
      <c r="A4" s="2"/>
      <c r="B4" s="30" t="s">
        <v>57</v>
      </c>
      <c r="C4" s="30" t="s">
        <v>57</v>
      </c>
      <c r="D4" s="30" t="s">
        <v>57</v>
      </c>
      <c r="E4" s="30" t="s">
        <v>57</v>
      </c>
      <c r="F4" s="30" t="s">
        <v>57</v>
      </c>
      <c r="G4" s="30" t="s">
        <v>57</v>
      </c>
      <c r="H4" s="30" t="s">
        <v>57</v>
      </c>
      <c r="I4" s="30" t="s">
        <v>57</v>
      </c>
      <c r="J4" s="30" t="s">
        <v>57</v>
      </c>
      <c r="K4" s="30" t="s">
        <v>202</v>
      </c>
      <c r="L4" s="30" t="s">
        <v>58</v>
      </c>
      <c r="M4" s="19"/>
    </row>
    <row r="5" spans="1:22" ht="18.75">
      <c r="A5" s="93" t="s">
        <v>98</v>
      </c>
      <c r="B5" s="254">
        <v>2009</v>
      </c>
      <c r="C5" s="254">
        <v>2010</v>
      </c>
      <c r="D5" s="254">
        <v>2011</v>
      </c>
      <c r="E5" s="254">
        <v>2012</v>
      </c>
      <c r="F5" s="254">
        <v>2013</v>
      </c>
      <c r="G5" s="254">
        <v>2014</v>
      </c>
      <c r="H5" s="254">
        <v>2015</v>
      </c>
      <c r="I5" s="254">
        <v>2016</v>
      </c>
      <c r="J5" s="254">
        <v>2017</v>
      </c>
      <c r="K5" s="254">
        <v>2018</v>
      </c>
      <c r="L5" s="254">
        <v>2019</v>
      </c>
      <c r="M5" s="19"/>
    </row>
    <row r="6" spans="1:22" ht="34.5" customHeight="1">
      <c r="A6" s="9" t="s">
        <v>100</v>
      </c>
      <c r="B6" s="27">
        <v>1021383</v>
      </c>
      <c r="C6" s="27">
        <v>1804015</v>
      </c>
      <c r="D6" s="27">
        <v>2262316</v>
      </c>
      <c r="E6" s="27">
        <v>1810112</v>
      </c>
      <c r="F6" s="27">
        <v>1957336</v>
      </c>
      <c r="G6" s="27">
        <v>2246175</v>
      </c>
      <c r="H6" s="27">
        <v>3292660</v>
      </c>
      <c r="I6" s="27">
        <v>3293352</v>
      </c>
      <c r="J6" s="27">
        <f>3191992-399406-358912</f>
        <v>2433674</v>
      </c>
      <c r="K6" s="27">
        <f>4076316-563039-816279</f>
        <v>2696998</v>
      </c>
      <c r="L6" s="27">
        <f>1744282-576917-324868</f>
        <v>842497</v>
      </c>
      <c r="M6" s="27"/>
      <c r="N6" s="173"/>
      <c r="V6" s="249"/>
    </row>
    <row r="7" spans="1:22">
      <c r="A7" s="85" t="s">
        <v>93</v>
      </c>
      <c r="B7" s="27">
        <v>0</v>
      </c>
      <c r="C7" s="27">
        <v>0</v>
      </c>
      <c r="D7" s="27">
        <v>0</v>
      </c>
      <c r="E7" s="27">
        <v>0</v>
      </c>
      <c r="F7" s="27">
        <v>0</v>
      </c>
      <c r="G7" s="27">
        <v>0</v>
      </c>
      <c r="H7" s="27">
        <v>0</v>
      </c>
      <c r="I7" s="27">
        <v>0</v>
      </c>
      <c r="J7" s="27">
        <v>0</v>
      </c>
      <c r="K7" s="27">
        <v>0</v>
      </c>
      <c r="L7" s="27">
        <v>0</v>
      </c>
      <c r="M7" s="27"/>
      <c r="N7" s="173"/>
    </row>
    <row r="8" spans="1:22">
      <c r="A8" s="86" t="s">
        <v>101</v>
      </c>
      <c r="B8" s="27">
        <v>0</v>
      </c>
      <c r="C8" s="27">
        <v>0</v>
      </c>
      <c r="D8" s="27">
        <v>0</v>
      </c>
      <c r="E8" s="27">
        <v>0</v>
      </c>
      <c r="F8" s="27">
        <v>0</v>
      </c>
      <c r="G8" s="27">
        <v>0</v>
      </c>
      <c r="H8" s="27">
        <v>0</v>
      </c>
      <c r="I8" s="27">
        <v>0</v>
      </c>
      <c r="J8" s="27">
        <v>0</v>
      </c>
      <c r="K8" s="27">
        <v>0</v>
      </c>
      <c r="L8" s="27">
        <v>0</v>
      </c>
      <c r="M8" s="27"/>
      <c r="N8" s="173"/>
    </row>
    <row r="9" spans="1:22">
      <c r="A9" s="73" t="s">
        <v>125</v>
      </c>
      <c r="B9" s="32">
        <v>458374</v>
      </c>
      <c r="C9" s="32">
        <v>224222</v>
      </c>
      <c r="D9" s="32">
        <v>391874</v>
      </c>
      <c r="E9" s="32">
        <v>240077</v>
      </c>
      <c r="F9" s="32">
        <v>293278</v>
      </c>
      <c r="G9" s="32">
        <v>458233</v>
      </c>
      <c r="H9" s="27">
        <v>288081</v>
      </c>
      <c r="I9" s="27">
        <v>372615</v>
      </c>
      <c r="J9" s="27">
        <f>399406+358912</f>
        <v>758318</v>
      </c>
      <c r="K9" s="27">
        <f>563039+816279</f>
        <v>1379318</v>
      </c>
      <c r="L9" s="27">
        <f>576917+324868</f>
        <v>901785</v>
      </c>
      <c r="M9" s="27"/>
      <c r="N9" s="173"/>
    </row>
    <row r="10" spans="1:22" s="19" customFormat="1" ht="16.5" thickBot="1">
      <c r="A10" s="39" t="s">
        <v>127</v>
      </c>
      <c r="B10" s="69">
        <v>0</v>
      </c>
      <c r="C10" s="69">
        <v>0</v>
      </c>
      <c r="D10" s="69">
        <v>0</v>
      </c>
      <c r="E10" s="69">
        <v>0</v>
      </c>
      <c r="F10" s="69">
        <v>0</v>
      </c>
      <c r="G10" s="69">
        <v>0</v>
      </c>
      <c r="H10" s="69">
        <v>0</v>
      </c>
      <c r="I10" s="69">
        <v>0</v>
      </c>
      <c r="J10" s="69">
        <v>0</v>
      </c>
      <c r="K10" s="69">
        <v>0</v>
      </c>
      <c r="L10" s="69">
        <v>0</v>
      </c>
      <c r="N10" s="190"/>
    </row>
    <row r="11" spans="1:22">
      <c r="A11" s="95" t="s">
        <v>108</v>
      </c>
      <c r="B11" s="27">
        <f>SUM(B6:B10)</f>
        <v>1479757</v>
      </c>
      <c r="C11" s="27">
        <f t="shared" ref="C11:L11" si="0">SUM(C6:C10)</f>
        <v>2028237</v>
      </c>
      <c r="D11" s="27">
        <f t="shared" si="0"/>
        <v>2654190</v>
      </c>
      <c r="E11" s="27">
        <f t="shared" si="0"/>
        <v>2050189</v>
      </c>
      <c r="F11" s="27">
        <f t="shared" si="0"/>
        <v>2250614</v>
      </c>
      <c r="G11" s="27">
        <f t="shared" si="0"/>
        <v>2704408</v>
      </c>
      <c r="H11" s="27">
        <f t="shared" si="0"/>
        <v>3580741</v>
      </c>
      <c r="I11" s="27">
        <f t="shared" si="0"/>
        <v>3665967</v>
      </c>
      <c r="J11" s="27">
        <f t="shared" si="0"/>
        <v>3191992</v>
      </c>
      <c r="K11" s="27">
        <f t="shared" si="0"/>
        <v>4076316</v>
      </c>
      <c r="L11" s="27">
        <f t="shared" si="0"/>
        <v>1744282</v>
      </c>
      <c r="M11" s="27"/>
    </row>
    <row r="12" spans="1:22">
      <c r="B12" s="19"/>
      <c r="C12" s="19"/>
      <c r="D12" s="19"/>
      <c r="E12" s="19"/>
      <c r="F12" s="19"/>
      <c r="G12" s="19"/>
      <c r="H12" s="19"/>
      <c r="I12" s="19"/>
      <c r="J12" s="19"/>
      <c r="K12" s="19"/>
      <c r="L12" s="19"/>
      <c r="M12" s="19"/>
    </row>
    <row r="13" spans="1:22">
      <c r="A13" s="88"/>
      <c r="B13" s="27"/>
      <c r="C13" s="27"/>
      <c r="D13" s="27"/>
      <c r="E13" s="27"/>
      <c r="F13" s="27"/>
      <c r="G13" s="27"/>
      <c r="H13" s="27"/>
      <c r="I13" s="27"/>
      <c r="J13" s="27"/>
      <c r="K13" s="27"/>
      <c r="L13" s="27"/>
      <c r="M13" s="19"/>
    </row>
    <row r="14" spans="1:22" ht="18.75">
      <c r="A14" s="93" t="s">
        <v>73</v>
      </c>
      <c r="B14" s="27"/>
      <c r="C14" s="27"/>
      <c r="D14" s="27"/>
      <c r="E14" s="27"/>
      <c r="F14" s="27"/>
      <c r="G14" s="27"/>
      <c r="H14" s="27"/>
      <c r="I14" s="27"/>
      <c r="J14" s="27"/>
      <c r="K14" s="27"/>
      <c r="L14" s="27"/>
      <c r="M14" s="27"/>
    </row>
    <row r="15" spans="1:22" s="9" customFormat="1">
      <c r="A15" s="112"/>
      <c r="B15" s="254">
        <v>2009</v>
      </c>
      <c r="C15" s="254">
        <v>2010</v>
      </c>
      <c r="D15" s="254">
        <v>2011</v>
      </c>
      <c r="E15" s="254">
        <v>2012</v>
      </c>
      <c r="F15" s="254">
        <v>2013</v>
      </c>
      <c r="G15" s="254">
        <v>2014</v>
      </c>
      <c r="H15" s="254">
        <v>2015</v>
      </c>
      <c r="I15" s="254">
        <v>2016</v>
      </c>
      <c r="J15" s="254">
        <v>2017</v>
      </c>
      <c r="K15" s="254">
        <v>2018</v>
      </c>
      <c r="L15" s="254">
        <v>2019</v>
      </c>
      <c r="M15" s="27"/>
      <c r="N15" s="198"/>
    </row>
    <row r="16" spans="1:22">
      <c r="A16" s="10" t="s">
        <v>100</v>
      </c>
      <c r="B16" s="27">
        <v>2657798</v>
      </c>
      <c r="C16" s="27">
        <v>2441449</v>
      </c>
      <c r="D16" s="27">
        <v>2410390</v>
      </c>
      <c r="E16" s="27">
        <v>2301591</v>
      </c>
      <c r="F16" s="27">
        <v>2506070</v>
      </c>
      <c r="G16" s="27">
        <v>2910948</v>
      </c>
      <c r="H16" s="27">
        <v>3292660</v>
      </c>
      <c r="I16" s="27">
        <v>3293352</v>
      </c>
      <c r="J16" s="27">
        <v>4565818</v>
      </c>
      <c r="K16" s="27">
        <v>5185874</v>
      </c>
      <c r="L16" s="27">
        <v>3976867</v>
      </c>
      <c r="M16" s="27"/>
    </row>
    <row r="17" spans="1:14">
      <c r="A17" s="96" t="s">
        <v>93</v>
      </c>
      <c r="B17" s="27">
        <v>0</v>
      </c>
      <c r="C17" s="27">
        <v>0</v>
      </c>
      <c r="D17" s="27">
        <v>0</v>
      </c>
      <c r="E17" s="27">
        <v>0</v>
      </c>
      <c r="F17" s="27">
        <v>0</v>
      </c>
      <c r="G17" s="27">
        <v>0</v>
      </c>
      <c r="H17" s="27">
        <v>0</v>
      </c>
      <c r="I17" s="27">
        <v>0</v>
      </c>
      <c r="J17" s="27">
        <v>0</v>
      </c>
      <c r="K17" s="27">
        <v>0</v>
      </c>
      <c r="L17" s="27">
        <v>0</v>
      </c>
      <c r="M17" s="27"/>
    </row>
    <row r="18" spans="1:14">
      <c r="A18" s="94" t="s">
        <v>101</v>
      </c>
      <c r="B18" s="27">
        <v>0</v>
      </c>
      <c r="C18" s="27">
        <v>0</v>
      </c>
      <c r="D18" s="27">
        <v>0</v>
      </c>
      <c r="E18" s="27">
        <v>0</v>
      </c>
      <c r="F18" s="27">
        <v>0</v>
      </c>
      <c r="G18" s="27">
        <v>0</v>
      </c>
      <c r="H18" s="27">
        <v>0</v>
      </c>
      <c r="I18" s="27">
        <v>0</v>
      </c>
      <c r="J18" s="27">
        <v>0</v>
      </c>
      <c r="K18" s="27">
        <v>0</v>
      </c>
      <c r="L18" s="27">
        <v>0</v>
      </c>
      <c r="M18" s="27"/>
      <c r="N18" s="173"/>
    </row>
    <row r="19" spans="1:14">
      <c r="A19" s="73" t="s">
        <v>83</v>
      </c>
      <c r="B19" s="27">
        <v>458374</v>
      </c>
      <c r="C19" s="27">
        <v>224222</v>
      </c>
      <c r="D19" s="27">
        <v>391874</v>
      </c>
      <c r="E19" s="27">
        <v>240077</v>
      </c>
      <c r="F19" s="27">
        <v>293278</v>
      </c>
      <c r="G19" s="27">
        <v>458233</v>
      </c>
      <c r="H19" s="27">
        <v>576160</v>
      </c>
      <c r="I19" s="27">
        <v>356494</v>
      </c>
      <c r="J19" s="27">
        <v>393939</v>
      </c>
      <c r="K19" s="27">
        <v>1762003</v>
      </c>
      <c r="L19" s="27">
        <v>883133</v>
      </c>
      <c r="M19" s="27"/>
      <c r="N19" s="173"/>
    </row>
    <row r="20" spans="1:14" ht="16.5" thickBot="1">
      <c r="A20" s="153" t="s">
        <v>157</v>
      </c>
      <c r="B20" s="69">
        <v>0</v>
      </c>
      <c r="C20" s="69">
        <v>0</v>
      </c>
      <c r="D20" s="69">
        <v>0</v>
      </c>
      <c r="E20" s="69">
        <v>0</v>
      </c>
      <c r="F20" s="69">
        <v>0</v>
      </c>
      <c r="G20" s="69">
        <v>0</v>
      </c>
      <c r="H20" s="69">
        <v>0</v>
      </c>
      <c r="I20" s="69">
        <v>0</v>
      </c>
      <c r="J20" s="69">
        <v>0</v>
      </c>
      <c r="K20" s="69">
        <v>0</v>
      </c>
      <c r="L20" s="69">
        <v>0</v>
      </c>
      <c r="M20" s="27"/>
      <c r="N20" s="173"/>
    </row>
    <row r="21" spans="1:14">
      <c r="A21" s="95" t="s">
        <v>119</v>
      </c>
      <c r="B21" s="27">
        <f t="shared" ref="B21:L21" si="1">SUM(B16:B20)</f>
        <v>3116172</v>
      </c>
      <c r="C21" s="27">
        <f t="shared" si="1"/>
        <v>2665671</v>
      </c>
      <c r="D21" s="27">
        <f t="shared" si="1"/>
        <v>2802264</v>
      </c>
      <c r="E21" s="27">
        <f t="shared" si="1"/>
        <v>2541668</v>
      </c>
      <c r="F21" s="27">
        <f t="shared" si="1"/>
        <v>2799348</v>
      </c>
      <c r="G21" s="27">
        <f t="shared" si="1"/>
        <v>3369181</v>
      </c>
      <c r="H21" s="27">
        <f t="shared" si="1"/>
        <v>3868820</v>
      </c>
      <c r="I21" s="27">
        <f t="shared" si="1"/>
        <v>3649846</v>
      </c>
      <c r="J21" s="27">
        <f t="shared" si="1"/>
        <v>4959757</v>
      </c>
      <c r="K21" s="27">
        <f t="shared" si="1"/>
        <v>6947877</v>
      </c>
      <c r="L21" s="27">
        <f t="shared" si="1"/>
        <v>4860000</v>
      </c>
      <c r="M21" s="27"/>
      <c r="N21" s="173"/>
    </row>
    <row r="22" spans="1:14" ht="18.75">
      <c r="A22" s="223"/>
      <c r="B22" s="173"/>
      <c r="C22" s="173"/>
      <c r="D22" s="173"/>
      <c r="E22" s="173"/>
      <c r="F22" s="173"/>
      <c r="G22" s="173"/>
      <c r="H22" s="173"/>
      <c r="I22" s="173"/>
      <c r="J22" s="173"/>
      <c r="K22" s="173"/>
      <c r="L22" s="173"/>
      <c r="M22" s="173"/>
      <c r="N22" s="173"/>
    </row>
    <row r="23" spans="1:14">
      <c r="M23" s="1"/>
      <c r="N23" s="173"/>
    </row>
    <row r="24" spans="1:14" ht="18.75">
      <c r="A24" s="37"/>
      <c r="B24" s="254">
        <v>2009</v>
      </c>
      <c r="C24" s="254">
        <v>2010</v>
      </c>
      <c r="D24" s="254">
        <v>2011</v>
      </c>
      <c r="E24" s="254">
        <v>2012</v>
      </c>
      <c r="F24" s="254">
        <v>2013</v>
      </c>
      <c r="G24" s="254">
        <v>2014</v>
      </c>
      <c r="H24" s="254">
        <v>2015</v>
      </c>
      <c r="I24" s="254">
        <v>2016</v>
      </c>
      <c r="J24" s="254">
        <v>2017</v>
      </c>
      <c r="K24" s="254">
        <v>2018</v>
      </c>
      <c r="L24" s="254">
        <v>2019</v>
      </c>
      <c r="M24" s="1"/>
      <c r="N24" s="173"/>
    </row>
    <row r="25" spans="1:14">
      <c r="A25" s="2" t="s">
        <v>203</v>
      </c>
      <c r="B25" s="8">
        <f t="shared" ref="B25:L25" si="2">+B21/B26</f>
        <v>49.336183148095373</v>
      </c>
      <c r="C25" s="8">
        <f t="shared" si="2"/>
        <v>39.350343952053379</v>
      </c>
      <c r="D25" s="8">
        <f t="shared" si="2"/>
        <v>40.753683047076102</v>
      </c>
      <c r="E25" s="8">
        <f t="shared" si="2"/>
        <v>36.654619921835568</v>
      </c>
      <c r="F25" s="8">
        <f t="shared" si="2"/>
        <v>39.780417791672591</v>
      </c>
      <c r="G25" s="8">
        <f t="shared" si="2"/>
        <v>47.43521477747899</v>
      </c>
      <c r="H25" s="8">
        <f t="shared" si="2"/>
        <v>52.694361209479709</v>
      </c>
      <c r="I25" s="8">
        <f t="shared" si="2"/>
        <v>49.06696242522014</v>
      </c>
      <c r="J25" s="8">
        <f t="shared" si="2"/>
        <v>65.397639767932489</v>
      </c>
      <c r="K25" s="8">
        <f t="shared" si="2"/>
        <v>89.926186223499258</v>
      </c>
      <c r="L25" s="8">
        <f t="shared" si="2"/>
        <v>61.534565712838692</v>
      </c>
      <c r="M25" s="1"/>
      <c r="N25" s="173"/>
    </row>
    <row r="26" spans="1:14">
      <c r="A26" s="45" t="s">
        <v>217</v>
      </c>
      <c r="B26" s="16">
        <f>+Stats!D4</f>
        <v>63162</v>
      </c>
      <c r="C26" s="16">
        <f>+Stats!E4</f>
        <v>67742</v>
      </c>
      <c r="D26" s="16">
        <f>+Stats!F4</f>
        <v>68761</v>
      </c>
      <c r="E26" s="16">
        <f>+Stats!G4</f>
        <v>69341</v>
      </c>
      <c r="F26" s="16">
        <f>+Stats!H4</f>
        <v>70370</v>
      </c>
      <c r="G26" s="16">
        <f>+Stats!I4</f>
        <v>71027</v>
      </c>
      <c r="H26" s="16">
        <f>+Stats!J4</f>
        <v>73420</v>
      </c>
      <c r="I26" s="16">
        <f>+Stats!K4</f>
        <v>74385</v>
      </c>
      <c r="J26" s="16">
        <f>+Stats!L4</f>
        <v>75840</v>
      </c>
      <c r="K26" s="16">
        <f>+Stats!M4</f>
        <v>77262</v>
      </c>
      <c r="L26" s="16">
        <f>+Stats!N4</f>
        <v>78980</v>
      </c>
      <c r="N26" s="173"/>
    </row>
    <row r="27" spans="1:14">
      <c r="B27" s="254"/>
      <c r="C27" s="254"/>
      <c r="D27" s="254"/>
      <c r="E27" s="254"/>
      <c r="F27" s="254"/>
      <c r="G27" s="254"/>
      <c r="H27" s="254"/>
      <c r="I27" s="254"/>
      <c r="J27" s="254"/>
      <c r="K27" s="254"/>
      <c r="L27" s="254"/>
      <c r="M27" s="1"/>
      <c r="N27" s="173"/>
    </row>
    <row r="28" spans="1:14">
      <c r="A28" s="253" t="s">
        <v>159</v>
      </c>
      <c r="B28" s="27">
        <f t="shared" ref="B28:L28" si="3">+B16/B29</f>
        <v>155882.58064516127</v>
      </c>
      <c r="C28" s="27">
        <f t="shared" si="3"/>
        <v>160095.01639344261</v>
      </c>
      <c r="D28" s="27">
        <f t="shared" si="3"/>
        <v>148331.69230769231</v>
      </c>
      <c r="E28" s="27">
        <f t="shared" si="3"/>
        <v>143849.4375</v>
      </c>
      <c r="F28" s="27">
        <f t="shared" si="3"/>
        <v>151424.16918429002</v>
      </c>
      <c r="G28" s="27">
        <f t="shared" si="3"/>
        <v>158634.76839237055</v>
      </c>
      <c r="H28" s="27">
        <f t="shared" si="3"/>
        <v>172300.3663003663</v>
      </c>
      <c r="I28" s="27">
        <f t="shared" si="3"/>
        <v>157803.16243411598</v>
      </c>
      <c r="J28" s="27">
        <f t="shared" si="3"/>
        <v>220304.84921592279</v>
      </c>
      <c r="K28" s="27">
        <f t="shared" si="3"/>
        <v>207642.60260260259</v>
      </c>
      <c r="L28" s="27">
        <f t="shared" si="3"/>
        <v>159233.91391391392</v>
      </c>
      <c r="M28" s="1"/>
      <c r="N28" s="173"/>
    </row>
    <row r="29" spans="1:14">
      <c r="A29" s="45" t="s">
        <v>64</v>
      </c>
      <c r="B29" s="34">
        <f>+B41</f>
        <v>17.05</v>
      </c>
      <c r="C29" s="34">
        <f t="shared" ref="C29:L29" si="4">+C41</f>
        <v>15.25</v>
      </c>
      <c r="D29" s="34">
        <f t="shared" si="4"/>
        <v>16.25</v>
      </c>
      <c r="E29" s="34">
        <f t="shared" si="4"/>
        <v>16</v>
      </c>
      <c r="F29" s="34">
        <f t="shared" si="4"/>
        <v>16.55</v>
      </c>
      <c r="G29" s="34">
        <f t="shared" si="4"/>
        <v>18.350000000000001</v>
      </c>
      <c r="H29" s="34">
        <f t="shared" si="4"/>
        <v>19.11</v>
      </c>
      <c r="I29" s="34">
        <f t="shared" si="4"/>
        <v>20.869999999999997</v>
      </c>
      <c r="J29" s="34">
        <f t="shared" si="4"/>
        <v>20.725000000000001</v>
      </c>
      <c r="K29" s="34">
        <f t="shared" si="4"/>
        <v>24.975000000000001</v>
      </c>
      <c r="L29" s="34">
        <f t="shared" si="4"/>
        <v>24.975000000000001</v>
      </c>
      <c r="M29" s="1"/>
      <c r="N29" s="173"/>
    </row>
    <row r="30" spans="1:14">
      <c r="M30" s="1"/>
      <c r="N30" s="173"/>
    </row>
    <row r="31" spans="1:14">
      <c r="A31" s="190"/>
      <c r="B31" s="190"/>
      <c r="C31" s="190"/>
      <c r="D31" s="190"/>
      <c r="E31" s="190"/>
      <c r="F31" s="190"/>
      <c r="G31" s="190"/>
      <c r="H31" s="190"/>
      <c r="I31" s="190"/>
      <c r="J31" s="190"/>
      <c r="K31" s="190"/>
      <c r="L31" s="190"/>
      <c r="M31" s="190"/>
    </row>
    <row r="32" spans="1:14">
      <c r="A32" s="190"/>
      <c r="B32" s="190"/>
      <c r="C32" s="190"/>
      <c r="D32" s="190"/>
      <c r="E32" s="190"/>
      <c r="F32" s="190"/>
      <c r="G32" s="190"/>
      <c r="H32" s="190"/>
      <c r="I32" s="190"/>
      <c r="J32" s="190"/>
      <c r="K32" s="190"/>
      <c r="L32" s="190"/>
      <c r="M32" s="190"/>
      <c r="N32" s="173"/>
    </row>
    <row r="33" spans="1:14">
      <c r="A33" s="366"/>
      <c r="B33" s="117"/>
      <c r="C33" s="117"/>
      <c r="D33" s="117"/>
      <c r="E33" s="117"/>
      <c r="F33" s="117"/>
      <c r="G33" s="117"/>
      <c r="H33" s="117"/>
      <c r="I33" s="117"/>
      <c r="J33" s="117"/>
      <c r="K33" s="117"/>
      <c r="L33" s="117"/>
      <c r="M33" s="163"/>
      <c r="N33" s="173"/>
    </row>
    <row r="34" spans="1:14">
      <c r="A34" s="359"/>
      <c r="B34" s="117"/>
      <c r="C34" s="117"/>
      <c r="D34" s="117"/>
      <c r="E34" s="117"/>
      <c r="F34" s="117"/>
      <c r="G34" s="117"/>
      <c r="H34" s="117"/>
      <c r="I34" s="117"/>
      <c r="J34" s="117"/>
      <c r="K34" s="117"/>
      <c r="L34" s="117"/>
      <c r="M34" s="163"/>
      <c r="N34" s="173"/>
    </row>
    <row r="35" spans="1:14">
      <c r="A35" s="9" t="s">
        <v>63</v>
      </c>
      <c r="B35" s="15"/>
      <c r="C35" s="15"/>
      <c r="D35" s="15"/>
      <c r="E35" s="15"/>
      <c r="F35" s="15"/>
      <c r="G35" s="15"/>
      <c r="H35" s="15"/>
      <c r="I35" s="15"/>
      <c r="J35" s="15"/>
      <c r="K35" s="15"/>
      <c r="L35" s="15"/>
      <c r="M35" s="163"/>
      <c r="N35" s="173"/>
    </row>
    <row r="36" spans="1:14">
      <c r="A36" s="40" t="s">
        <v>53</v>
      </c>
      <c r="B36" s="22">
        <v>3.25</v>
      </c>
      <c r="C36" s="22">
        <v>2.75</v>
      </c>
      <c r="D36" s="22">
        <v>2.75</v>
      </c>
      <c r="E36" s="22">
        <v>2.5</v>
      </c>
      <c r="F36" s="22">
        <v>2.5</v>
      </c>
      <c r="G36" s="22">
        <v>2.6</v>
      </c>
      <c r="H36" s="22">
        <v>2.5</v>
      </c>
      <c r="I36" s="22">
        <v>4</v>
      </c>
      <c r="J36" s="22">
        <v>4</v>
      </c>
      <c r="K36" s="22">
        <v>5</v>
      </c>
      <c r="L36" s="22">
        <v>5</v>
      </c>
      <c r="M36" s="117"/>
      <c r="N36" s="173"/>
    </row>
    <row r="37" spans="1:14">
      <c r="A37" s="40" t="s">
        <v>54</v>
      </c>
      <c r="B37" s="22">
        <v>0.8</v>
      </c>
      <c r="C37" s="22">
        <v>0.8</v>
      </c>
      <c r="D37" s="22">
        <v>0.75</v>
      </c>
      <c r="E37" s="22">
        <v>0.75</v>
      </c>
      <c r="F37" s="22">
        <v>1.3</v>
      </c>
      <c r="G37" s="22">
        <v>1.75</v>
      </c>
      <c r="H37" s="22">
        <v>1.75</v>
      </c>
      <c r="I37" s="22">
        <v>1.75</v>
      </c>
      <c r="J37" s="22">
        <v>1.75</v>
      </c>
      <c r="K37" s="22">
        <v>3</v>
      </c>
      <c r="L37" s="22">
        <v>3</v>
      </c>
      <c r="M37" s="163"/>
      <c r="N37" s="173"/>
    </row>
    <row r="38" spans="1:14">
      <c r="A38" s="40" t="s">
        <v>55</v>
      </c>
      <c r="B38" s="14">
        <v>2</v>
      </c>
      <c r="C38" s="22">
        <v>1.2</v>
      </c>
      <c r="D38" s="22">
        <v>2</v>
      </c>
      <c r="E38" s="22">
        <v>2</v>
      </c>
      <c r="F38" s="22">
        <v>2</v>
      </c>
      <c r="G38" s="22">
        <v>2</v>
      </c>
      <c r="H38" s="14">
        <v>1.26</v>
      </c>
      <c r="I38" s="22">
        <v>1.25</v>
      </c>
      <c r="J38" s="22">
        <v>2</v>
      </c>
      <c r="K38" s="22">
        <v>2</v>
      </c>
      <c r="L38" s="22">
        <v>2</v>
      </c>
      <c r="M38" s="117"/>
      <c r="N38" s="173"/>
    </row>
    <row r="39" spans="1:14">
      <c r="A39" s="40" t="s">
        <v>59</v>
      </c>
      <c r="B39" s="22">
        <v>7</v>
      </c>
      <c r="C39" s="22">
        <v>6.75</v>
      </c>
      <c r="D39" s="22">
        <v>6.75</v>
      </c>
      <c r="E39" s="22">
        <v>6.75</v>
      </c>
      <c r="F39" s="22">
        <v>6.75</v>
      </c>
      <c r="G39" s="22">
        <v>8</v>
      </c>
      <c r="H39" s="22">
        <v>9</v>
      </c>
      <c r="I39" s="22">
        <v>8.8699999999999992</v>
      </c>
      <c r="J39" s="22">
        <v>7.9749999999999996</v>
      </c>
      <c r="K39" s="22">
        <v>8.9749999999999996</v>
      </c>
      <c r="L39" s="22">
        <v>8.9749999999999996</v>
      </c>
      <c r="M39" s="117"/>
      <c r="N39" s="173"/>
    </row>
    <row r="40" spans="1:14" ht="16.5" thickBot="1">
      <c r="A40" s="40" t="s">
        <v>56</v>
      </c>
      <c r="B40" s="35">
        <v>4</v>
      </c>
      <c r="C40" s="35">
        <v>3.75</v>
      </c>
      <c r="D40" s="35">
        <v>4</v>
      </c>
      <c r="E40" s="35">
        <v>4</v>
      </c>
      <c r="F40" s="35">
        <v>4</v>
      </c>
      <c r="G40" s="35">
        <v>4</v>
      </c>
      <c r="H40" s="35">
        <v>4.5999999999999996</v>
      </c>
      <c r="I40" s="35">
        <v>5</v>
      </c>
      <c r="J40" s="35">
        <v>5</v>
      </c>
      <c r="K40" s="35">
        <v>6</v>
      </c>
      <c r="L40" s="35">
        <v>6</v>
      </c>
      <c r="M40" s="117"/>
      <c r="N40" s="173"/>
    </row>
    <row r="41" spans="1:14">
      <c r="A41" s="46" t="s">
        <v>64</v>
      </c>
      <c r="B41" s="34">
        <f t="shared" ref="B41:L41" si="5">SUM(B36:B40)</f>
        <v>17.05</v>
      </c>
      <c r="C41" s="34">
        <f t="shared" si="5"/>
        <v>15.25</v>
      </c>
      <c r="D41" s="34">
        <f t="shared" si="5"/>
        <v>16.25</v>
      </c>
      <c r="E41" s="34">
        <f t="shared" si="5"/>
        <v>16</v>
      </c>
      <c r="F41" s="34">
        <f t="shared" si="5"/>
        <v>16.55</v>
      </c>
      <c r="G41" s="34">
        <f t="shared" si="5"/>
        <v>18.350000000000001</v>
      </c>
      <c r="H41" s="34">
        <f t="shared" si="5"/>
        <v>19.11</v>
      </c>
      <c r="I41" s="34">
        <f t="shared" si="5"/>
        <v>20.869999999999997</v>
      </c>
      <c r="J41" s="34">
        <f t="shared" si="5"/>
        <v>20.725000000000001</v>
      </c>
      <c r="K41" s="34">
        <f t="shared" si="5"/>
        <v>24.975000000000001</v>
      </c>
      <c r="L41" s="34">
        <f t="shared" si="5"/>
        <v>24.975000000000001</v>
      </c>
      <c r="M41" s="117"/>
      <c r="N41" s="173"/>
    </row>
    <row r="42" spans="1:14">
      <c r="A42" s="45" t="s">
        <v>72</v>
      </c>
      <c r="B42" s="15"/>
      <c r="C42" s="36">
        <f>C41/B41</f>
        <v>0.8944281524926686</v>
      </c>
      <c r="D42" s="36">
        <f t="shared" ref="D42:L42" si="6">D41/C41</f>
        <v>1.0655737704918034</v>
      </c>
      <c r="E42" s="36">
        <f t="shared" si="6"/>
        <v>0.98461538461538467</v>
      </c>
      <c r="F42" s="36">
        <f t="shared" si="6"/>
        <v>1.034375</v>
      </c>
      <c r="G42" s="36">
        <f t="shared" si="6"/>
        <v>1.1087613293051359</v>
      </c>
      <c r="H42" s="36">
        <f t="shared" si="6"/>
        <v>1.04141689373297</v>
      </c>
      <c r="I42" s="36">
        <f t="shared" si="6"/>
        <v>1.0920983778126634</v>
      </c>
      <c r="J42" s="36">
        <f t="shared" si="6"/>
        <v>0.99305222807858184</v>
      </c>
      <c r="K42" s="36">
        <f t="shared" si="6"/>
        <v>1.2050663449939687</v>
      </c>
      <c r="L42" s="36">
        <f t="shared" si="6"/>
        <v>1</v>
      </c>
      <c r="M42" s="117"/>
      <c r="N42" s="173"/>
    </row>
    <row r="43" spans="1:14">
      <c r="A43" s="363"/>
      <c r="B43" s="117"/>
      <c r="C43" s="117"/>
      <c r="D43" s="117"/>
      <c r="E43" s="117"/>
      <c r="F43" s="117"/>
      <c r="G43" s="117"/>
      <c r="H43" s="117"/>
      <c r="I43" s="117"/>
      <c r="J43" s="117"/>
      <c r="K43" s="117"/>
      <c r="L43" s="117"/>
      <c r="M43" s="117"/>
      <c r="N43" s="173"/>
    </row>
    <row r="44" spans="1:14">
      <c r="A44" s="363"/>
      <c r="B44" s="117"/>
      <c r="C44" s="339"/>
      <c r="D44" s="339"/>
      <c r="E44" s="339"/>
      <c r="F44" s="339"/>
      <c r="G44" s="339"/>
      <c r="H44" s="339"/>
      <c r="I44" s="339"/>
      <c r="J44" s="339"/>
      <c r="K44" s="339"/>
      <c r="L44" s="339"/>
      <c r="M44" s="117"/>
      <c r="N44" s="173"/>
    </row>
    <row r="45" spans="1:14">
      <c r="A45" s="368"/>
      <c r="B45" s="117"/>
      <c r="C45" s="117"/>
      <c r="D45" s="117"/>
      <c r="E45" s="117"/>
      <c r="F45" s="117"/>
      <c r="G45" s="117"/>
      <c r="H45" s="117"/>
      <c r="I45" s="117"/>
      <c r="J45" s="117"/>
      <c r="K45" s="117"/>
      <c r="L45" s="339"/>
      <c r="M45" s="117"/>
      <c r="N45" s="173"/>
    </row>
    <row r="46" spans="1:14">
      <c r="A46" s="163"/>
      <c r="B46" s="117"/>
      <c r="C46" s="117"/>
      <c r="D46" s="117"/>
      <c r="E46" s="117"/>
      <c r="F46" s="117"/>
      <c r="G46" s="117"/>
      <c r="H46" s="117"/>
      <c r="I46" s="117"/>
      <c r="J46" s="117"/>
      <c r="K46" s="117"/>
      <c r="L46" s="117"/>
      <c r="M46" s="117"/>
      <c r="N46" s="173"/>
    </row>
    <row r="47" spans="1:14">
      <c r="A47" s="369"/>
      <c r="B47" s="117"/>
      <c r="C47" s="117"/>
      <c r="D47" s="117"/>
      <c r="E47" s="117"/>
      <c r="F47" s="117"/>
      <c r="G47" s="117"/>
      <c r="H47" s="117"/>
      <c r="I47" s="117"/>
      <c r="J47" s="117"/>
      <c r="K47" s="117"/>
      <c r="L47" s="117"/>
      <c r="M47" s="117"/>
      <c r="N47" s="173"/>
    </row>
    <row r="48" spans="1:14">
      <c r="A48" s="359"/>
      <c r="B48" s="117"/>
      <c r="C48" s="117"/>
      <c r="D48" s="117"/>
      <c r="E48" s="117"/>
      <c r="F48" s="117"/>
      <c r="G48" s="117"/>
      <c r="H48" s="117"/>
      <c r="I48" s="117"/>
      <c r="J48" s="117"/>
      <c r="K48" s="117"/>
      <c r="L48" s="117"/>
      <c r="M48" s="163"/>
    </row>
    <row r="49" spans="1:14">
      <c r="A49" s="370"/>
      <c r="B49" s="145"/>
      <c r="C49" s="145"/>
      <c r="D49" s="145"/>
      <c r="E49" s="145"/>
      <c r="F49" s="145"/>
      <c r="G49" s="145"/>
      <c r="H49" s="117"/>
      <c r="I49" s="117"/>
      <c r="J49" s="117"/>
      <c r="K49" s="117"/>
      <c r="L49" s="117"/>
      <c r="M49" s="163"/>
    </row>
    <row r="50" spans="1:14">
      <c r="A50" s="370"/>
      <c r="B50" s="117"/>
      <c r="C50" s="117"/>
      <c r="D50" s="117"/>
      <c r="E50" s="117"/>
      <c r="F50" s="117"/>
      <c r="G50" s="117"/>
      <c r="H50" s="117"/>
      <c r="I50" s="117"/>
      <c r="J50" s="117"/>
      <c r="K50" s="117"/>
      <c r="L50" s="117"/>
      <c r="M50" s="163"/>
    </row>
    <row r="51" spans="1:14">
      <c r="A51" s="361"/>
      <c r="B51" s="117"/>
      <c r="C51" s="117"/>
      <c r="D51" s="117"/>
      <c r="E51" s="117"/>
      <c r="F51" s="117"/>
      <c r="G51" s="117"/>
      <c r="H51" s="117"/>
      <c r="I51" s="117"/>
      <c r="J51" s="117"/>
      <c r="K51" s="117"/>
      <c r="L51" s="117"/>
      <c r="M51" s="163"/>
    </row>
    <row r="52" spans="1:14">
      <c r="A52" s="163"/>
      <c r="B52" s="117"/>
      <c r="C52" s="117"/>
      <c r="D52" s="117"/>
      <c r="E52" s="117"/>
      <c r="F52" s="117"/>
      <c r="G52" s="117"/>
      <c r="H52" s="117"/>
      <c r="I52" s="117"/>
      <c r="J52" s="117"/>
      <c r="K52" s="117"/>
      <c r="L52" s="117"/>
      <c r="M52" s="163"/>
    </row>
    <row r="53" spans="1:14">
      <c r="A53" s="163"/>
      <c r="B53" s="163"/>
      <c r="C53" s="163"/>
      <c r="D53" s="163"/>
      <c r="E53" s="163"/>
      <c r="F53" s="163"/>
      <c r="G53" s="163"/>
      <c r="H53" s="163"/>
      <c r="I53" s="163"/>
      <c r="J53" s="163"/>
      <c r="K53" s="163"/>
      <c r="L53" s="163"/>
      <c r="M53" s="163"/>
    </row>
    <row r="54" spans="1:14">
      <c r="A54" s="371"/>
      <c r="B54" s="372"/>
      <c r="C54" s="372"/>
      <c r="D54" s="372"/>
      <c r="E54" s="372"/>
      <c r="F54" s="372"/>
      <c r="G54" s="372"/>
      <c r="H54" s="372"/>
      <c r="I54" s="372"/>
      <c r="J54" s="372"/>
      <c r="K54" s="372"/>
      <c r="L54" s="372"/>
      <c r="M54" s="163"/>
    </row>
    <row r="55" spans="1:14">
      <c r="A55" s="163"/>
      <c r="B55" s="163"/>
      <c r="C55" s="163"/>
      <c r="D55" s="163"/>
      <c r="E55" s="163"/>
      <c r="F55" s="163"/>
      <c r="G55" s="163"/>
      <c r="H55" s="163"/>
      <c r="I55" s="163"/>
      <c r="J55" s="163"/>
      <c r="K55" s="163"/>
      <c r="L55" s="163"/>
      <c r="M55" s="163"/>
    </row>
    <row r="56" spans="1:14">
      <c r="A56" s="356"/>
      <c r="B56" s="117"/>
      <c r="C56" s="117"/>
      <c r="D56" s="117"/>
      <c r="E56" s="117"/>
      <c r="F56" s="117"/>
      <c r="G56" s="117"/>
      <c r="H56" s="117"/>
      <c r="I56" s="117"/>
      <c r="J56" s="117"/>
      <c r="K56" s="117"/>
      <c r="L56" s="117"/>
      <c r="M56" s="117"/>
      <c r="N56" s="173"/>
    </row>
    <row r="57" spans="1:14">
      <c r="A57" s="356"/>
      <c r="B57" s="373"/>
      <c r="C57" s="373"/>
      <c r="D57" s="373"/>
      <c r="E57" s="373"/>
      <c r="F57" s="373"/>
      <c r="G57" s="373"/>
      <c r="H57" s="373"/>
      <c r="I57" s="373"/>
      <c r="J57" s="373"/>
      <c r="K57" s="373"/>
      <c r="L57" s="373"/>
      <c r="M57" s="163"/>
    </row>
    <row r="58" spans="1:14">
      <c r="A58" s="356"/>
      <c r="B58" s="117"/>
      <c r="C58" s="117"/>
      <c r="D58" s="117"/>
      <c r="E58" s="117"/>
      <c r="F58" s="117"/>
      <c r="G58" s="117"/>
      <c r="H58" s="117"/>
      <c r="I58" s="117"/>
      <c r="J58" s="117"/>
      <c r="K58" s="117"/>
      <c r="L58" s="117"/>
      <c r="M58" s="117"/>
      <c r="N58" s="173"/>
    </row>
    <row r="59" spans="1:14">
      <c r="A59" s="356"/>
      <c r="B59" s="117"/>
      <c r="C59" s="117"/>
      <c r="D59" s="117"/>
      <c r="E59" s="117"/>
      <c r="F59" s="117"/>
      <c r="G59" s="117"/>
      <c r="H59" s="117"/>
      <c r="I59" s="117"/>
      <c r="J59" s="117"/>
      <c r="K59" s="117"/>
      <c r="L59" s="117"/>
      <c r="M59" s="117"/>
      <c r="N59" s="173"/>
    </row>
    <row r="60" spans="1:14">
      <c r="A60" s="163"/>
      <c r="B60" s="117"/>
      <c r="C60" s="117"/>
      <c r="D60" s="117"/>
      <c r="E60" s="117"/>
      <c r="F60" s="117"/>
      <c r="G60" s="117"/>
      <c r="H60" s="117"/>
      <c r="I60" s="117"/>
      <c r="J60" s="117"/>
      <c r="K60" s="117"/>
      <c r="L60" s="117"/>
      <c r="M60" s="117"/>
      <c r="N60" s="173"/>
    </row>
    <row r="61" spans="1:14">
      <c r="A61" s="163"/>
      <c r="B61" s="117"/>
      <c r="C61" s="117"/>
      <c r="D61" s="117"/>
      <c r="E61" s="117"/>
      <c r="F61" s="117"/>
      <c r="G61" s="117"/>
      <c r="H61" s="117"/>
      <c r="I61" s="117"/>
      <c r="J61" s="117"/>
      <c r="K61" s="117"/>
      <c r="L61" s="117"/>
      <c r="M61" s="117"/>
      <c r="N61" s="173"/>
    </row>
    <row r="62" spans="1:14">
      <c r="A62" s="357"/>
      <c r="B62" s="193"/>
      <c r="C62" s="193"/>
      <c r="D62" s="193"/>
      <c r="E62" s="193"/>
      <c r="F62" s="193"/>
      <c r="G62" s="193"/>
      <c r="H62" s="193"/>
      <c r="I62" s="193"/>
      <c r="J62" s="193"/>
      <c r="K62" s="193"/>
      <c r="L62" s="193"/>
      <c r="M62" s="117"/>
      <c r="N62" s="173"/>
    </row>
    <row r="63" spans="1:14">
      <c r="A63" s="357"/>
      <c r="B63" s="163"/>
      <c r="C63" s="163"/>
      <c r="D63" s="163"/>
      <c r="E63" s="163"/>
      <c r="F63" s="163"/>
      <c r="G63" s="163"/>
      <c r="H63" s="163"/>
      <c r="I63" s="163"/>
      <c r="J63" s="163"/>
      <c r="K63" s="163"/>
      <c r="L63" s="163"/>
      <c r="M63" s="117"/>
      <c r="N63" s="27"/>
    </row>
    <row r="64" spans="1:14">
      <c r="A64" s="357"/>
      <c r="B64" s="117"/>
      <c r="C64" s="117"/>
      <c r="D64" s="117"/>
      <c r="E64" s="117"/>
      <c r="F64" s="117"/>
      <c r="G64" s="117"/>
      <c r="H64" s="117"/>
      <c r="I64" s="117"/>
      <c r="J64" s="117"/>
      <c r="K64" s="117"/>
      <c r="L64" s="117"/>
      <c r="M64" s="117"/>
      <c r="N64" s="27"/>
    </row>
    <row r="65" spans="1:14">
      <c r="A65" s="357"/>
      <c r="B65" s="358"/>
      <c r="C65" s="358"/>
      <c r="D65" s="358"/>
      <c r="E65" s="358"/>
      <c r="F65" s="358"/>
      <c r="G65" s="358"/>
      <c r="H65" s="358"/>
      <c r="I65" s="358"/>
      <c r="J65" s="358"/>
      <c r="K65" s="358"/>
      <c r="L65" s="358"/>
      <c r="M65" s="163"/>
      <c r="N65" s="19"/>
    </row>
    <row r="66" spans="1:14">
      <c r="A66" s="359"/>
      <c r="B66" s="360"/>
      <c r="C66" s="360"/>
      <c r="D66" s="360"/>
      <c r="E66" s="360"/>
      <c r="F66" s="360"/>
      <c r="G66" s="360"/>
      <c r="H66" s="360"/>
      <c r="I66" s="360"/>
      <c r="J66" s="360"/>
      <c r="K66" s="360"/>
      <c r="L66" s="360"/>
      <c r="M66" s="117"/>
      <c r="N66" s="27"/>
    </row>
    <row r="67" spans="1:14">
      <c r="A67" s="359"/>
      <c r="B67" s="360"/>
      <c r="C67" s="360"/>
      <c r="D67" s="360"/>
      <c r="E67" s="360"/>
      <c r="F67" s="360"/>
      <c r="G67" s="360"/>
      <c r="H67" s="360"/>
      <c r="I67" s="360"/>
      <c r="J67" s="360"/>
      <c r="K67" s="360"/>
      <c r="L67" s="360"/>
      <c r="M67" s="117"/>
      <c r="N67" s="27"/>
    </row>
    <row r="68" spans="1:14">
      <c r="A68" s="359"/>
      <c r="B68" s="159"/>
      <c r="C68" s="360"/>
      <c r="D68" s="360"/>
      <c r="E68" s="360"/>
      <c r="F68" s="360"/>
      <c r="G68" s="360"/>
      <c r="H68" s="159"/>
      <c r="I68" s="360"/>
      <c r="J68" s="360"/>
      <c r="K68" s="360"/>
      <c r="L68" s="360"/>
      <c r="M68" s="117"/>
      <c r="N68" s="27"/>
    </row>
    <row r="69" spans="1:14">
      <c r="A69" s="359"/>
      <c r="B69" s="360"/>
      <c r="C69" s="360"/>
      <c r="D69" s="360"/>
      <c r="E69" s="360"/>
      <c r="F69" s="360"/>
      <c r="G69" s="360"/>
      <c r="H69" s="360"/>
      <c r="I69" s="360"/>
      <c r="J69" s="360"/>
      <c r="K69" s="360"/>
      <c r="L69" s="360"/>
      <c r="M69" s="117"/>
      <c r="N69" s="27"/>
    </row>
    <row r="70" spans="1:14">
      <c r="A70" s="359"/>
      <c r="B70" s="360"/>
      <c r="C70" s="360"/>
      <c r="D70" s="360"/>
      <c r="E70" s="360"/>
      <c r="F70" s="360"/>
      <c r="G70" s="360"/>
      <c r="H70" s="360"/>
      <c r="I70" s="360"/>
      <c r="J70" s="360"/>
      <c r="K70" s="360"/>
      <c r="L70" s="360"/>
      <c r="M70" s="117"/>
      <c r="N70" s="27"/>
    </row>
    <row r="71" spans="1:14">
      <c r="A71" s="163"/>
      <c r="B71" s="163"/>
      <c r="C71" s="163"/>
      <c r="D71" s="163"/>
      <c r="E71" s="163"/>
      <c r="F71" s="163"/>
      <c r="G71" s="163"/>
      <c r="H71" s="163"/>
      <c r="I71" s="163"/>
      <c r="J71" s="163"/>
      <c r="K71" s="163"/>
      <c r="L71" s="163"/>
      <c r="M71" s="117"/>
      <c r="N71" s="27"/>
    </row>
    <row r="72" spans="1:14">
      <c r="A72" s="363"/>
      <c r="B72" s="358"/>
      <c r="C72" s="237"/>
      <c r="D72" s="237"/>
      <c r="E72" s="237"/>
      <c r="F72" s="237"/>
      <c r="G72" s="237"/>
      <c r="H72" s="237"/>
      <c r="I72" s="237"/>
      <c r="J72" s="237"/>
      <c r="K72" s="237"/>
      <c r="L72" s="237"/>
      <c r="M72" s="117"/>
      <c r="N72" s="27"/>
    </row>
    <row r="73" spans="1:14" s="17" customFormat="1">
      <c r="A73" s="242"/>
      <c r="B73" s="358"/>
      <c r="C73" s="237"/>
      <c r="D73" s="237"/>
      <c r="E73" s="237"/>
      <c r="F73" s="237"/>
      <c r="G73" s="237"/>
      <c r="H73" s="237"/>
      <c r="I73" s="237"/>
      <c r="J73" s="237"/>
      <c r="K73" s="237"/>
      <c r="L73" s="237"/>
      <c r="M73" s="374"/>
      <c r="N73" s="79"/>
    </row>
    <row r="74" spans="1:14">
      <c r="A74" s="163"/>
      <c r="B74" s="117"/>
      <c r="C74" s="117"/>
      <c r="D74" s="117"/>
      <c r="E74" s="117"/>
      <c r="F74" s="117"/>
      <c r="G74" s="117"/>
      <c r="H74" s="117"/>
      <c r="I74" s="117"/>
      <c r="J74" s="117"/>
      <c r="K74" s="117"/>
      <c r="L74" s="117"/>
      <c r="M74" s="117"/>
      <c r="N74" s="27"/>
    </row>
    <row r="75" spans="1:14" ht="18.75">
      <c r="A75" s="364"/>
      <c r="B75" s="373"/>
      <c r="C75" s="373"/>
      <c r="D75" s="373"/>
      <c r="E75" s="373"/>
      <c r="F75" s="373"/>
      <c r="G75" s="373"/>
      <c r="H75" s="373"/>
      <c r="I75" s="373"/>
      <c r="J75" s="373"/>
      <c r="K75" s="373"/>
      <c r="L75" s="373"/>
      <c r="M75" s="117"/>
      <c r="N75" s="27"/>
    </row>
    <row r="76" spans="1:14">
      <c r="A76" s="165"/>
      <c r="B76" s="365"/>
      <c r="C76" s="365"/>
      <c r="D76" s="365"/>
      <c r="E76" s="365"/>
      <c r="F76" s="365"/>
      <c r="G76" s="365"/>
      <c r="H76" s="365"/>
      <c r="I76" s="365"/>
      <c r="J76" s="365"/>
      <c r="K76" s="365"/>
      <c r="L76" s="365"/>
      <c r="M76" s="117"/>
      <c r="N76" s="27"/>
    </row>
    <row r="77" spans="1:14">
      <c r="A77" s="163"/>
      <c r="B77" s="117"/>
      <c r="C77" s="117"/>
      <c r="D77" s="117"/>
      <c r="E77" s="117"/>
      <c r="F77" s="117"/>
      <c r="G77" s="117"/>
      <c r="H77" s="117"/>
      <c r="I77" s="117"/>
      <c r="J77" s="117"/>
      <c r="K77" s="117"/>
      <c r="L77" s="117"/>
      <c r="M77" s="117"/>
      <c r="N77" s="27"/>
    </row>
    <row r="78" spans="1:14">
      <c r="A78" s="163"/>
      <c r="B78" s="117"/>
      <c r="C78" s="117"/>
      <c r="D78" s="117"/>
      <c r="E78" s="117"/>
      <c r="F78" s="117"/>
      <c r="G78" s="117"/>
      <c r="H78" s="117"/>
      <c r="I78" s="117"/>
      <c r="J78" s="117"/>
      <c r="K78" s="117"/>
      <c r="L78" s="117"/>
      <c r="M78" s="117"/>
      <c r="N78" s="27"/>
    </row>
    <row r="79" spans="1:14">
      <c r="A79" s="359"/>
      <c r="B79" s="117"/>
      <c r="C79" s="117"/>
      <c r="D79" s="117"/>
      <c r="E79" s="117"/>
      <c r="F79" s="117"/>
      <c r="G79" s="117"/>
      <c r="H79" s="117"/>
      <c r="I79" s="117"/>
      <c r="J79" s="117"/>
      <c r="K79" s="117"/>
      <c r="L79" s="117"/>
      <c r="M79" s="117"/>
      <c r="N79" s="27"/>
    </row>
    <row r="80" spans="1:14">
      <c r="A80" s="359"/>
      <c r="B80" s="117"/>
      <c r="C80" s="117"/>
      <c r="D80" s="117"/>
      <c r="E80" s="117"/>
      <c r="F80" s="117"/>
      <c r="G80" s="117"/>
      <c r="H80" s="117"/>
      <c r="I80" s="117"/>
      <c r="J80" s="117"/>
      <c r="K80" s="117"/>
      <c r="L80" s="117"/>
      <c r="M80" s="117"/>
      <c r="N80" s="27"/>
    </row>
    <row r="81" spans="1:14">
      <c r="A81" s="359"/>
      <c r="B81" s="117"/>
      <c r="C81" s="117"/>
      <c r="D81" s="117"/>
      <c r="E81" s="117"/>
      <c r="F81" s="117"/>
      <c r="G81" s="117"/>
      <c r="H81" s="117"/>
      <c r="I81" s="117"/>
      <c r="J81" s="117"/>
      <c r="K81" s="117"/>
      <c r="L81" s="117"/>
      <c r="M81" s="117"/>
      <c r="N81" s="27"/>
    </row>
    <row r="82" spans="1:14">
      <c r="A82" s="359"/>
      <c r="B82" s="117"/>
      <c r="C82" s="117"/>
      <c r="D82" s="117"/>
      <c r="E82" s="117"/>
      <c r="F82" s="117"/>
      <c r="G82" s="117"/>
      <c r="H82" s="117"/>
      <c r="I82" s="117"/>
      <c r="J82" s="117"/>
      <c r="K82" s="117"/>
      <c r="L82" s="117"/>
      <c r="M82" s="117"/>
      <c r="N82" s="27"/>
    </row>
    <row r="83" spans="1:14">
      <c r="A83" s="359"/>
      <c r="B83" s="117"/>
      <c r="C83" s="117"/>
      <c r="D83" s="117"/>
      <c r="E83" s="117"/>
      <c r="F83" s="117"/>
      <c r="G83" s="117"/>
      <c r="H83" s="117"/>
      <c r="I83" s="117"/>
      <c r="J83" s="117"/>
      <c r="K83" s="117"/>
      <c r="L83" s="117"/>
      <c r="M83" s="117"/>
      <c r="N83" s="27"/>
    </row>
    <row r="84" spans="1:14">
      <c r="A84" s="357"/>
      <c r="B84" s="117"/>
      <c r="C84" s="117"/>
      <c r="D84" s="117"/>
      <c r="E84" s="117"/>
      <c r="F84" s="117"/>
      <c r="G84" s="117"/>
      <c r="H84" s="117"/>
      <c r="I84" s="117"/>
      <c r="J84" s="117"/>
      <c r="K84" s="117"/>
      <c r="L84" s="117"/>
      <c r="M84" s="117"/>
      <c r="N84" s="27"/>
    </row>
    <row r="85" spans="1:14">
      <c r="A85" s="163"/>
      <c r="B85" s="117"/>
      <c r="C85" s="117"/>
      <c r="D85" s="117"/>
      <c r="E85" s="117"/>
      <c r="F85" s="117"/>
      <c r="G85" s="117"/>
      <c r="H85" s="117"/>
      <c r="I85" s="117"/>
      <c r="J85" s="117"/>
      <c r="K85" s="117"/>
      <c r="L85" s="117"/>
      <c r="M85" s="117"/>
      <c r="N85" s="27"/>
    </row>
    <row r="86" spans="1:14">
      <c r="A86" s="163"/>
      <c r="B86" s="373"/>
      <c r="C86" s="373"/>
      <c r="D86" s="373"/>
      <c r="E86" s="373"/>
      <c r="F86" s="373"/>
      <c r="G86" s="373"/>
      <c r="H86" s="373"/>
      <c r="I86" s="373"/>
      <c r="J86" s="373"/>
      <c r="K86" s="373"/>
      <c r="L86" s="373"/>
      <c r="M86" s="117"/>
      <c r="N86" s="27"/>
    </row>
    <row r="87" spans="1:14">
      <c r="A87" s="163"/>
      <c r="B87" s="159"/>
      <c r="C87" s="159"/>
      <c r="D87" s="159"/>
      <c r="E87" s="159"/>
      <c r="F87" s="159"/>
      <c r="G87" s="159"/>
      <c r="H87" s="159"/>
      <c r="I87" s="159"/>
      <c r="J87" s="159"/>
      <c r="K87" s="159"/>
      <c r="L87" s="159"/>
      <c r="M87" s="117"/>
      <c r="N87" s="27"/>
    </row>
    <row r="88" spans="1:14">
      <c r="A88" s="163"/>
      <c r="B88" s="159"/>
      <c r="C88" s="159"/>
      <c r="D88" s="159"/>
      <c r="E88" s="159"/>
      <c r="F88" s="159"/>
      <c r="G88" s="159"/>
      <c r="H88" s="159"/>
      <c r="I88" s="159"/>
      <c r="J88" s="159"/>
      <c r="K88" s="159"/>
      <c r="L88" s="159"/>
      <c r="M88" s="117"/>
      <c r="N88" s="27"/>
    </row>
    <row r="89" spans="1:14">
      <c r="A89" s="163"/>
      <c r="B89" s="163"/>
      <c r="C89" s="163"/>
      <c r="D89" s="163"/>
      <c r="E89" s="163"/>
      <c r="F89" s="163"/>
      <c r="G89" s="163"/>
      <c r="H89" s="163"/>
      <c r="I89" s="163"/>
      <c r="J89" s="163"/>
      <c r="K89" s="163"/>
      <c r="L89" s="163"/>
      <c r="M89" s="117"/>
      <c r="N89" s="27"/>
    </row>
    <row r="90" spans="1:14">
      <c r="A90" s="163"/>
      <c r="B90" s="163"/>
      <c r="C90" s="163"/>
      <c r="D90" s="163"/>
      <c r="E90" s="163"/>
      <c r="F90" s="163"/>
      <c r="G90" s="163"/>
      <c r="H90" s="163"/>
      <c r="I90" s="163"/>
      <c r="J90" s="163"/>
      <c r="K90" s="163"/>
      <c r="L90" s="163"/>
      <c r="M90" s="117"/>
      <c r="N90" s="27"/>
    </row>
    <row r="91" spans="1:14">
      <c r="A91" s="163"/>
      <c r="B91" s="163"/>
      <c r="C91" s="163"/>
      <c r="D91" s="163"/>
      <c r="E91" s="163"/>
      <c r="F91" s="163"/>
      <c r="G91" s="163"/>
      <c r="H91" s="163"/>
      <c r="I91" s="163"/>
      <c r="J91" s="163"/>
      <c r="K91" s="163"/>
      <c r="L91" s="163"/>
      <c r="M91" s="163"/>
      <c r="N91" s="19"/>
    </row>
    <row r="92" spans="1:14">
      <c r="A92" s="163"/>
      <c r="B92" s="163"/>
      <c r="C92" s="163"/>
      <c r="D92" s="163"/>
      <c r="E92" s="163"/>
      <c r="F92" s="163"/>
      <c r="G92" s="163"/>
      <c r="H92" s="163"/>
      <c r="I92" s="163"/>
      <c r="J92" s="163"/>
      <c r="K92" s="163"/>
      <c r="L92" s="163"/>
      <c r="M92" s="163"/>
      <c r="N92" s="19"/>
    </row>
    <row r="93" spans="1:14">
      <c r="A93" s="163"/>
      <c r="B93" s="163"/>
      <c r="C93" s="163"/>
      <c r="D93" s="163"/>
      <c r="E93" s="163"/>
      <c r="F93" s="163"/>
      <c r="G93" s="163"/>
      <c r="H93" s="163"/>
      <c r="I93" s="163"/>
      <c r="J93" s="163"/>
      <c r="K93" s="163"/>
      <c r="L93" s="163"/>
      <c r="M93" s="163"/>
      <c r="N93" s="19"/>
    </row>
    <row r="94" spans="1:14">
      <c r="A94" s="163"/>
      <c r="B94" s="163"/>
      <c r="C94" s="163"/>
      <c r="D94" s="163"/>
      <c r="E94" s="163"/>
      <c r="F94" s="163"/>
      <c r="G94" s="163"/>
      <c r="H94" s="163"/>
      <c r="I94" s="163"/>
      <c r="J94" s="163"/>
      <c r="K94" s="163"/>
      <c r="L94" s="163"/>
      <c r="M94" s="163"/>
      <c r="N94" s="19"/>
    </row>
    <row r="95" spans="1:14">
      <c r="A95" s="163"/>
      <c r="B95" s="163"/>
      <c r="C95" s="163"/>
      <c r="D95" s="163"/>
      <c r="E95" s="163"/>
      <c r="F95" s="163"/>
      <c r="G95" s="163"/>
      <c r="H95" s="163"/>
      <c r="I95" s="163"/>
      <c r="J95" s="163"/>
      <c r="K95" s="163"/>
      <c r="L95" s="163"/>
      <c r="M95" s="163"/>
      <c r="N95" s="19"/>
    </row>
    <row r="96" spans="1:14">
      <c r="A96" s="163"/>
      <c r="B96" s="163"/>
      <c r="C96" s="163"/>
      <c r="D96" s="163"/>
      <c r="E96" s="163"/>
      <c r="F96" s="163"/>
      <c r="G96" s="163"/>
      <c r="H96" s="163"/>
      <c r="I96" s="163"/>
      <c r="J96" s="163"/>
      <c r="K96" s="163"/>
      <c r="L96" s="163"/>
      <c r="M96" s="163"/>
      <c r="N96" s="19"/>
    </row>
    <row r="97" spans="1:14">
      <c r="A97" s="163"/>
      <c r="B97" s="163"/>
      <c r="C97" s="163"/>
      <c r="D97" s="163"/>
      <c r="E97" s="163"/>
      <c r="F97" s="163"/>
      <c r="G97" s="163"/>
      <c r="H97" s="163"/>
      <c r="I97" s="163"/>
      <c r="J97" s="163"/>
      <c r="K97" s="163"/>
      <c r="L97" s="163"/>
      <c r="M97" s="163"/>
      <c r="N97" s="19"/>
    </row>
    <row r="98" spans="1:14">
      <c r="A98" s="163"/>
      <c r="B98" s="163"/>
      <c r="C98" s="163"/>
      <c r="D98" s="163"/>
      <c r="E98" s="163"/>
      <c r="F98" s="163"/>
      <c r="G98" s="163"/>
      <c r="H98" s="163"/>
      <c r="I98" s="163"/>
      <c r="J98" s="163"/>
      <c r="K98" s="163"/>
      <c r="L98" s="163"/>
      <c r="M98" s="163"/>
      <c r="N98" s="19"/>
    </row>
    <row r="99" spans="1:14">
      <c r="A99" s="163"/>
      <c r="B99" s="163"/>
      <c r="C99" s="163"/>
      <c r="D99" s="163"/>
      <c r="E99" s="163"/>
      <c r="F99" s="163"/>
      <c r="G99" s="163"/>
      <c r="H99" s="163"/>
      <c r="I99" s="163"/>
      <c r="J99" s="163"/>
      <c r="K99" s="163"/>
      <c r="L99" s="163"/>
      <c r="M99" s="163"/>
      <c r="N99" s="19"/>
    </row>
    <row r="100" spans="1:14">
      <c r="A100" s="163"/>
      <c r="B100" s="163"/>
      <c r="C100" s="163"/>
      <c r="D100" s="163"/>
      <c r="E100" s="163"/>
      <c r="F100" s="163"/>
      <c r="G100" s="163"/>
      <c r="H100" s="163"/>
      <c r="I100" s="163"/>
      <c r="J100" s="163"/>
      <c r="K100" s="163"/>
      <c r="L100" s="163"/>
      <c r="M100" s="163"/>
      <c r="N100" s="19"/>
    </row>
    <row r="101" spans="1:14">
      <c r="A101" s="163"/>
      <c r="B101" s="163"/>
      <c r="C101" s="163"/>
      <c r="D101" s="163"/>
      <c r="E101" s="163"/>
      <c r="F101" s="163"/>
      <c r="G101" s="163"/>
      <c r="H101" s="163"/>
      <c r="I101" s="163"/>
      <c r="J101" s="163"/>
      <c r="K101" s="163"/>
      <c r="L101" s="163"/>
      <c r="M101" s="163"/>
      <c r="N101" s="19"/>
    </row>
    <row r="102" spans="1:14">
      <c r="A102" s="163"/>
      <c r="B102" s="163"/>
      <c r="C102" s="163"/>
      <c r="D102" s="163"/>
      <c r="E102" s="163"/>
      <c r="F102" s="163"/>
      <c r="G102" s="163"/>
      <c r="H102" s="163"/>
      <c r="I102" s="163"/>
      <c r="J102" s="163"/>
      <c r="K102" s="163"/>
      <c r="L102" s="163"/>
      <c r="M102" s="163"/>
      <c r="N102" s="19"/>
    </row>
    <row r="103" spans="1:14">
      <c r="A103" s="163"/>
      <c r="B103" s="163"/>
      <c r="C103" s="163"/>
      <c r="D103" s="163"/>
      <c r="E103" s="163"/>
      <c r="F103" s="163"/>
      <c r="G103" s="163"/>
      <c r="H103" s="163"/>
      <c r="I103" s="163"/>
      <c r="J103" s="163"/>
      <c r="K103" s="163"/>
      <c r="L103" s="163"/>
      <c r="M103" s="163"/>
      <c r="N103" s="19"/>
    </row>
    <row r="104" spans="1:14">
      <c r="A104" s="163"/>
      <c r="B104" s="163"/>
      <c r="C104" s="163"/>
      <c r="D104" s="163"/>
      <c r="E104" s="163"/>
      <c r="F104" s="163"/>
      <c r="G104" s="163"/>
      <c r="H104" s="163"/>
      <c r="I104" s="163"/>
      <c r="J104" s="163"/>
      <c r="K104" s="163"/>
      <c r="L104" s="163"/>
      <c r="M104" s="163"/>
      <c r="N104" s="19"/>
    </row>
    <row r="105" spans="1:14">
      <c r="A105" s="163"/>
      <c r="B105" s="163"/>
      <c r="C105" s="163"/>
      <c r="D105" s="163"/>
      <c r="E105" s="163"/>
      <c r="F105" s="163"/>
      <c r="G105" s="163"/>
      <c r="H105" s="163"/>
      <c r="I105" s="163"/>
      <c r="J105" s="163"/>
      <c r="K105" s="163"/>
      <c r="L105" s="163"/>
      <c r="M105" s="163"/>
      <c r="N105" s="19"/>
    </row>
    <row r="106" spans="1:14">
      <c r="A106" s="163"/>
      <c r="B106" s="163"/>
      <c r="C106" s="163"/>
      <c r="D106" s="163"/>
      <c r="E106" s="163"/>
      <c r="F106" s="163"/>
      <c r="G106" s="163"/>
      <c r="H106" s="163"/>
      <c r="I106" s="163"/>
      <c r="J106" s="163"/>
      <c r="K106" s="163"/>
      <c r="L106" s="163"/>
      <c r="M106" s="163"/>
      <c r="N106" s="19"/>
    </row>
    <row r="107" spans="1:14">
      <c r="A107" s="163"/>
      <c r="B107" s="163"/>
      <c r="C107" s="163"/>
      <c r="D107" s="163"/>
      <c r="E107" s="163"/>
      <c r="F107" s="163"/>
      <c r="G107" s="163"/>
      <c r="H107" s="163"/>
      <c r="I107" s="163"/>
      <c r="J107" s="163"/>
      <c r="K107" s="163"/>
      <c r="L107" s="163"/>
      <c r="M107" s="163"/>
      <c r="N107" s="19"/>
    </row>
    <row r="108" spans="1:14">
      <c r="A108" s="163"/>
      <c r="B108" s="163"/>
      <c r="C108" s="163"/>
      <c r="D108" s="163"/>
      <c r="E108" s="163"/>
      <c r="F108" s="163"/>
      <c r="G108" s="163"/>
      <c r="H108" s="163"/>
      <c r="I108" s="163"/>
      <c r="J108" s="163"/>
      <c r="K108" s="163"/>
      <c r="L108" s="163"/>
      <c r="M108" s="163"/>
      <c r="N108" s="19"/>
    </row>
    <row r="109" spans="1:14">
      <c r="A109" s="163"/>
      <c r="B109" s="163"/>
      <c r="C109" s="163"/>
      <c r="D109" s="163"/>
      <c r="E109" s="163"/>
      <c r="F109" s="163"/>
      <c r="G109" s="163"/>
      <c r="H109" s="163"/>
      <c r="I109" s="163"/>
      <c r="J109" s="163"/>
      <c r="K109" s="163"/>
      <c r="L109" s="163"/>
      <c r="M109" s="163"/>
      <c r="N109" s="19"/>
    </row>
    <row r="110" spans="1:14">
      <c r="A110" s="163"/>
      <c r="B110" s="163"/>
      <c r="C110" s="163"/>
      <c r="D110" s="163"/>
      <c r="E110" s="163"/>
      <c r="F110" s="163"/>
      <c r="G110" s="163"/>
      <c r="H110" s="163"/>
      <c r="I110" s="163"/>
      <c r="J110" s="163"/>
      <c r="K110" s="163"/>
      <c r="L110" s="163"/>
      <c r="M110" s="163"/>
      <c r="N110" s="19"/>
    </row>
    <row r="111" spans="1:14">
      <c r="A111" s="163"/>
      <c r="B111" s="163"/>
      <c r="C111" s="163"/>
      <c r="D111" s="163"/>
      <c r="E111" s="163"/>
      <c r="F111" s="163"/>
      <c r="G111" s="163"/>
      <c r="H111" s="163"/>
      <c r="I111" s="163"/>
      <c r="J111" s="163"/>
      <c r="K111" s="163"/>
      <c r="L111" s="163"/>
      <c r="M111" s="163"/>
      <c r="N111" s="19"/>
    </row>
    <row r="112" spans="1:14">
      <c r="A112" s="163"/>
      <c r="B112" s="163"/>
      <c r="C112" s="163"/>
      <c r="D112" s="163"/>
      <c r="E112" s="163"/>
      <c r="F112" s="163"/>
      <c r="G112" s="163"/>
      <c r="H112" s="163"/>
      <c r="I112" s="163"/>
      <c r="J112" s="163"/>
      <c r="K112" s="163"/>
      <c r="L112" s="163"/>
      <c r="M112" s="163"/>
      <c r="N112" s="19"/>
    </row>
    <row r="113" spans="1:14">
      <c r="A113" s="163"/>
      <c r="B113" s="163"/>
      <c r="C113" s="163"/>
      <c r="D113" s="163"/>
      <c r="E113" s="163"/>
      <c r="F113" s="163"/>
      <c r="G113" s="163"/>
      <c r="H113" s="163"/>
      <c r="I113" s="163"/>
      <c r="J113" s="163"/>
      <c r="K113" s="163"/>
      <c r="L113" s="163"/>
      <c r="M113" s="163"/>
      <c r="N113" s="19"/>
    </row>
    <row r="114" spans="1:14">
      <c r="A114" s="163"/>
      <c r="B114" s="163"/>
      <c r="C114" s="163"/>
      <c r="D114" s="163"/>
      <c r="E114" s="163"/>
      <c r="F114" s="163"/>
      <c r="G114" s="163"/>
      <c r="H114" s="163"/>
      <c r="I114" s="163"/>
      <c r="J114" s="163"/>
      <c r="K114" s="163"/>
      <c r="L114" s="163"/>
      <c r="M114" s="163"/>
      <c r="N114" s="19"/>
    </row>
    <row r="115" spans="1:14">
      <c r="A115" s="163"/>
      <c r="B115" s="163"/>
      <c r="C115" s="163"/>
      <c r="D115" s="163"/>
      <c r="E115" s="163"/>
      <c r="F115" s="163"/>
      <c r="G115" s="163"/>
      <c r="H115" s="163"/>
      <c r="I115" s="163"/>
      <c r="J115" s="163"/>
      <c r="K115" s="163"/>
      <c r="L115" s="163"/>
      <c r="M115" s="163"/>
      <c r="N115" s="19"/>
    </row>
    <row r="116" spans="1:14">
      <c r="A116" s="163"/>
      <c r="B116" s="163"/>
      <c r="C116" s="163"/>
      <c r="D116" s="163"/>
      <c r="E116" s="163"/>
      <c r="F116" s="163"/>
      <c r="G116" s="163"/>
      <c r="H116" s="163"/>
      <c r="I116" s="163"/>
      <c r="J116" s="163"/>
      <c r="K116" s="163"/>
      <c r="L116" s="163"/>
      <c r="M116" s="163"/>
      <c r="N116" s="19"/>
    </row>
    <row r="117" spans="1:14">
      <c r="A117" s="163"/>
      <c r="B117" s="163"/>
      <c r="C117" s="163"/>
      <c r="D117" s="163"/>
      <c r="E117" s="163"/>
      <c r="F117" s="163"/>
      <c r="G117" s="163"/>
      <c r="H117" s="163"/>
      <c r="I117" s="163"/>
      <c r="J117" s="163"/>
      <c r="K117" s="163"/>
      <c r="L117" s="163"/>
      <c r="M117" s="163"/>
      <c r="N117" s="19"/>
    </row>
    <row r="118" spans="1:14">
      <c r="A118" s="163"/>
      <c r="B118" s="163"/>
      <c r="C118" s="163"/>
      <c r="D118" s="163"/>
      <c r="E118" s="163"/>
      <c r="F118" s="163"/>
      <c r="G118" s="163"/>
      <c r="H118" s="163"/>
      <c r="I118" s="163"/>
      <c r="J118" s="163"/>
      <c r="K118" s="163"/>
      <c r="L118" s="163"/>
      <c r="M118" s="163"/>
      <c r="N118" s="19"/>
    </row>
    <row r="119" spans="1:14">
      <c r="A119" s="163"/>
      <c r="B119" s="163"/>
      <c r="C119" s="163"/>
      <c r="D119" s="163"/>
      <c r="E119" s="163"/>
      <c r="F119" s="163"/>
      <c r="G119" s="163"/>
      <c r="H119" s="163"/>
      <c r="I119" s="163"/>
      <c r="J119" s="163"/>
      <c r="K119" s="163"/>
      <c r="L119" s="163"/>
      <c r="M119" s="163"/>
      <c r="N119" s="19"/>
    </row>
    <row r="120" spans="1:14">
      <c r="A120" s="163"/>
      <c r="B120" s="163"/>
      <c r="C120" s="163"/>
      <c r="D120" s="163"/>
      <c r="E120" s="163"/>
      <c r="F120" s="163"/>
      <c r="G120" s="163"/>
      <c r="H120" s="163"/>
      <c r="I120" s="163"/>
      <c r="J120" s="163"/>
      <c r="K120" s="163"/>
      <c r="L120" s="163"/>
      <c r="M120" s="163"/>
      <c r="N120" s="19"/>
    </row>
    <row r="121" spans="1:14">
      <c r="A121" s="163"/>
      <c r="B121" s="163"/>
      <c r="C121" s="163"/>
      <c r="D121" s="163"/>
      <c r="E121" s="163"/>
      <c r="F121" s="163"/>
      <c r="G121" s="163"/>
      <c r="H121" s="163"/>
      <c r="I121" s="163"/>
      <c r="J121" s="163"/>
      <c r="K121" s="163"/>
      <c r="L121" s="163"/>
      <c r="M121" s="163"/>
      <c r="N121" s="19"/>
    </row>
    <row r="122" spans="1:14">
      <c r="A122" s="163"/>
      <c r="B122" s="163"/>
      <c r="C122" s="163"/>
      <c r="D122" s="163"/>
      <c r="E122" s="163"/>
      <c r="F122" s="163"/>
      <c r="G122" s="163"/>
      <c r="H122" s="163"/>
      <c r="I122" s="163"/>
      <c r="J122" s="163"/>
      <c r="K122" s="163"/>
      <c r="L122" s="163"/>
      <c r="M122" s="163"/>
      <c r="N122" s="19"/>
    </row>
    <row r="123" spans="1:14">
      <c r="A123" s="163"/>
      <c r="B123" s="163"/>
      <c r="C123" s="163"/>
      <c r="D123" s="163"/>
      <c r="E123" s="163"/>
      <c r="F123" s="163"/>
      <c r="G123" s="163"/>
      <c r="H123" s="163"/>
      <c r="I123" s="163"/>
      <c r="J123" s="163"/>
      <c r="K123" s="163"/>
      <c r="L123" s="163"/>
      <c r="M123" s="163"/>
      <c r="N123" s="19"/>
    </row>
    <row r="124" spans="1:14">
      <c r="A124" s="163"/>
      <c r="B124" s="163"/>
      <c r="C124" s="163"/>
      <c r="D124" s="163"/>
      <c r="E124" s="163"/>
      <c r="F124" s="163"/>
      <c r="G124" s="163"/>
      <c r="H124" s="163"/>
      <c r="I124" s="163"/>
      <c r="J124" s="163"/>
      <c r="K124" s="163"/>
      <c r="L124" s="163"/>
      <c r="M124" s="163"/>
      <c r="N124" s="19"/>
    </row>
    <row r="125" spans="1:14">
      <c r="A125" s="163"/>
      <c r="B125" s="163"/>
      <c r="C125" s="163"/>
      <c r="D125" s="163"/>
      <c r="E125" s="163"/>
      <c r="F125" s="163"/>
      <c r="G125" s="163"/>
      <c r="H125" s="163"/>
      <c r="I125" s="163"/>
      <c r="J125" s="163"/>
      <c r="K125" s="163"/>
      <c r="L125" s="163"/>
      <c r="M125" s="163"/>
      <c r="N125" s="19"/>
    </row>
    <row r="126" spans="1:14">
      <c r="A126" s="163"/>
      <c r="B126" s="163"/>
      <c r="C126" s="163"/>
      <c r="D126" s="163"/>
      <c r="E126" s="163"/>
      <c r="F126" s="163"/>
      <c r="G126" s="163"/>
      <c r="H126" s="163"/>
      <c r="I126" s="163"/>
      <c r="J126" s="163"/>
      <c r="K126" s="163"/>
      <c r="L126" s="163"/>
      <c r="M126" s="163"/>
      <c r="N126" s="19"/>
    </row>
    <row r="127" spans="1:14">
      <c r="N127" s="19"/>
    </row>
    <row r="128" spans="1:14">
      <c r="N128" s="19"/>
    </row>
    <row r="129" spans="14:14">
      <c r="N129" s="19"/>
    </row>
    <row r="130" spans="14:14">
      <c r="N130" s="19"/>
    </row>
    <row r="131" spans="14:14">
      <c r="N131" s="19"/>
    </row>
    <row r="132" spans="14:14">
      <c r="N132" s="19"/>
    </row>
    <row r="133" spans="14:14">
      <c r="N133" s="19"/>
    </row>
    <row r="134" spans="14:14">
      <c r="N134" s="19"/>
    </row>
    <row r="135" spans="14:14">
      <c r="N135" s="19"/>
    </row>
    <row r="136" spans="14:14">
      <c r="N136" s="19"/>
    </row>
    <row r="137" spans="14:14">
      <c r="N137" s="19"/>
    </row>
    <row r="138" spans="14:14">
      <c r="N138" s="19"/>
    </row>
    <row r="139" spans="14:14">
      <c r="N139" s="19"/>
    </row>
    <row r="140" spans="14:14">
      <c r="N140" s="19"/>
    </row>
    <row r="141" spans="14:14">
      <c r="N141" s="19"/>
    </row>
    <row r="142" spans="14:14">
      <c r="N142" s="19"/>
    </row>
    <row r="143" spans="14:14">
      <c r="N143" s="19"/>
    </row>
    <row r="144" spans="14:14">
      <c r="N144" s="19"/>
    </row>
    <row r="145" spans="14:14">
      <c r="N145" s="19"/>
    </row>
    <row r="146" spans="14:14">
      <c r="N146" s="19"/>
    </row>
    <row r="147" spans="14:14">
      <c r="N147" s="19"/>
    </row>
    <row r="148" spans="14:14">
      <c r="N148" s="19"/>
    </row>
    <row r="149" spans="14:14">
      <c r="N149" s="19"/>
    </row>
    <row r="150" spans="14:14">
      <c r="N150" s="19"/>
    </row>
    <row r="151" spans="14:14">
      <c r="N151" s="19"/>
    </row>
    <row r="152" spans="14:14">
      <c r="N152" s="19"/>
    </row>
    <row r="153" spans="14:14">
      <c r="N153" s="19"/>
    </row>
    <row r="154" spans="14:14">
      <c r="N154" s="19"/>
    </row>
    <row r="155" spans="14:14">
      <c r="N155" s="19"/>
    </row>
    <row r="156" spans="14:14">
      <c r="N156" s="19"/>
    </row>
    <row r="157" spans="14:14">
      <c r="N157" s="19"/>
    </row>
    <row r="158" spans="14:14">
      <c r="N158" s="19"/>
    </row>
    <row r="159" spans="14:14">
      <c r="N159" s="19"/>
    </row>
    <row r="160" spans="14:14">
      <c r="N160" s="19"/>
    </row>
    <row r="161" spans="14:14">
      <c r="N161" s="19"/>
    </row>
    <row r="162" spans="14:14">
      <c r="N162" s="19"/>
    </row>
    <row r="163" spans="14:14">
      <c r="N163" s="19"/>
    </row>
    <row r="164" spans="14:14">
      <c r="N164" s="19"/>
    </row>
    <row r="165" spans="14:14">
      <c r="N165" s="19"/>
    </row>
    <row r="166" spans="14:14">
      <c r="N166" s="19"/>
    </row>
    <row r="167" spans="14:14">
      <c r="N167" s="19"/>
    </row>
    <row r="168" spans="14:14">
      <c r="N168" s="19"/>
    </row>
    <row r="169" spans="14:14">
      <c r="N169" s="19"/>
    </row>
    <row r="170" spans="14:14">
      <c r="N170" s="19"/>
    </row>
    <row r="171" spans="14:14">
      <c r="N171" s="19"/>
    </row>
    <row r="172" spans="14:14">
      <c r="N172" s="19"/>
    </row>
    <row r="173" spans="14:14">
      <c r="N173" s="19"/>
    </row>
    <row r="174" spans="14:14">
      <c r="N174" s="19"/>
    </row>
    <row r="175" spans="14:14">
      <c r="N175" s="19"/>
    </row>
    <row r="176" spans="14:14">
      <c r="N176" s="19"/>
    </row>
    <row r="177" spans="14:14">
      <c r="N177" s="19"/>
    </row>
    <row r="178" spans="14:14">
      <c r="N178" s="19"/>
    </row>
    <row r="179" spans="14:14">
      <c r="N179" s="19"/>
    </row>
    <row r="180" spans="14:14">
      <c r="N180" s="19"/>
    </row>
    <row r="181" spans="14:14">
      <c r="N181" s="19"/>
    </row>
    <row r="182" spans="14:14">
      <c r="N182" s="19"/>
    </row>
    <row r="183" spans="14:14">
      <c r="N183" s="19"/>
    </row>
    <row r="184" spans="14:14">
      <c r="N184" s="19"/>
    </row>
    <row r="185" spans="14:14">
      <c r="N185" s="19"/>
    </row>
    <row r="186" spans="14:14">
      <c r="N186" s="19"/>
    </row>
    <row r="187" spans="14:14">
      <c r="N187" s="19"/>
    </row>
    <row r="188" spans="14:14">
      <c r="N188" s="19"/>
    </row>
    <row r="189" spans="14:14">
      <c r="N189" s="19"/>
    </row>
    <row r="190" spans="14:14">
      <c r="N190" s="19"/>
    </row>
    <row r="191" spans="14:14">
      <c r="N191" s="19"/>
    </row>
    <row r="192" spans="14:14">
      <c r="N192" s="19"/>
    </row>
    <row r="193" spans="14:14">
      <c r="N193" s="19"/>
    </row>
    <row r="194" spans="14:14">
      <c r="N194" s="19"/>
    </row>
    <row r="195" spans="14:14">
      <c r="N195" s="19"/>
    </row>
    <row r="196" spans="14:14">
      <c r="N196" s="19"/>
    </row>
    <row r="197" spans="14:14">
      <c r="N197" s="19"/>
    </row>
    <row r="198" spans="14:14">
      <c r="N198" s="19"/>
    </row>
    <row r="199" spans="14:14">
      <c r="N199" s="19"/>
    </row>
    <row r="200" spans="14:14">
      <c r="N200" s="19"/>
    </row>
    <row r="201" spans="14:14">
      <c r="N201" s="19"/>
    </row>
    <row r="202" spans="14:14">
      <c r="N202" s="19"/>
    </row>
    <row r="203" spans="14:14">
      <c r="N203" s="19"/>
    </row>
    <row r="204" spans="14:14">
      <c r="N204" s="19"/>
    </row>
    <row r="205" spans="14:14">
      <c r="N205" s="19"/>
    </row>
    <row r="206" spans="14:14">
      <c r="N206" s="19"/>
    </row>
    <row r="207" spans="14:14">
      <c r="N207" s="19"/>
    </row>
    <row r="208" spans="14:14">
      <c r="N208" s="19"/>
    </row>
    <row r="209" spans="14:14">
      <c r="N209" s="19"/>
    </row>
    <row r="210" spans="14:14">
      <c r="N210" s="19"/>
    </row>
    <row r="211" spans="14:14">
      <c r="N211" s="19"/>
    </row>
    <row r="212" spans="14:14">
      <c r="N212" s="19"/>
    </row>
    <row r="213" spans="14:14">
      <c r="N213" s="19"/>
    </row>
    <row r="214" spans="14:14">
      <c r="N214" s="19"/>
    </row>
    <row r="215" spans="14:14">
      <c r="N215" s="19"/>
    </row>
    <row r="216" spans="14:14">
      <c r="N216" s="19"/>
    </row>
    <row r="217" spans="14:14">
      <c r="N217" s="19"/>
    </row>
    <row r="218" spans="14:14">
      <c r="N218" s="19"/>
    </row>
    <row r="219" spans="14:14">
      <c r="N219" s="19"/>
    </row>
    <row r="220" spans="14:14">
      <c r="N220" s="19"/>
    </row>
    <row r="221" spans="14:14">
      <c r="N221" s="19"/>
    </row>
    <row r="222" spans="14:14">
      <c r="N222" s="19"/>
    </row>
    <row r="223" spans="14:14">
      <c r="N223" s="19"/>
    </row>
    <row r="224" spans="14:14">
      <c r="N224" s="19"/>
    </row>
    <row r="225" spans="14:14">
      <c r="N225" s="19"/>
    </row>
    <row r="226" spans="14:14">
      <c r="N226" s="19"/>
    </row>
    <row r="227" spans="14:14">
      <c r="N227" s="19"/>
    </row>
    <row r="228" spans="14:14">
      <c r="N228" s="19"/>
    </row>
    <row r="229" spans="14:14">
      <c r="N229" s="19"/>
    </row>
    <row r="230" spans="14:14">
      <c r="N230" s="19"/>
    </row>
    <row r="231" spans="14:14">
      <c r="N231" s="19"/>
    </row>
    <row r="232" spans="14:14">
      <c r="N232" s="19"/>
    </row>
    <row r="233" spans="14:14">
      <c r="N233" s="19"/>
    </row>
    <row r="234" spans="14:14">
      <c r="N234" s="19"/>
    </row>
    <row r="235" spans="14:14">
      <c r="N235" s="19"/>
    </row>
    <row r="236" spans="14:14">
      <c r="N236" s="19"/>
    </row>
    <row r="237" spans="14:14">
      <c r="N237" s="19"/>
    </row>
    <row r="238" spans="14:14">
      <c r="N238" s="19"/>
    </row>
    <row r="239" spans="14:14">
      <c r="N239" s="19"/>
    </row>
    <row r="240" spans="14:14">
      <c r="N240" s="19"/>
    </row>
    <row r="241" spans="14:14">
      <c r="N241" s="19"/>
    </row>
    <row r="242" spans="14:14">
      <c r="N242" s="19"/>
    </row>
    <row r="243" spans="14:14">
      <c r="N243" s="19"/>
    </row>
    <row r="244" spans="14:14">
      <c r="N244" s="19"/>
    </row>
    <row r="245" spans="14:14">
      <c r="N245" s="19"/>
    </row>
    <row r="246" spans="14:14">
      <c r="N246" s="19"/>
    </row>
    <row r="247" spans="14:14">
      <c r="N247" s="19"/>
    </row>
    <row r="248" spans="14:14">
      <c r="N248" s="19"/>
    </row>
    <row r="249" spans="14:14">
      <c r="N249" s="19"/>
    </row>
    <row r="250" spans="14:14">
      <c r="N250" s="19"/>
    </row>
    <row r="251" spans="14:14">
      <c r="N251" s="19"/>
    </row>
    <row r="252" spans="14:14">
      <c r="N252" s="19"/>
    </row>
    <row r="253" spans="14:14">
      <c r="N253" s="19"/>
    </row>
    <row r="254" spans="14:14">
      <c r="N254" s="19"/>
    </row>
    <row r="255" spans="14:14">
      <c r="N255" s="19"/>
    </row>
    <row r="256" spans="14:14">
      <c r="N256" s="19"/>
    </row>
    <row r="257" spans="14:14">
      <c r="N257" s="19"/>
    </row>
    <row r="258" spans="14:14">
      <c r="N258" s="19"/>
    </row>
    <row r="259" spans="14:14">
      <c r="N259" s="19"/>
    </row>
    <row r="260" spans="14:14">
      <c r="N260" s="19"/>
    </row>
    <row r="261" spans="14:14">
      <c r="N261" s="19"/>
    </row>
    <row r="262" spans="14:14">
      <c r="N262" s="19"/>
    </row>
    <row r="263" spans="14:14">
      <c r="N263" s="19"/>
    </row>
    <row r="264" spans="14:14">
      <c r="N264" s="19"/>
    </row>
    <row r="265" spans="14:14">
      <c r="N265" s="19"/>
    </row>
    <row r="266" spans="14:14">
      <c r="N266" s="19"/>
    </row>
    <row r="267" spans="14:14">
      <c r="N267" s="19"/>
    </row>
    <row r="268" spans="14:14">
      <c r="N268" s="19"/>
    </row>
    <row r="269" spans="14:14">
      <c r="N269" s="19"/>
    </row>
    <row r="270" spans="14:14">
      <c r="N270" s="19"/>
    </row>
    <row r="271" spans="14:14">
      <c r="N271" s="19"/>
    </row>
    <row r="272" spans="14:14">
      <c r="N272" s="19"/>
    </row>
    <row r="273" spans="14:14">
      <c r="N273" s="19"/>
    </row>
    <row r="274" spans="14:14">
      <c r="N274" s="19"/>
    </row>
    <row r="275" spans="14:14">
      <c r="N275" s="19"/>
    </row>
    <row r="276" spans="14:14">
      <c r="N276" s="19"/>
    </row>
    <row r="277" spans="14:14">
      <c r="N277" s="19"/>
    </row>
    <row r="278" spans="14:14">
      <c r="N278" s="19"/>
    </row>
    <row r="279" spans="14:14">
      <c r="N279" s="19"/>
    </row>
    <row r="280" spans="14:14">
      <c r="N280" s="19"/>
    </row>
    <row r="281" spans="14:14">
      <c r="N281" s="19"/>
    </row>
    <row r="282" spans="14:14">
      <c r="N282" s="19"/>
    </row>
    <row r="283" spans="14:14">
      <c r="N283" s="19"/>
    </row>
    <row r="284" spans="14:14">
      <c r="N284" s="19"/>
    </row>
    <row r="285" spans="14:14">
      <c r="N285" s="19"/>
    </row>
    <row r="286" spans="14:14">
      <c r="N286" s="19"/>
    </row>
    <row r="287" spans="14:14">
      <c r="N287" s="19"/>
    </row>
    <row r="288" spans="14:14">
      <c r="N288" s="19"/>
    </row>
    <row r="289" spans="14:14">
      <c r="N289" s="19"/>
    </row>
    <row r="290" spans="14:14">
      <c r="N290" s="19"/>
    </row>
    <row r="291" spans="14:14">
      <c r="N291" s="19"/>
    </row>
    <row r="292" spans="14:14">
      <c r="N292" s="19"/>
    </row>
    <row r="293" spans="14:14">
      <c r="N293" s="19"/>
    </row>
    <row r="294" spans="14:14">
      <c r="N294" s="19"/>
    </row>
    <row r="295" spans="14:14">
      <c r="N295" s="19"/>
    </row>
    <row r="296" spans="14:14">
      <c r="N296" s="19"/>
    </row>
    <row r="297" spans="14:14">
      <c r="N297" s="19"/>
    </row>
    <row r="298" spans="14:14">
      <c r="N298" s="19"/>
    </row>
    <row r="299" spans="14:14">
      <c r="N299" s="19"/>
    </row>
    <row r="300" spans="14:14">
      <c r="N300" s="19"/>
    </row>
    <row r="301" spans="14:14">
      <c r="N301" s="19"/>
    </row>
    <row r="302" spans="14:14">
      <c r="N302" s="19"/>
    </row>
    <row r="303" spans="14:14">
      <c r="N303" s="19"/>
    </row>
    <row r="304" spans="14:14">
      <c r="N304" s="19"/>
    </row>
    <row r="305" spans="10:14">
      <c r="N305" s="19"/>
    </row>
    <row r="306" spans="10:14">
      <c r="N306" s="19"/>
    </row>
    <row r="307" spans="10:14">
      <c r="N307" s="19"/>
    </row>
    <row r="308" spans="10:14">
      <c r="N308" s="19"/>
    </row>
    <row r="309" spans="10:14">
      <c r="N309" s="19"/>
    </row>
    <row r="310" spans="10:14">
      <c r="N310" s="19"/>
    </row>
    <row r="311" spans="10:14">
      <c r="N311" s="19"/>
    </row>
    <row r="312" spans="10:14">
      <c r="N312" s="19"/>
    </row>
    <row r="313" spans="10:14">
      <c r="N313" s="19"/>
    </row>
    <row r="314" spans="10:14">
      <c r="N314" s="19"/>
    </row>
    <row r="315" spans="10:14">
      <c r="N315" s="19"/>
    </row>
    <row r="316" spans="10:14">
      <c r="J316" t="s">
        <v>163</v>
      </c>
      <c r="N316" s="19"/>
    </row>
    <row r="317" spans="10:14">
      <c r="N317" s="19"/>
    </row>
    <row r="318" spans="10:14">
      <c r="N318" s="19"/>
    </row>
    <row r="319" spans="10:14">
      <c r="N319" s="19"/>
    </row>
    <row r="320" spans="10:14">
      <c r="N320" s="19"/>
    </row>
    <row r="321" spans="14:14">
      <c r="N321" s="19"/>
    </row>
    <row r="322" spans="14:14">
      <c r="N322" s="19"/>
    </row>
    <row r="323" spans="14:14">
      <c r="N323" s="19"/>
    </row>
    <row r="324" spans="14:14">
      <c r="N324" s="19"/>
    </row>
    <row r="325" spans="14:14">
      <c r="N325" s="19"/>
    </row>
    <row r="326" spans="14:14">
      <c r="N326" s="19"/>
    </row>
    <row r="327" spans="14:14">
      <c r="N327" s="19"/>
    </row>
    <row r="328" spans="14:14">
      <c r="N328" s="19"/>
    </row>
    <row r="329" spans="14:14">
      <c r="N329" s="19"/>
    </row>
    <row r="330" spans="14:14">
      <c r="N330" s="19"/>
    </row>
    <row r="331" spans="14:14">
      <c r="N331" s="19"/>
    </row>
    <row r="332" spans="14:14">
      <c r="N332" s="19"/>
    </row>
    <row r="333" spans="14:14">
      <c r="N333" s="19"/>
    </row>
    <row r="334" spans="14:14">
      <c r="N334" s="19"/>
    </row>
    <row r="335" spans="14:14">
      <c r="N335" s="19"/>
    </row>
    <row r="336" spans="14:14">
      <c r="N336" s="19"/>
    </row>
    <row r="337" spans="14:14">
      <c r="N337" s="19"/>
    </row>
    <row r="338" spans="14:14">
      <c r="N338" s="19"/>
    </row>
    <row r="339" spans="14:14">
      <c r="N339" s="19"/>
    </row>
    <row r="340" spans="14:14">
      <c r="N340" s="19"/>
    </row>
    <row r="341" spans="14:14">
      <c r="N341" s="19"/>
    </row>
    <row r="342" spans="14:14">
      <c r="N342" s="19"/>
    </row>
    <row r="343" spans="14:14">
      <c r="N343" s="19"/>
    </row>
    <row r="344" spans="14:14">
      <c r="N344" s="19"/>
    </row>
    <row r="345" spans="14:14">
      <c r="N345" s="19"/>
    </row>
    <row r="346" spans="14:14">
      <c r="N346" s="19"/>
    </row>
    <row r="347" spans="14:14">
      <c r="N347" s="19"/>
    </row>
    <row r="348" spans="14:14">
      <c r="N348" s="19"/>
    </row>
    <row r="349" spans="14:14">
      <c r="N349" s="19"/>
    </row>
    <row r="350" spans="14:14">
      <c r="N350" s="19"/>
    </row>
    <row r="351" spans="14:14">
      <c r="N351" s="19"/>
    </row>
    <row r="352" spans="14:14">
      <c r="N352" s="19"/>
    </row>
    <row r="353" spans="14:14">
      <c r="N353" s="19"/>
    </row>
    <row r="354" spans="14:14">
      <c r="N354" s="19"/>
    </row>
    <row r="355" spans="14:14">
      <c r="N355" s="19"/>
    </row>
    <row r="356" spans="14:14">
      <c r="N356" s="19"/>
    </row>
    <row r="357" spans="14:14">
      <c r="N357" s="19"/>
    </row>
    <row r="358" spans="14:14">
      <c r="N358" s="19"/>
    </row>
    <row r="359" spans="14:14">
      <c r="N359" s="19"/>
    </row>
    <row r="360" spans="14:14">
      <c r="N360" s="19"/>
    </row>
    <row r="361" spans="14:14">
      <c r="N361" s="19"/>
    </row>
    <row r="362" spans="14:14">
      <c r="N362" s="19"/>
    </row>
    <row r="363" spans="14:14">
      <c r="N363" s="19"/>
    </row>
    <row r="364" spans="14:14">
      <c r="N364" s="19"/>
    </row>
    <row r="365" spans="14:14">
      <c r="N365" s="19"/>
    </row>
    <row r="366" spans="14:14">
      <c r="N366" s="19"/>
    </row>
    <row r="367" spans="14:14">
      <c r="N367" s="19"/>
    </row>
    <row r="368" spans="14:14">
      <c r="N368" s="19"/>
    </row>
    <row r="369" spans="14:14">
      <c r="N369" s="19"/>
    </row>
    <row r="370" spans="14:14">
      <c r="N370" s="19"/>
    </row>
    <row r="371" spans="14:14">
      <c r="N371" s="19"/>
    </row>
    <row r="372" spans="14:14">
      <c r="N372" s="19"/>
    </row>
    <row r="373" spans="14:14">
      <c r="N373" s="19"/>
    </row>
    <row r="374" spans="14:14">
      <c r="N374" s="19"/>
    </row>
    <row r="375" spans="14:14">
      <c r="N375" s="19"/>
    </row>
    <row r="376" spans="14:14">
      <c r="N376" s="19"/>
    </row>
    <row r="377" spans="14:14">
      <c r="N377" s="19"/>
    </row>
    <row r="378" spans="14:14">
      <c r="N378" s="19"/>
    </row>
    <row r="379" spans="14:14">
      <c r="N379" s="19"/>
    </row>
    <row r="380" spans="14:14">
      <c r="N380" s="19"/>
    </row>
    <row r="381" spans="14:14">
      <c r="N381" s="19"/>
    </row>
    <row r="382" spans="14:14">
      <c r="N382" s="19"/>
    </row>
    <row r="383" spans="14:14">
      <c r="N383" s="19"/>
    </row>
    <row r="384" spans="14:14">
      <c r="N384" s="19"/>
    </row>
    <row r="385" spans="14:14">
      <c r="N385" s="19"/>
    </row>
    <row r="386" spans="14:14">
      <c r="N386" s="19"/>
    </row>
    <row r="387" spans="14:14">
      <c r="N387" s="19"/>
    </row>
    <row r="388" spans="14:14">
      <c r="N388" s="19"/>
    </row>
    <row r="389" spans="14:14">
      <c r="N389" s="19"/>
    </row>
    <row r="390" spans="14:14">
      <c r="N390" s="19"/>
    </row>
    <row r="391" spans="14:14">
      <c r="N391" s="19"/>
    </row>
    <row r="392" spans="14:14">
      <c r="N392" s="19"/>
    </row>
    <row r="393" spans="14:14">
      <c r="N393" s="19"/>
    </row>
    <row r="394" spans="14:14">
      <c r="N394" s="19"/>
    </row>
    <row r="395" spans="14:14">
      <c r="N395" s="19"/>
    </row>
    <row r="396" spans="14:14">
      <c r="N396" s="19"/>
    </row>
    <row r="397" spans="14:14">
      <c r="N397" s="19"/>
    </row>
    <row r="398" spans="14:14">
      <c r="N398" s="19"/>
    </row>
    <row r="399" spans="14:14">
      <c r="N399" s="19"/>
    </row>
    <row r="400" spans="14:14">
      <c r="N400" s="19"/>
    </row>
    <row r="401" spans="14:14">
      <c r="N401" s="19"/>
    </row>
    <row r="402" spans="14:14">
      <c r="N402" s="19"/>
    </row>
    <row r="403" spans="14:14">
      <c r="N403" s="19"/>
    </row>
    <row r="404" spans="14:14">
      <c r="N404" s="19"/>
    </row>
    <row r="405" spans="14:14">
      <c r="N405" s="19"/>
    </row>
    <row r="406" spans="14:14">
      <c r="N406" s="19"/>
    </row>
    <row r="407" spans="14:14">
      <c r="N407" s="19"/>
    </row>
    <row r="408" spans="14:14">
      <c r="N408" s="19"/>
    </row>
    <row r="409" spans="14:14">
      <c r="N409" s="19"/>
    </row>
    <row r="410" spans="14:14">
      <c r="N410" s="19"/>
    </row>
    <row r="411" spans="14:14">
      <c r="N411" s="19"/>
    </row>
    <row r="412" spans="14:14">
      <c r="N412" s="19"/>
    </row>
    <row r="413" spans="14:14">
      <c r="N413" s="19"/>
    </row>
    <row r="414" spans="14:14">
      <c r="N414" s="19"/>
    </row>
    <row r="415" spans="14:14">
      <c r="N415" s="19"/>
    </row>
    <row r="416" spans="14:14">
      <c r="N416" s="19"/>
    </row>
    <row r="417" spans="14:14">
      <c r="N417" s="19"/>
    </row>
    <row r="418" spans="14:14">
      <c r="N418" s="19"/>
    </row>
    <row r="419" spans="14:14">
      <c r="N419" s="19"/>
    </row>
    <row r="420" spans="14:14">
      <c r="N420" s="19"/>
    </row>
    <row r="421" spans="14:14">
      <c r="N421" s="19"/>
    </row>
    <row r="422" spans="14:14">
      <c r="N422" s="19"/>
    </row>
    <row r="423" spans="14:14">
      <c r="N423" s="19"/>
    </row>
    <row r="424" spans="14:14">
      <c r="N424" s="19"/>
    </row>
    <row r="425" spans="14:14">
      <c r="N425" s="19"/>
    </row>
    <row r="426" spans="14:14">
      <c r="N426" s="19"/>
    </row>
    <row r="427" spans="14:14">
      <c r="N427" s="19"/>
    </row>
    <row r="428" spans="14:14">
      <c r="N428" s="19"/>
    </row>
    <row r="429" spans="14:14">
      <c r="N429" s="19"/>
    </row>
    <row r="430" spans="14:14">
      <c r="N430" s="19"/>
    </row>
    <row r="431" spans="14:14">
      <c r="N431" s="19"/>
    </row>
    <row r="432" spans="14:14">
      <c r="N432" s="19"/>
    </row>
    <row r="433" spans="14:14">
      <c r="N433" s="19"/>
    </row>
    <row r="434" spans="14:14">
      <c r="N434" s="19"/>
    </row>
    <row r="435" spans="14:14">
      <c r="N435" s="19"/>
    </row>
    <row r="436" spans="14:14">
      <c r="N436" s="19"/>
    </row>
    <row r="437" spans="14:14">
      <c r="N437" s="19"/>
    </row>
    <row r="438" spans="14:14">
      <c r="N438" s="19"/>
    </row>
    <row r="439" spans="14:14">
      <c r="N439" s="19"/>
    </row>
    <row r="440" spans="14:14">
      <c r="N440" s="19"/>
    </row>
    <row r="441" spans="14:14">
      <c r="N441" s="19"/>
    </row>
    <row r="442" spans="14:14">
      <c r="N442" s="19"/>
    </row>
    <row r="443" spans="14:14">
      <c r="N443" s="19"/>
    </row>
    <row r="444" spans="14:14">
      <c r="N444" s="19"/>
    </row>
    <row r="445" spans="14:14">
      <c r="N445" s="19"/>
    </row>
    <row r="446" spans="14:14">
      <c r="N446" s="19"/>
    </row>
    <row r="447" spans="14:14">
      <c r="N447" s="19"/>
    </row>
    <row r="448" spans="14:14">
      <c r="N448" s="19"/>
    </row>
    <row r="449" spans="14:14">
      <c r="N449" s="19"/>
    </row>
    <row r="450" spans="14:14">
      <c r="N450" s="19"/>
    </row>
    <row r="451" spans="14:14">
      <c r="N451" s="19"/>
    </row>
    <row r="452" spans="14:14">
      <c r="N452" s="19"/>
    </row>
    <row r="453" spans="14:14">
      <c r="N453" s="19"/>
    </row>
    <row r="454" spans="14:14">
      <c r="N454" s="19"/>
    </row>
    <row r="455" spans="14:14">
      <c r="N455" s="19"/>
    </row>
    <row r="456" spans="14:14">
      <c r="N456" s="19"/>
    </row>
    <row r="457" spans="14:14">
      <c r="N457" s="19"/>
    </row>
    <row r="458" spans="14:14">
      <c r="N458" s="19"/>
    </row>
    <row r="459" spans="14:14">
      <c r="N459" s="19"/>
    </row>
    <row r="460" spans="14:14">
      <c r="N460" s="19"/>
    </row>
    <row r="461" spans="14:14">
      <c r="N461" s="19"/>
    </row>
    <row r="462" spans="14:14">
      <c r="N462" s="19"/>
    </row>
    <row r="463" spans="14:14">
      <c r="N463" s="19"/>
    </row>
    <row r="464" spans="14:14">
      <c r="N464" s="19"/>
    </row>
    <row r="465" spans="14:14">
      <c r="N465" s="19"/>
    </row>
    <row r="466" spans="14:14">
      <c r="N466" s="19"/>
    </row>
    <row r="467" spans="14:14">
      <c r="N467" s="19"/>
    </row>
    <row r="468" spans="14:14">
      <c r="N468" s="19"/>
    </row>
    <row r="469" spans="14:14">
      <c r="N469" s="19"/>
    </row>
    <row r="470" spans="14:14">
      <c r="N470" s="19"/>
    </row>
    <row r="471" spans="14:14">
      <c r="N471" s="19"/>
    </row>
    <row r="472" spans="14:14">
      <c r="N472" s="19"/>
    </row>
    <row r="473" spans="14:14">
      <c r="N473" s="19"/>
    </row>
    <row r="474" spans="14:14">
      <c r="N474" s="19"/>
    </row>
    <row r="475" spans="14:14">
      <c r="N475" s="19"/>
    </row>
    <row r="476" spans="14:14">
      <c r="N476" s="19"/>
    </row>
    <row r="477" spans="14:14">
      <c r="N477" s="19"/>
    </row>
    <row r="478" spans="14:14">
      <c r="N478" s="19"/>
    </row>
    <row r="479" spans="14:14">
      <c r="N479" s="19"/>
    </row>
    <row r="480" spans="14:14">
      <c r="N480" s="19"/>
    </row>
    <row r="481" spans="14:14">
      <c r="N481" s="19"/>
    </row>
    <row r="482" spans="14:14">
      <c r="N482" s="19"/>
    </row>
    <row r="483" spans="14:14">
      <c r="N483" s="19"/>
    </row>
    <row r="484" spans="14:14">
      <c r="N484" s="19"/>
    </row>
    <row r="485" spans="14:14">
      <c r="N485" s="19"/>
    </row>
    <row r="486" spans="14:14">
      <c r="N486" s="19"/>
    </row>
    <row r="487" spans="14:14">
      <c r="N487" s="19"/>
    </row>
    <row r="488" spans="14:14">
      <c r="N488" s="19"/>
    </row>
    <row r="489" spans="14:14">
      <c r="N489" s="19"/>
    </row>
    <row r="490" spans="14:14">
      <c r="N490" s="19"/>
    </row>
    <row r="491" spans="14:14">
      <c r="N491" s="19"/>
    </row>
    <row r="492" spans="14:14">
      <c r="N492" s="19"/>
    </row>
    <row r="493" spans="14:14">
      <c r="N493" s="19"/>
    </row>
    <row r="494" spans="14:14">
      <c r="N494" s="19"/>
    </row>
    <row r="495" spans="14:14">
      <c r="N495" s="19"/>
    </row>
    <row r="496" spans="14:14">
      <c r="N496" s="19"/>
    </row>
    <row r="497" spans="14:14">
      <c r="N497" s="19"/>
    </row>
    <row r="498" spans="14:14">
      <c r="N498" s="19"/>
    </row>
    <row r="499" spans="14:14">
      <c r="N499" s="19"/>
    </row>
    <row r="500" spans="14:14">
      <c r="N500" s="19"/>
    </row>
    <row r="501" spans="14:14">
      <c r="N501" s="19"/>
    </row>
    <row r="502" spans="14:14">
      <c r="N502" s="19"/>
    </row>
    <row r="503" spans="14:14">
      <c r="N503" s="19"/>
    </row>
    <row r="504" spans="14:14">
      <c r="N504" s="19"/>
    </row>
    <row r="505" spans="14:14">
      <c r="N505" s="19"/>
    </row>
    <row r="506" spans="14:14">
      <c r="N506" s="19"/>
    </row>
    <row r="507" spans="14:14">
      <c r="N507" s="19"/>
    </row>
    <row r="508" spans="14:14">
      <c r="N508" s="19"/>
    </row>
    <row r="509" spans="14:14">
      <c r="N509" s="19"/>
    </row>
    <row r="510" spans="14:14">
      <c r="N510" s="19"/>
    </row>
    <row r="511" spans="14:14">
      <c r="N511" s="19"/>
    </row>
    <row r="512" spans="14:14">
      <c r="N512" s="19"/>
    </row>
    <row r="513" spans="14:14">
      <c r="N513" s="19"/>
    </row>
    <row r="514" spans="14:14">
      <c r="N514" s="19"/>
    </row>
    <row r="515" spans="14:14">
      <c r="N515" s="19"/>
    </row>
    <row r="516" spans="14:14">
      <c r="N516" s="19"/>
    </row>
    <row r="517" spans="14:14">
      <c r="N517" s="19"/>
    </row>
    <row r="518" spans="14:14">
      <c r="N518" s="19"/>
    </row>
    <row r="519" spans="14:14">
      <c r="N519" s="19"/>
    </row>
    <row r="520" spans="14:14">
      <c r="N520" s="19"/>
    </row>
    <row r="521" spans="14:14">
      <c r="N521" s="19"/>
    </row>
    <row r="522" spans="14:14">
      <c r="N522" s="19"/>
    </row>
    <row r="523" spans="14:14">
      <c r="N523" s="19"/>
    </row>
    <row r="524" spans="14:14">
      <c r="N524" s="19"/>
    </row>
    <row r="525" spans="14:14">
      <c r="N525" s="19"/>
    </row>
    <row r="526" spans="14:14">
      <c r="N526" s="19"/>
    </row>
    <row r="527" spans="14:14">
      <c r="N527" s="19"/>
    </row>
    <row r="528" spans="14:14">
      <c r="N528" s="19"/>
    </row>
    <row r="529" spans="14:14">
      <c r="N529" s="19"/>
    </row>
    <row r="530" spans="14:14">
      <c r="N530" s="19"/>
    </row>
    <row r="531" spans="14:14">
      <c r="N531" s="19"/>
    </row>
    <row r="532" spans="14:14">
      <c r="N532" s="19"/>
    </row>
    <row r="533" spans="14:14">
      <c r="N533" s="19"/>
    </row>
    <row r="534" spans="14:14">
      <c r="N534" s="19"/>
    </row>
    <row r="535" spans="14:14">
      <c r="N535" s="19"/>
    </row>
    <row r="536" spans="14:14">
      <c r="N536" s="19"/>
    </row>
    <row r="537" spans="14:14">
      <c r="N537" s="19"/>
    </row>
    <row r="538" spans="14:14">
      <c r="N538" s="19"/>
    </row>
    <row r="539" spans="14:14">
      <c r="N539" s="19"/>
    </row>
    <row r="540" spans="14:14">
      <c r="N540" s="19"/>
    </row>
    <row r="541" spans="14:14">
      <c r="N541" s="19"/>
    </row>
    <row r="542" spans="14:14">
      <c r="N542" s="19"/>
    </row>
    <row r="543" spans="14:14">
      <c r="N543" s="19"/>
    </row>
    <row r="544" spans="14:14">
      <c r="N544" s="19"/>
    </row>
    <row r="545" spans="14:14">
      <c r="N545" s="19"/>
    </row>
    <row r="546" spans="14:14">
      <c r="N546" s="19"/>
    </row>
    <row r="547" spans="14:14">
      <c r="N547" s="19"/>
    </row>
    <row r="548" spans="14:14">
      <c r="N548" s="19"/>
    </row>
    <row r="549" spans="14:14">
      <c r="N549" s="19"/>
    </row>
    <row r="550" spans="14:14">
      <c r="N550" s="19"/>
    </row>
    <row r="551" spans="14:14">
      <c r="N551" s="19"/>
    </row>
    <row r="552" spans="14:14">
      <c r="N552" s="19"/>
    </row>
    <row r="553" spans="14:14">
      <c r="N553" s="19"/>
    </row>
    <row r="554" spans="14:14">
      <c r="N554" s="19"/>
    </row>
    <row r="555" spans="14:14">
      <c r="N555" s="19"/>
    </row>
    <row r="556" spans="14:14">
      <c r="N556" s="19"/>
    </row>
    <row r="557" spans="14:14">
      <c r="N557" s="19"/>
    </row>
    <row r="558" spans="14:14">
      <c r="N558" s="19"/>
    </row>
    <row r="559" spans="14:14">
      <c r="N559" s="19"/>
    </row>
    <row r="560" spans="14:14">
      <c r="N560" s="19"/>
    </row>
    <row r="561" spans="14:14">
      <c r="N561" s="19"/>
    </row>
    <row r="562" spans="14:14">
      <c r="N562" s="19"/>
    </row>
    <row r="563" spans="14:14">
      <c r="N563" s="19"/>
    </row>
    <row r="564" spans="14:14">
      <c r="N564" s="19"/>
    </row>
    <row r="565" spans="14:14">
      <c r="N565" s="19"/>
    </row>
    <row r="566" spans="14:14">
      <c r="N566" s="19"/>
    </row>
    <row r="567" spans="14:14">
      <c r="N567" s="19"/>
    </row>
    <row r="568" spans="14:14">
      <c r="N568" s="19"/>
    </row>
    <row r="569" spans="14:14">
      <c r="N569" s="19"/>
    </row>
    <row r="570" spans="14:14">
      <c r="N570" s="19"/>
    </row>
    <row r="571" spans="14:14">
      <c r="N571" s="19"/>
    </row>
    <row r="572" spans="14:14">
      <c r="N572" s="19"/>
    </row>
    <row r="573" spans="14:14">
      <c r="N573" s="19"/>
    </row>
    <row r="574" spans="14:14">
      <c r="N574" s="19"/>
    </row>
    <row r="575" spans="14:14">
      <c r="N575" s="19"/>
    </row>
    <row r="576" spans="14:14">
      <c r="N576" s="19"/>
    </row>
    <row r="577" spans="14:14">
      <c r="N577" s="19"/>
    </row>
    <row r="578" spans="14:14">
      <c r="N578" s="19"/>
    </row>
    <row r="579" spans="14:14">
      <c r="N579" s="19"/>
    </row>
    <row r="580" spans="14:14">
      <c r="N580" s="19"/>
    </row>
    <row r="581" spans="14:14">
      <c r="N581" s="19"/>
    </row>
    <row r="582" spans="14:14">
      <c r="N582" s="19"/>
    </row>
    <row r="583" spans="14:14">
      <c r="N583" s="19"/>
    </row>
    <row r="584" spans="14:14">
      <c r="N584" s="19"/>
    </row>
    <row r="585" spans="14:14">
      <c r="N585" s="19"/>
    </row>
    <row r="586" spans="14:14">
      <c r="N586" s="19"/>
    </row>
    <row r="587" spans="14:14">
      <c r="N587" s="19"/>
    </row>
    <row r="588" spans="14:14">
      <c r="N588" s="19"/>
    </row>
    <row r="589" spans="14:14">
      <c r="N589" s="19"/>
    </row>
    <row r="590" spans="14:14">
      <c r="N590" s="19"/>
    </row>
    <row r="591" spans="14:14">
      <c r="N591" s="19"/>
    </row>
    <row r="592" spans="14:14">
      <c r="N592" s="19"/>
    </row>
    <row r="593" spans="14:14">
      <c r="N593" s="19"/>
    </row>
    <row r="594" spans="14:14">
      <c r="N594" s="19"/>
    </row>
    <row r="595" spans="14:14">
      <c r="N595" s="19"/>
    </row>
    <row r="596" spans="14:14">
      <c r="N596" s="19"/>
    </row>
    <row r="597" spans="14:14">
      <c r="N597" s="19"/>
    </row>
    <row r="598" spans="14:14">
      <c r="N598" s="19"/>
    </row>
    <row r="599" spans="14:14">
      <c r="N599" s="19"/>
    </row>
    <row r="600" spans="14:14">
      <c r="N600" s="19"/>
    </row>
    <row r="601" spans="14:14">
      <c r="N601" s="19"/>
    </row>
    <row r="602" spans="14:14">
      <c r="N602" s="19"/>
    </row>
    <row r="603" spans="14:14">
      <c r="N603" s="19"/>
    </row>
    <row r="604" spans="14:14">
      <c r="N604" s="19"/>
    </row>
    <row r="605" spans="14:14">
      <c r="N605" s="19"/>
    </row>
    <row r="606" spans="14:14">
      <c r="N606" s="19"/>
    </row>
    <row r="607" spans="14:14">
      <c r="N607" s="19"/>
    </row>
    <row r="608" spans="14:14">
      <c r="N608" s="19"/>
    </row>
    <row r="609" spans="14:14">
      <c r="N609" s="19"/>
    </row>
    <row r="610" spans="14:14">
      <c r="N610" s="19"/>
    </row>
    <row r="611" spans="14:14">
      <c r="N611" s="19"/>
    </row>
    <row r="612" spans="14:14">
      <c r="N612" s="19"/>
    </row>
    <row r="613" spans="14:14">
      <c r="N613" s="19"/>
    </row>
    <row r="614" spans="14:14">
      <c r="N614" s="19"/>
    </row>
    <row r="615" spans="14:14">
      <c r="N615" s="19"/>
    </row>
    <row r="616" spans="14:14">
      <c r="N616" s="19"/>
    </row>
    <row r="617" spans="14:14">
      <c r="N617" s="19"/>
    </row>
    <row r="618" spans="14:14">
      <c r="N618" s="19"/>
    </row>
    <row r="619" spans="14:14">
      <c r="N619" s="19"/>
    </row>
    <row r="620" spans="14:14">
      <c r="N620" s="19"/>
    </row>
    <row r="621" spans="14:14">
      <c r="N621" s="19"/>
    </row>
    <row r="622" spans="14:14">
      <c r="N622" s="19"/>
    </row>
    <row r="623" spans="14:14">
      <c r="N623" s="19"/>
    </row>
    <row r="624" spans="14:14">
      <c r="N624" s="19"/>
    </row>
    <row r="625" spans="14:14">
      <c r="N625" s="19"/>
    </row>
    <row r="626" spans="14:14">
      <c r="N626" s="19"/>
    </row>
    <row r="627" spans="14:14">
      <c r="N627" s="19"/>
    </row>
    <row r="628" spans="14:14">
      <c r="N628" s="19"/>
    </row>
    <row r="629" spans="14:14">
      <c r="N629" s="19"/>
    </row>
    <row r="630" spans="14:14">
      <c r="N630" s="19"/>
    </row>
    <row r="631" spans="14:14">
      <c r="N631" s="19"/>
    </row>
    <row r="632" spans="14:14">
      <c r="N632" s="19"/>
    </row>
    <row r="633" spans="14:14">
      <c r="N633" s="19"/>
    </row>
    <row r="634" spans="14:14">
      <c r="N634" s="19"/>
    </row>
    <row r="635" spans="14:14">
      <c r="N635" s="19"/>
    </row>
    <row r="636" spans="14:14">
      <c r="N636" s="19"/>
    </row>
    <row r="637" spans="14:14">
      <c r="N637" s="19"/>
    </row>
    <row r="638" spans="14:14">
      <c r="N638" s="19"/>
    </row>
    <row r="639" spans="14:14">
      <c r="N639" s="19"/>
    </row>
    <row r="640" spans="14:14">
      <c r="N640" s="19"/>
    </row>
    <row r="641" spans="14:14">
      <c r="N641" s="19"/>
    </row>
    <row r="642" spans="14:14">
      <c r="N642" s="19"/>
    </row>
    <row r="643" spans="14:14">
      <c r="N643" s="19"/>
    </row>
    <row r="644" spans="14:14">
      <c r="N644" s="19"/>
    </row>
    <row r="645" spans="14:14">
      <c r="N645" s="19"/>
    </row>
    <row r="646" spans="14:14">
      <c r="N646" s="19"/>
    </row>
    <row r="647" spans="14:14">
      <c r="N647" s="19"/>
    </row>
    <row r="648" spans="14:14">
      <c r="N648" s="19"/>
    </row>
    <row r="649" spans="14:14">
      <c r="N649" s="19"/>
    </row>
    <row r="650" spans="14:14">
      <c r="N650" s="19"/>
    </row>
    <row r="651" spans="14:14">
      <c r="N651" s="19"/>
    </row>
    <row r="652" spans="14:14">
      <c r="N652" s="19"/>
    </row>
    <row r="653" spans="14:14">
      <c r="N653" s="19"/>
    </row>
    <row r="654" spans="14:14">
      <c r="N654" s="19"/>
    </row>
    <row r="655" spans="14:14">
      <c r="N655" s="19"/>
    </row>
    <row r="656" spans="14:14">
      <c r="N656" s="19"/>
    </row>
    <row r="657" spans="14:14">
      <c r="N657" s="19"/>
    </row>
    <row r="658" spans="14:14">
      <c r="N658" s="19"/>
    </row>
    <row r="659" spans="14:14">
      <c r="N659" s="19"/>
    </row>
    <row r="660" spans="14:14">
      <c r="N660" s="19"/>
    </row>
    <row r="661" spans="14:14">
      <c r="N661" s="19"/>
    </row>
    <row r="662" spans="14:14">
      <c r="N662" s="19"/>
    </row>
    <row r="663" spans="14:14">
      <c r="N663" s="19"/>
    </row>
    <row r="664" spans="14:14">
      <c r="N664" s="19"/>
    </row>
    <row r="665" spans="14:14">
      <c r="N665" s="19"/>
    </row>
    <row r="666" spans="14:14">
      <c r="N666" s="19"/>
    </row>
    <row r="667" spans="14:14">
      <c r="N667" s="19"/>
    </row>
    <row r="668" spans="14:14">
      <c r="N668" s="19"/>
    </row>
    <row r="669" spans="14:14">
      <c r="N669" s="19"/>
    </row>
    <row r="670" spans="14:14">
      <c r="N670" s="19"/>
    </row>
    <row r="671" spans="14:14">
      <c r="N671" s="19"/>
    </row>
    <row r="672" spans="14:14">
      <c r="N672" s="19"/>
    </row>
    <row r="673" spans="14:14">
      <c r="N673" s="19"/>
    </row>
    <row r="674" spans="14:14">
      <c r="N674" s="19"/>
    </row>
    <row r="675" spans="14:14">
      <c r="N675" s="19"/>
    </row>
    <row r="676" spans="14:14">
      <c r="N676" s="19"/>
    </row>
    <row r="677" spans="14:14">
      <c r="N677" s="19"/>
    </row>
    <row r="678" spans="14:14">
      <c r="N678" s="19"/>
    </row>
    <row r="679" spans="14:14">
      <c r="N679" s="19"/>
    </row>
    <row r="680" spans="14:14">
      <c r="N680" s="19"/>
    </row>
    <row r="681" spans="14:14">
      <c r="N681" s="19"/>
    </row>
    <row r="682" spans="14:14">
      <c r="N682" s="19"/>
    </row>
    <row r="683" spans="14:14">
      <c r="N683" s="19"/>
    </row>
    <row r="684" spans="14:14">
      <c r="N684" s="19"/>
    </row>
    <row r="685" spans="14:14">
      <c r="N685" s="19"/>
    </row>
    <row r="686" spans="14:14">
      <c r="N686" s="19"/>
    </row>
    <row r="687" spans="14:14">
      <c r="N687" s="19"/>
    </row>
    <row r="688" spans="14:14">
      <c r="N688" s="19"/>
    </row>
    <row r="689" spans="14:14">
      <c r="N689" s="19"/>
    </row>
    <row r="690" spans="14:14">
      <c r="N690" s="19"/>
    </row>
    <row r="691" spans="14:14">
      <c r="N691" s="19"/>
    </row>
    <row r="692" spans="14:14">
      <c r="N692" s="19"/>
    </row>
    <row r="693" spans="14:14">
      <c r="N693" s="19"/>
    </row>
    <row r="694" spans="14:14">
      <c r="N694" s="19"/>
    </row>
    <row r="695" spans="14:14">
      <c r="N695" s="19"/>
    </row>
    <row r="696" spans="14:14">
      <c r="N696" s="19"/>
    </row>
    <row r="697" spans="14:14">
      <c r="N697" s="19"/>
    </row>
    <row r="698" spans="14:14">
      <c r="N698" s="19"/>
    </row>
    <row r="699" spans="14:14">
      <c r="N699" s="19"/>
    </row>
    <row r="700" spans="14:14">
      <c r="N700" s="19"/>
    </row>
    <row r="701" spans="14:14">
      <c r="N701" s="19"/>
    </row>
    <row r="702" spans="14:14">
      <c r="N702" s="19"/>
    </row>
    <row r="703" spans="14:14">
      <c r="N703" s="19"/>
    </row>
    <row r="704" spans="14:14">
      <c r="N704" s="19"/>
    </row>
    <row r="705" spans="14:14">
      <c r="N705" s="19"/>
    </row>
    <row r="706" spans="14:14">
      <c r="N706" s="19"/>
    </row>
    <row r="707" spans="14:14">
      <c r="N707" s="19"/>
    </row>
    <row r="708" spans="14:14">
      <c r="N708" s="19"/>
    </row>
    <row r="709" spans="14:14">
      <c r="N709" s="19"/>
    </row>
    <row r="710" spans="14:14">
      <c r="N710" s="19"/>
    </row>
    <row r="711" spans="14:14">
      <c r="N711" s="19"/>
    </row>
    <row r="712" spans="14:14">
      <c r="N712" s="19"/>
    </row>
    <row r="713" spans="14:14">
      <c r="N713" s="19"/>
    </row>
    <row r="714" spans="14:14">
      <c r="N714" s="19"/>
    </row>
    <row r="715" spans="14:14">
      <c r="N715" s="19"/>
    </row>
    <row r="716" spans="14:14">
      <c r="N716" s="19"/>
    </row>
    <row r="717" spans="14:14">
      <c r="N717" s="19"/>
    </row>
    <row r="718" spans="14:14">
      <c r="N718" s="19"/>
    </row>
    <row r="719" spans="14:14">
      <c r="N719" s="19"/>
    </row>
    <row r="720" spans="14:14">
      <c r="N720" s="19"/>
    </row>
    <row r="721" spans="14:14">
      <c r="N721" s="19"/>
    </row>
    <row r="722" spans="14:14">
      <c r="N722" s="19"/>
    </row>
    <row r="723" spans="14:14">
      <c r="N723" s="19"/>
    </row>
    <row r="724" spans="14:14">
      <c r="N724" s="19"/>
    </row>
    <row r="725" spans="14:14">
      <c r="N725" s="19"/>
    </row>
    <row r="726" spans="14:14">
      <c r="N726" s="19"/>
    </row>
    <row r="727" spans="14:14">
      <c r="N727" s="19"/>
    </row>
    <row r="728" spans="14:14">
      <c r="N728" s="19"/>
    </row>
    <row r="729" spans="14:14">
      <c r="N729" s="19"/>
    </row>
    <row r="730" spans="14:14">
      <c r="N730" s="19"/>
    </row>
    <row r="731" spans="14:14">
      <c r="N731" s="19"/>
    </row>
    <row r="732" spans="14:14">
      <c r="N732" s="19"/>
    </row>
    <row r="733" spans="14:14">
      <c r="N733" s="19"/>
    </row>
    <row r="734" spans="14:14">
      <c r="N734" s="19"/>
    </row>
    <row r="735" spans="14:14">
      <c r="N735" s="19"/>
    </row>
    <row r="736" spans="14:14">
      <c r="N736" s="19"/>
    </row>
    <row r="737" spans="14:14">
      <c r="N737" s="19"/>
    </row>
    <row r="738" spans="14:14">
      <c r="N738" s="19"/>
    </row>
    <row r="739" spans="14:14">
      <c r="N739" s="19"/>
    </row>
    <row r="740" spans="14:14">
      <c r="N740" s="19"/>
    </row>
    <row r="741" spans="14:14">
      <c r="N741" s="19"/>
    </row>
    <row r="742" spans="14:14">
      <c r="N742" s="19"/>
    </row>
    <row r="743" spans="14:14">
      <c r="N743" s="19"/>
    </row>
    <row r="744" spans="14:14">
      <c r="N744" s="19"/>
    </row>
    <row r="745" spans="14:14">
      <c r="N745" s="19"/>
    </row>
    <row r="746" spans="14:14">
      <c r="N746" s="19"/>
    </row>
    <row r="747" spans="14:14">
      <c r="N747" s="19"/>
    </row>
    <row r="748" spans="14:14">
      <c r="N748" s="19"/>
    </row>
    <row r="749" spans="14:14">
      <c r="N749" s="19"/>
    </row>
    <row r="750" spans="14:14">
      <c r="N750" s="19"/>
    </row>
    <row r="751" spans="14:14">
      <c r="N751" s="19"/>
    </row>
    <row r="752" spans="14:14">
      <c r="N752" s="19"/>
    </row>
    <row r="753" spans="14:14">
      <c r="N753" s="19"/>
    </row>
    <row r="754" spans="14:14">
      <c r="N754" s="19"/>
    </row>
    <row r="755" spans="14:14">
      <c r="N755" s="19"/>
    </row>
    <row r="756" spans="14:14">
      <c r="N756" s="19"/>
    </row>
    <row r="757" spans="14:14">
      <c r="N757" s="19"/>
    </row>
    <row r="758" spans="14:14">
      <c r="N758" s="19"/>
    </row>
  </sheetData>
  <sheetProtection algorithmName="SHA-512" hashValue="LlQoGSn9dz2Id5pFlCVznWt0oeDI9t+vSF1Dlh4foZR9lt+MdaFD3c0WChnKy2M52MQ+JlCnL2iQxwqBmiy+jQ==" saltValue="wMHRR0omISk26LPuQ276Hg==" spinCount="100000" sheet="1" objects="1" scenarios="1"/>
  <mergeCells count="1">
    <mergeCell ref="J1:L1"/>
  </mergeCells>
  <pageMargins left="0.75" right="0.75" top="1" bottom="1" header="0.5" footer="0.5"/>
  <pageSetup orientation="portrait" horizontalDpi="4294967292" verticalDpi="4294967292"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571"/>
  <sheetViews>
    <sheetView topLeftCell="N1" workbookViewId="0">
      <selection activeCell="W1" sqref="W1"/>
    </sheetView>
  </sheetViews>
  <sheetFormatPr defaultColWidth="11" defaultRowHeight="15.75"/>
  <cols>
    <col min="1" max="1" width="33.375" customWidth="1"/>
    <col min="2" max="9" width="14.125" bestFit="1" customWidth="1"/>
    <col min="10" max="10" width="14.375" bestFit="1" customWidth="1"/>
    <col min="11" max="11" width="14.375" customWidth="1"/>
    <col min="12" max="12" width="13.875" customWidth="1"/>
    <col min="13" max="13" width="13.875" style="260" customWidth="1"/>
  </cols>
  <sheetData>
    <row r="1" spans="1:12" ht="18.75">
      <c r="A1" s="37" t="s">
        <v>169</v>
      </c>
      <c r="J1" s="256" t="s">
        <v>215</v>
      </c>
      <c r="K1" s="256"/>
      <c r="L1" s="256"/>
    </row>
    <row r="2" spans="1:12">
      <c r="A2" s="2"/>
      <c r="B2" s="2"/>
      <c r="C2" s="2"/>
      <c r="D2" s="2"/>
      <c r="E2" s="2"/>
      <c r="F2" s="2"/>
      <c r="G2" s="2"/>
      <c r="H2" s="2"/>
      <c r="I2" s="2"/>
      <c r="J2" s="257"/>
      <c r="K2" s="257"/>
      <c r="L2" s="257"/>
    </row>
    <row r="3" spans="1:12">
      <c r="A3" s="2"/>
      <c r="B3" s="82" t="s">
        <v>61</v>
      </c>
      <c r="C3" s="82" t="s">
        <v>61</v>
      </c>
      <c r="D3" s="82" t="s">
        <v>61</v>
      </c>
      <c r="E3" s="82" t="s">
        <v>61</v>
      </c>
      <c r="F3" s="82" t="s">
        <v>61</v>
      </c>
      <c r="G3" s="82" t="s">
        <v>61</v>
      </c>
      <c r="H3" s="82" t="s">
        <v>61</v>
      </c>
      <c r="I3" s="82" t="s">
        <v>61</v>
      </c>
      <c r="J3" s="82" t="s">
        <v>61</v>
      </c>
      <c r="K3" s="82" t="s">
        <v>61</v>
      </c>
      <c r="L3" s="82" t="s">
        <v>61</v>
      </c>
    </row>
    <row r="4" spans="1:12">
      <c r="A4" s="2"/>
      <c r="B4" s="30" t="s">
        <v>57</v>
      </c>
      <c r="C4" s="30" t="s">
        <v>57</v>
      </c>
      <c r="D4" s="30" t="s">
        <v>57</v>
      </c>
      <c r="E4" s="30" t="s">
        <v>57</v>
      </c>
      <c r="F4" s="30" t="s">
        <v>57</v>
      </c>
      <c r="G4" s="30" t="s">
        <v>57</v>
      </c>
      <c r="H4" s="30" t="s">
        <v>57</v>
      </c>
      <c r="I4" s="30" t="s">
        <v>57</v>
      </c>
      <c r="J4" s="30" t="s">
        <v>57</v>
      </c>
      <c r="K4" s="30" t="s">
        <v>202</v>
      </c>
      <c r="L4" s="30" t="s">
        <v>58</v>
      </c>
    </row>
    <row r="5" spans="1:12" ht="18.75">
      <c r="A5" s="93" t="s">
        <v>98</v>
      </c>
      <c r="B5" s="254">
        <v>2009</v>
      </c>
      <c r="C5" s="254">
        <v>2010</v>
      </c>
      <c r="D5" s="254">
        <v>2011</v>
      </c>
      <c r="E5" s="254">
        <v>2012</v>
      </c>
      <c r="F5" s="254">
        <v>2013</v>
      </c>
      <c r="G5" s="254">
        <v>2014</v>
      </c>
      <c r="H5" s="254">
        <v>2015</v>
      </c>
      <c r="I5" s="254">
        <v>2016</v>
      </c>
      <c r="J5" s="254">
        <v>2017</v>
      </c>
      <c r="K5" s="254">
        <v>2018</v>
      </c>
      <c r="L5" s="254">
        <v>2019</v>
      </c>
    </row>
    <row r="6" spans="1:12">
      <c r="A6" s="9" t="s">
        <v>100</v>
      </c>
      <c r="B6" s="1">
        <v>645757</v>
      </c>
      <c r="C6" s="1">
        <v>477688</v>
      </c>
      <c r="D6" s="1">
        <v>442282</v>
      </c>
      <c r="E6" s="1">
        <v>417665</v>
      </c>
      <c r="F6" s="1">
        <v>468560</v>
      </c>
      <c r="G6" s="1">
        <v>528795</v>
      </c>
      <c r="H6" s="1">
        <v>579320</v>
      </c>
      <c r="I6" s="1">
        <v>674449</v>
      </c>
      <c r="J6" s="1">
        <v>557768</v>
      </c>
      <c r="K6" s="1">
        <v>699857</v>
      </c>
      <c r="L6" s="1">
        <v>0</v>
      </c>
    </row>
    <row r="7" spans="1:12">
      <c r="A7" s="85" t="s">
        <v>93</v>
      </c>
      <c r="B7" s="1">
        <v>0</v>
      </c>
      <c r="C7" s="1">
        <v>0</v>
      </c>
      <c r="D7" s="1">
        <v>0</v>
      </c>
      <c r="E7" s="1">
        <v>0</v>
      </c>
      <c r="F7" s="1">
        <v>0</v>
      </c>
      <c r="G7" s="1">
        <v>0</v>
      </c>
      <c r="H7" s="1">
        <v>0</v>
      </c>
      <c r="I7" s="1">
        <v>0</v>
      </c>
      <c r="J7" s="1">
        <v>0</v>
      </c>
      <c r="K7" s="1">
        <v>0</v>
      </c>
      <c r="L7" s="1">
        <v>0</v>
      </c>
    </row>
    <row r="8" spans="1:12">
      <c r="A8" s="86" t="s">
        <v>101</v>
      </c>
      <c r="B8" s="1">
        <v>0</v>
      </c>
      <c r="C8" s="1">
        <v>0</v>
      </c>
      <c r="D8" s="1">
        <v>0</v>
      </c>
      <c r="E8" s="1">
        <v>0</v>
      </c>
      <c r="F8" s="1">
        <v>0</v>
      </c>
      <c r="G8" s="1">
        <v>0</v>
      </c>
      <c r="H8" s="1">
        <v>0</v>
      </c>
      <c r="I8" s="1">
        <v>0</v>
      </c>
      <c r="J8" s="1">
        <v>0</v>
      </c>
      <c r="K8" s="1">
        <v>0</v>
      </c>
      <c r="L8" s="1">
        <v>0</v>
      </c>
    </row>
    <row r="9" spans="1:12">
      <c r="A9" s="73" t="s">
        <v>125</v>
      </c>
      <c r="B9" s="119">
        <v>458374</v>
      </c>
      <c r="C9" s="119">
        <v>224222</v>
      </c>
      <c r="D9" s="119">
        <v>391874</v>
      </c>
      <c r="E9" s="119">
        <v>240077</v>
      </c>
      <c r="F9" s="119">
        <v>293278</v>
      </c>
      <c r="G9" s="119">
        <v>458233</v>
      </c>
      <c r="H9" s="1">
        <v>288081</v>
      </c>
      <c r="I9" s="1"/>
      <c r="J9" s="1">
        <f>399406+358912</f>
        <v>758318</v>
      </c>
      <c r="K9" s="1">
        <f>563039+816279</f>
        <v>1379318</v>
      </c>
      <c r="L9" s="1">
        <f>576917+324868</f>
        <v>901785</v>
      </c>
    </row>
    <row r="10" spans="1:12" ht="16.5" thickBot="1">
      <c r="A10" s="39" t="s">
        <v>127</v>
      </c>
      <c r="B10" s="69">
        <v>0</v>
      </c>
      <c r="C10" s="69">
        <v>0</v>
      </c>
      <c r="D10" s="69">
        <v>0</v>
      </c>
      <c r="E10" s="69">
        <v>0</v>
      </c>
      <c r="F10" s="69">
        <v>0</v>
      </c>
      <c r="G10" s="69">
        <v>0</v>
      </c>
      <c r="H10" s="69">
        <v>0</v>
      </c>
      <c r="I10" s="69">
        <v>0</v>
      </c>
      <c r="J10" s="69">
        <v>0</v>
      </c>
      <c r="K10" s="69">
        <v>0</v>
      </c>
      <c r="L10" s="69">
        <v>0</v>
      </c>
    </row>
    <row r="11" spans="1:12">
      <c r="A11" s="95" t="s">
        <v>108</v>
      </c>
      <c r="B11" s="1">
        <f>SUM(B6:B10)</f>
        <v>1104131</v>
      </c>
      <c r="C11" s="1">
        <f t="shared" ref="C11:L11" si="0">SUM(C6:C10)</f>
        <v>701910</v>
      </c>
      <c r="D11" s="1">
        <f t="shared" si="0"/>
        <v>834156</v>
      </c>
      <c r="E11" s="1">
        <f t="shared" si="0"/>
        <v>657742</v>
      </c>
      <c r="F11" s="1">
        <f t="shared" si="0"/>
        <v>761838</v>
      </c>
      <c r="G11" s="1">
        <f t="shared" si="0"/>
        <v>987028</v>
      </c>
      <c r="H11" s="1">
        <f t="shared" si="0"/>
        <v>867401</v>
      </c>
      <c r="I11" s="1">
        <f t="shared" si="0"/>
        <v>674449</v>
      </c>
      <c r="J11" s="1">
        <f t="shared" si="0"/>
        <v>1316086</v>
      </c>
      <c r="K11" s="1">
        <f t="shared" si="0"/>
        <v>2079175</v>
      </c>
      <c r="L11" s="1">
        <f t="shared" si="0"/>
        <v>901785</v>
      </c>
    </row>
    <row r="13" spans="1:12" ht="18.75">
      <c r="A13" s="93" t="s">
        <v>73</v>
      </c>
      <c r="B13" s="254">
        <v>2009</v>
      </c>
      <c r="C13" s="254">
        <v>2010</v>
      </c>
      <c r="D13" s="254">
        <v>2011</v>
      </c>
      <c r="E13" s="254">
        <v>2012</v>
      </c>
      <c r="F13" s="254">
        <v>2013</v>
      </c>
      <c r="G13" s="254">
        <v>2014</v>
      </c>
      <c r="H13" s="254">
        <v>2015</v>
      </c>
      <c r="I13" s="254">
        <v>2016</v>
      </c>
      <c r="J13" s="254">
        <v>2017</v>
      </c>
      <c r="K13" s="254">
        <v>2018</v>
      </c>
      <c r="L13" s="254">
        <v>2019</v>
      </c>
    </row>
    <row r="14" spans="1:12">
      <c r="A14" s="10" t="s">
        <v>100</v>
      </c>
      <c r="B14" s="1">
        <f t="shared" ref="B14:I14" si="1">B41</f>
        <v>645757</v>
      </c>
      <c r="C14" s="1">
        <f t="shared" si="1"/>
        <v>621731</v>
      </c>
      <c r="D14" s="1">
        <f t="shared" si="1"/>
        <v>578036</v>
      </c>
      <c r="E14" s="1">
        <f t="shared" si="1"/>
        <v>560510</v>
      </c>
      <c r="F14" s="1">
        <f t="shared" si="1"/>
        <v>626710</v>
      </c>
      <c r="G14" s="1">
        <f t="shared" si="1"/>
        <v>743632</v>
      </c>
      <c r="H14" s="1">
        <f t="shared" si="1"/>
        <v>792123</v>
      </c>
      <c r="I14" s="1">
        <f t="shared" si="1"/>
        <v>1278962</v>
      </c>
      <c r="J14" s="1">
        <v>994807</v>
      </c>
      <c r="K14" s="1">
        <v>1122189</v>
      </c>
      <c r="L14" s="1">
        <v>924368</v>
      </c>
    </row>
    <row r="15" spans="1:12">
      <c r="A15" s="96" t="s">
        <v>93</v>
      </c>
      <c r="B15" s="1">
        <v>0</v>
      </c>
      <c r="C15" s="1">
        <v>0</v>
      </c>
      <c r="D15" s="1">
        <v>0</v>
      </c>
      <c r="E15" s="1">
        <v>0</v>
      </c>
      <c r="F15" s="1">
        <v>0</v>
      </c>
      <c r="G15" s="1">
        <v>0</v>
      </c>
      <c r="H15" s="1">
        <v>0</v>
      </c>
      <c r="I15" s="1">
        <v>0</v>
      </c>
      <c r="J15" s="1">
        <v>0</v>
      </c>
      <c r="K15" s="1">
        <v>0</v>
      </c>
      <c r="L15" s="1">
        <v>0</v>
      </c>
    </row>
    <row r="16" spans="1:12">
      <c r="A16" s="94" t="s">
        <v>101</v>
      </c>
      <c r="B16" s="1">
        <v>0</v>
      </c>
      <c r="C16" s="1">
        <v>0</v>
      </c>
      <c r="D16" s="1">
        <v>0</v>
      </c>
      <c r="E16" s="1">
        <v>0</v>
      </c>
      <c r="F16" s="1">
        <v>0</v>
      </c>
      <c r="G16" s="1">
        <v>0</v>
      </c>
      <c r="H16" s="1">
        <v>0</v>
      </c>
      <c r="I16" s="1">
        <v>0</v>
      </c>
      <c r="J16" s="1">
        <v>0</v>
      </c>
      <c r="K16" s="1">
        <v>0</v>
      </c>
      <c r="L16" s="1">
        <v>0</v>
      </c>
    </row>
    <row r="17" spans="1:12">
      <c r="A17" s="73" t="s">
        <v>83</v>
      </c>
      <c r="I17" s="1"/>
      <c r="J17" s="1">
        <f>35027+358912</f>
        <v>393939</v>
      </c>
      <c r="K17" s="1">
        <f>945724+816279</f>
        <v>1762003</v>
      </c>
      <c r="L17" s="16">
        <f>558265+324868</f>
        <v>883133</v>
      </c>
    </row>
    <row r="18" spans="1:12" ht="16.5" thickBot="1">
      <c r="A18" s="153" t="s">
        <v>157</v>
      </c>
      <c r="B18" s="69">
        <v>0</v>
      </c>
      <c r="C18" s="69">
        <v>0</v>
      </c>
      <c r="D18" s="69">
        <v>0</v>
      </c>
      <c r="E18" s="69">
        <v>0</v>
      </c>
      <c r="F18" s="69">
        <v>0</v>
      </c>
      <c r="G18" s="69">
        <v>0</v>
      </c>
      <c r="H18" s="69">
        <v>0</v>
      </c>
      <c r="I18" s="69">
        <v>0</v>
      </c>
      <c r="J18" s="69">
        <v>0</v>
      </c>
      <c r="K18" s="69">
        <v>0</v>
      </c>
      <c r="L18" s="69">
        <v>0</v>
      </c>
    </row>
    <row r="19" spans="1:12">
      <c r="A19" s="95" t="s">
        <v>119</v>
      </c>
      <c r="B19" s="1">
        <f t="shared" ref="B19:L19" si="2">SUM(B14:B18)</f>
        <v>645757</v>
      </c>
      <c r="C19" s="1">
        <f t="shared" si="2"/>
        <v>621731</v>
      </c>
      <c r="D19" s="1">
        <f t="shared" si="2"/>
        <v>578036</v>
      </c>
      <c r="E19" s="1">
        <f t="shared" si="2"/>
        <v>560510</v>
      </c>
      <c r="F19" s="1">
        <f t="shared" si="2"/>
        <v>626710</v>
      </c>
      <c r="G19" s="1">
        <f t="shared" si="2"/>
        <v>743632</v>
      </c>
      <c r="H19" s="1">
        <f t="shared" si="2"/>
        <v>792123</v>
      </c>
      <c r="I19" s="1">
        <f t="shared" si="2"/>
        <v>1278962</v>
      </c>
      <c r="J19" s="1">
        <f t="shared" si="2"/>
        <v>1388746</v>
      </c>
      <c r="K19" s="1">
        <f t="shared" si="2"/>
        <v>2884192</v>
      </c>
      <c r="L19" s="1">
        <f t="shared" si="2"/>
        <v>1807501</v>
      </c>
    </row>
    <row r="20" spans="1:12">
      <c r="A20" s="260"/>
      <c r="B20" s="260"/>
      <c r="C20" s="260"/>
      <c r="D20" s="260"/>
      <c r="E20" s="260"/>
      <c r="F20" s="260"/>
      <c r="G20" s="260"/>
      <c r="H20" s="260"/>
      <c r="I20" s="260"/>
      <c r="J20" s="260"/>
      <c r="K20" s="260"/>
      <c r="L20" s="260"/>
    </row>
    <row r="22" spans="1:12" ht="18.75">
      <c r="A22" s="37"/>
      <c r="B22" s="254">
        <v>2009</v>
      </c>
      <c r="C22" s="254">
        <v>2010</v>
      </c>
      <c r="D22" s="254">
        <v>2011</v>
      </c>
      <c r="E22" s="254">
        <v>2012</v>
      </c>
      <c r="F22" s="254">
        <v>2013</v>
      </c>
      <c r="G22" s="254">
        <v>2014</v>
      </c>
      <c r="H22" s="254">
        <v>2015</v>
      </c>
      <c r="I22" s="254">
        <v>2016</v>
      </c>
      <c r="J22" s="254">
        <v>2017</v>
      </c>
      <c r="K22" s="254">
        <v>2018</v>
      </c>
      <c r="L22" s="254">
        <v>2019</v>
      </c>
    </row>
    <row r="23" spans="1:12">
      <c r="A23" s="2" t="s">
        <v>203</v>
      </c>
      <c r="B23" s="8">
        <f t="shared" ref="B23:L23" si="3">B37/B54</f>
        <v>10.223821284949812</v>
      </c>
      <c r="C23" s="8">
        <f t="shared" si="3"/>
        <v>9.1779250686427911</v>
      </c>
      <c r="D23" s="8">
        <f t="shared" si="3"/>
        <v>14.777242913861055</v>
      </c>
      <c r="E23" s="8">
        <f t="shared" si="3"/>
        <v>8.0833850103113605</v>
      </c>
      <c r="F23" s="8">
        <f t="shared" si="3"/>
        <v>8.9059258206622136</v>
      </c>
      <c r="G23" s="8">
        <f t="shared" si="3"/>
        <v>10.469708702324468</v>
      </c>
      <c r="H23" s="8">
        <f t="shared" si="3"/>
        <v>10.788926722963771</v>
      </c>
      <c r="I23" s="8">
        <f t="shared" si="3"/>
        <v>17.193815957518318</v>
      </c>
      <c r="J23" s="8">
        <f t="shared" si="3"/>
        <v>16.863950421940928</v>
      </c>
      <c r="K23" s="8">
        <f t="shared" si="3"/>
        <v>19.616616189070953</v>
      </c>
      <c r="L23" s="8">
        <f t="shared" si="3"/>
        <v>15.503785768548999</v>
      </c>
    </row>
    <row r="24" spans="1:12">
      <c r="B24" s="1"/>
      <c r="C24" s="1"/>
      <c r="D24" s="1"/>
      <c r="E24" s="1"/>
      <c r="F24" s="1"/>
      <c r="G24" s="1"/>
      <c r="H24" s="1"/>
      <c r="I24" s="1"/>
      <c r="J24" s="1"/>
      <c r="K24" s="1"/>
      <c r="L24" s="1"/>
    </row>
    <row r="25" spans="1:12">
      <c r="B25" s="254">
        <v>2009</v>
      </c>
      <c r="C25" s="254">
        <v>2010</v>
      </c>
      <c r="D25" s="254">
        <v>2011</v>
      </c>
      <c r="E25" s="254">
        <v>2012</v>
      </c>
      <c r="F25" s="254">
        <v>2013</v>
      </c>
      <c r="G25" s="254">
        <v>2014</v>
      </c>
      <c r="H25" s="254">
        <v>2015</v>
      </c>
      <c r="I25" s="254">
        <v>2016</v>
      </c>
      <c r="J25" s="254">
        <v>2017</v>
      </c>
      <c r="K25" s="254">
        <v>2018</v>
      </c>
      <c r="L25" s="254">
        <v>2019</v>
      </c>
    </row>
    <row r="26" spans="1:12">
      <c r="A26" s="253" t="s">
        <v>159</v>
      </c>
      <c r="B26" s="16">
        <f t="shared" ref="B26:J26" si="4">+B19/B59</f>
        <v>198694.46153846153</v>
      </c>
      <c r="C26" s="16">
        <f t="shared" si="4"/>
        <v>226084</v>
      </c>
      <c r="D26" s="16">
        <f t="shared" si="4"/>
        <v>210194.90909090909</v>
      </c>
      <c r="E26" s="16">
        <f t="shared" si="4"/>
        <v>224204</v>
      </c>
      <c r="F26" s="16">
        <f t="shared" si="4"/>
        <v>250684</v>
      </c>
      <c r="G26" s="16">
        <f t="shared" si="4"/>
        <v>286012.30769230769</v>
      </c>
      <c r="H26" s="16">
        <f t="shared" si="4"/>
        <v>316849.2</v>
      </c>
      <c r="I26" s="16">
        <f t="shared" si="4"/>
        <v>319740.5</v>
      </c>
      <c r="J26" s="16">
        <f t="shared" si="4"/>
        <v>347186.5</v>
      </c>
      <c r="K26" s="16">
        <f>+K19/K59</f>
        <v>576838.40000000002</v>
      </c>
      <c r="L26" s="16">
        <f>+L19/L59</f>
        <v>361500.2</v>
      </c>
    </row>
    <row r="28" spans="1:12">
      <c r="A28" s="190"/>
      <c r="B28" s="190"/>
      <c r="C28" s="190"/>
      <c r="D28" s="190"/>
      <c r="E28" s="190"/>
      <c r="F28" s="190"/>
      <c r="G28" s="190"/>
      <c r="H28" s="190"/>
      <c r="I28" s="190"/>
      <c r="J28" s="190"/>
      <c r="K28" s="190"/>
      <c r="L28" s="190"/>
    </row>
    <row r="29" spans="1:12">
      <c r="A29" s="190"/>
      <c r="B29" s="190"/>
      <c r="C29" s="190"/>
      <c r="D29" s="190"/>
      <c r="E29" s="190"/>
      <c r="F29" s="190"/>
      <c r="G29" s="190"/>
      <c r="H29" s="190"/>
      <c r="I29" s="190"/>
      <c r="J29" s="190"/>
      <c r="K29" s="190"/>
      <c r="L29" s="190"/>
    </row>
    <row r="33" spans="1:14">
      <c r="A33" s="10" t="s">
        <v>100</v>
      </c>
      <c r="B33" s="1"/>
      <c r="C33" s="1"/>
      <c r="D33" s="1"/>
      <c r="E33" s="1"/>
      <c r="F33" s="1"/>
      <c r="G33" s="1"/>
      <c r="H33" s="1"/>
      <c r="I33" s="1"/>
      <c r="J33" s="1"/>
      <c r="K33" s="1"/>
      <c r="L33" s="1"/>
    </row>
    <row r="34" spans="1:14">
      <c r="A34" s="40" t="s">
        <v>53</v>
      </c>
      <c r="B34" s="1">
        <v>645757</v>
      </c>
      <c r="C34" s="1">
        <v>477688</v>
      </c>
      <c r="D34" s="1">
        <v>442282</v>
      </c>
      <c r="E34" s="1">
        <v>417665</v>
      </c>
      <c r="F34" s="1">
        <v>468560</v>
      </c>
      <c r="G34" s="1">
        <v>528795</v>
      </c>
      <c r="H34" s="1">
        <v>579320</v>
      </c>
      <c r="I34" s="1">
        <v>994807</v>
      </c>
      <c r="J34" s="1">
        <v>994807</v>
      </c>
      <c r="K34" s="1">
        <v>1122189</v>
      </c>
      <c r="L34" s="1">
        <v>924368</v>
      </c>
    </row>
    <row r="35" spans="1:14">
      <c r="A35" s="40" t="s">
        <v>54</v>
      </c>
      <c r="B35" s="1"/>
      <c r="C35" s="1">
        <v>144043</v>
      </c>
      <c r="D35" s="1">
        <v>135754</v>
      </c>
      <c r="E35" s="1">
        <v>142845</v>
      </c>
      <c r="F35" s="1">
        <v>158150</v>
      </c>
      <c r="G35" s="1">
        <v>214837</v>
      </c>
      <c r="H35" s="1">
        <v>212803</v>
      </c>
      <c r="I35" s="1">
        <v>284155</v>
      </c>
      <c r="J35" s="1">
        <v>284155</v>
      </c>
      <c r="K35" s="1">
        <v>393430</v>
      </c>
      <c r="L35" s="1">
        <v>300121</v>
      </c>
    </row>
    <row r="36" spans="1:14">
      <c r="A36" s="107" t="s">
        <v>118</v>
      </c>
      <c r="D36" s="20">
        <v>438062</v>
      </c>
    </row>
    <row r="37" spans="1:14">
      <c r="A37" s="45" t="s">
        <v>115</v>
      </c>
      <c r="B37" s="1">
        <f t="shared" ref="B37:L37" si="5">SUM(B34:B36)</f>
        <v>645757</v>
      </c>
      <c r="C37" s="1">
        <f t="shared" si="5"/>
        <v>621731</v>
      </c>
      <c r="D37" s="1">
        <f t="shared" si="5"/>
        <v>1016098</v>
      </c>
      <c r="E37" s="1">
        <f t="shared" si="5"/>
        <v>560510</v>
      </c>
      <c r="F37" s="1">
        <f t="shared" si="5"/>
        <v>626710</v>
      </c>
      <c r="G37" s="1">
        <f t="shared" si="5"/>
        <v>743632</v>
      </c>
      <c r="H37" s="1">
        <f t="shared" si="5"/>
        <v>792123</v>
      </c>
      <c r="I37" s="1">
        <f t="shared" si="5"/>
        <v>1278962</v>
      </c>
      <c r="J37" s="1">
        <f t="shared" si="5"/>
        <v>1278962</v>
      </c>
      <c r="K37" s="1">
        <f t="shared" si="5"/>
        <v>1515619</v>
      </c>
      <c r="L37" s="1">
        <f t="shared" si="5"/>
        <v>1224489</v>
      </c>
    </row>
    <row r="38" spans="1:14">
      <c r="A38" s="107" t="s">
        <v>117</v>
      </c>
      <c r="B38" s="1"/>
      <c r="C38" s="1"/>
      <c r="D38" s="20">
        <v>-438062</v>
      </c>
      <c r="E38" s="20">
        <v>0</v>
      </c>
      <c r="F38" s="1"/>
      <c r="G38" s="27"/>
      <c r="H38" s="1"/>
      <c r="I38" s="1"/>
      <c r="J38" s="1"/>
      <c r="K38" s="1"/>
      <c r="L38" s="1"/>
    </row>
    <row r="39" spans="1:14">
      <c r="A39" s="40" t="s">
        <v>54</v>
      </c>
      <c r="B39" s="1">
        <v>138645</v>
      </c>
      <c r="C39" s="1"/>
      <c r="D39" s="1"/>
      <c r="E39" s="1"/>
      <c r="F39" s="1"/>
      <c r="G39" s="1"/>
      <c r="H39" s="1"/>
      <c r="I39" s="1"/>
      <c r="J39" s="1"/>
      <c r="K39" s="1"/>
      <c r="L39" s="1"/>
    </row>
    <row r="40" spans="1:14" ht="16.5" thickBot="1">
      <c r="A40" s="62" t="s">
        <v>55</v>
      </c>
      <c r="B40" s="115">
        <v>638106</v>
      </c>
      <c r="C40" s="115">
        <v>637434</v>
      </c>
      <c r="D40" s="115">
        <v>586136</v>
      </c>
      <c r="E40" s="115">
        <v>491479</v>
      </c>
      <c r="F40" s="115">
        <v>548734</v>
      </c>
      <c r="G40" s="115">
        <v>664773</v>
      </c>
      <c r="H40" s="115">
        <v>880308</v>
      </c>
      <c r="I40" s="115">
        <v>1298490</v>
      </c>
      <c r="J40" s="115">
        <v>1298490</v>
      </c>
      <c r="K40" s="115">
        <v>1147914</v>
      </c>
      <c r="L40" s="115">
        <v>695490</v>
      </c>
    </row>
    <row r="41" spans="1:14">
      <c r="A41" s="45" t="s">
        <v>116</v>
      </c>
      <c r="B41" s="1">
        <f t="shared" ref="B41:L41" si="6">SUM(B37:B38)</f>
        <v>645757</v>
      </c>
      <c r="C41" s="1">
        <f t="shared" si="6"/>
        <v>621731</v>
      </c>
      <c r="D41" s="1">
        <f t="shared" si="6"/>
        <v>578036</v>
      </c>
      <c r="E41" s="1">
        <f t="shared" si="6"/>
        <v>560510</v>
      </c>
      <c r="F41" s="1">
        <f t="shared" si="6"/>
        <v>626710</v>
      </c>
      <c r="G41" s="5">
        <f t="shared" si="6"/>
        <v>743632</v>
      </c>
      <c r="H41" s="1">
        <f t="shared" si="6"/>
        <v>792123</v>
      </c>
      <c r="I41" s="1">
        <f t="shared" si="6"/>
        <v>1278962</v>
      </c>
      <c r="J41" s="1">
        <f t="shared" si="6"/>
        <v>1278962</v>
      </c>
      <c r="K41" s="1">
        <f t="shared" si="6"/>
        <v>1515619</v>
      </c>
      <c r="L41" s="5">
        <f t="shared" si="6"/>
        <v>1224489</v>
      </c>
    </row>
    <row r="42" spans="1:14">
      <c r="A42" s="45" t="s">
        <v>72</v>
      </c>
      <c r="B42" s="1"/>
      <c r="C42" s="7">
        <f t="shared" ref="C42:L42" si="7">(C37/B37)-1</f>
        <v>-3.7205945889862591E-2</v>
      </c>
      <c r="D42" s="7">
        <f t="shared" si="7"/>
        <v>0.63430486818254206</v>
      </c>
      <c r="E42" s="7">
        <f t="shared" si="7"/>
        <v>-0.44837013752610477</v>
      </c>
      <c r="F42" s="7">
        <f t="shared" si="7"/>
        <v>0.11810672423328761</v>
      </c>
      <c r="G42" s="7">
        <f t="shared" si="7"/>
        <v>0.18656475881986889</v>
      </c>
      <c r="H42" s="7">
        <f t="shared" si="7"/>
        <v>6.5208328850829389E-2</v>
      </c>
      <c r="I42" s="7">
        <f t="shared" si="7"/>
        <v>0.61460025778824745</v>
      </c>
      <c r="J42" s="7">
        <f t="shared" si="7"/>
        <v>0</v>
      </c>
      <c r="K42" s="7">
        <f t="shared" si="7"/>
        <v>0.18503833577541795</v>
      </c>
      <c r="L42" s="7">
        <f t="shared" si="7"/>
        <v>-0.19208653362091666</v>
      </c>
    </row>
    <row r="43" spans="1:14">
      <c r="A43" s="47" t="s">
        <v>74</v>
      </c>
      <c r="B43" s="1"/>
      <c r="C43" s="1"/>
      <c r="D43" s="1"/>
      <c r="E43" s="1"/>
      <c r="F43" s="1"/>
      <c r="G43" s="1"/>
      <c r="H43" s="1"/>
      <c r="I43" s="1"/>
      <c r="J43" s="1"/>
      <c r="K43" s="1"/>
      <c r="L43" s="23">
        <f>(L41/G41)-1</f>
        <v>0.64663301202745438</v>
      </c>
      <c r="M43" s="261"/>
      <c r="N43" s="1"/>
    </row>
    <row r="44" spans="1:14">
      <c r="M44" s="261"/>
      <c r="N44" s="1"/>
    </row>
    <row r="45" spans="1:14">
      <c r="M45" s="261"/>
      <c r="N45" s="1"/>
    </row>
    <row r="46" spans="1:14">
      <c r="A46" s="89" t="s">
        <v>121</v>
      </c>
      <c r="B46" s="121">
        <f t="shared" ref="B46:L46" si="8">B11-B19</f>
        <v>458374</v>
      </c>
      <c r="C46" s="121">
        <f t="shared" si="8"/>
        <v>80179</v>
      </c>
      <c r="D46" s="121">
        <f t="shared" si="8"/>
        <v>256120</v>
      </c>
      <c r="E46" s="121">
        <f t="shared" si="8"/>
        <v>97232</v>
      </c>
      <c r="F46" s="121">
        <f t="shared" si="8"/>
        <v>135128</v>
      </c>
      <c r="G46" s="121">
        <f t="shared" si="8"/>
        <v>243396</v>
      </c>
      <c r="H46" s="121">
        <f t="shared" si="8"/>
        <v>75278</v>
      </c>
      <c r="I46" s="121">
        <f t="shared" si="8"/>
        <v>-604513</v>
      </c>
      <c r="J46" s="121">
        <f t="shared" si="8"/>
        <v>-72660</v>
      </c>
      <c r="K46" s="121">
        <f t="shared" si="8"/>
        <v>-805017</v>
      </c>
      <c r="L46" s="122">
        <f t="shared" si="8"/>
        <v>-905716</v>
      </c>
      <c r="M46" s="261"/>
      <c r="N46" s="1"/>
    </row>
    <row r="47" spans="1:14" s="19" customFormat="1">
      <c r="A47"/>
      <c r="B47"/>
      <c r="C47"/>
      <c r="D47"/>
      <c r="E47"/>
      <c r="F47"/>
      <c r="G47"/>
      <c r="H47"/>
      <c r="I47"/>
      <c r="J47"/>
      <c r="K47"/>
      <c r="L47"/>
      <c r="M47" s="260"/>
    </row>
    <row r="48" spans="1:14">
      <c r="A48" s="88" t="s">
        <v>107</v>
      </c>
      <c r="B48" s="92">
        <v>0</v>
      </c>
      <c r="C48" s="92">
        <v>0</v>
      </c>
      <c r="D48" s="92">
        <v>0</v>
      </c>
      <c r="E48" s="92">
        <v>0</v>
      </c>
      <c r="F48" s="92">
        <v>0</v>
      </c>
      <c r="G48" s="92">
        <v>0</v>
      </c>
      <c r="H48" s="92">
        <v>0</v>
      </c>
      <c r="I48" s="92">
        <v>0</v>
      </c>
      <c r="J48" s="92">
        <v>0</v>
      </c>
      <c r="K48" s="92">
        <v>0</v>
      </c>
      <c r="L48" s="92">
        <v>0</v>
      </c>
    </row>
    <row r="49" spans="1:14">
      <c r="A49" s="88"/>
      <c r="B49" s="254">
        <v>2009</v>
      </c>
      <c r="C49" s="254">
        <v>2010</v>
      </c>
      <c r="D49" s="254">
        <v>2011</v>
      </c>
      <c r="E49" s="254">
        <v>2012</v>
      </c>
      <c r="F49" s="254">
        <v>2013</v>
      </c>
      <c r="G49" s="254">
        <v>2014</v>
      </c>
      <c r="H49" s="254">
        <v>2015</v>
      </c>
      <c r="I49" s="254">
        <v>2016</v>
      </c>
      <c r="J49" s="254">
        <v>2017</v>
      </c>
      <c r="K49" s="254">
        <v>2018</v>
      </c>
      <c r="L49" s="254">
        <v>2019</v>
      </c>
    </row>
    <row r="50" spans="1:14">
      <c r="A50" s="88" t="s">
        <v>160</v>
      </c>
      <c r="B50" s="27"/>
      <c r="C50" s="27"/>
      <c r="D50" s="27">
        <v>0</v>
      </c>
      <c r="E50" s="27">
        <v>0</v>
      </c>
      <c r="F50" s="27">
        <v>0</v>
      </c>
      <c r="G50" s="27">
        <v>0</v>
      </c>
      <c r="H50" s="27">
        <v>0</v>
      </c>
      <c r="I50" s="27">
        <v>0</v>
      </c>
      <c r="J50" s="27">
        <v>0</v>
      </c>
      <c r="K50" s="27">
        <v>0</v>
      </c>
      <c r="L50" s="27">
        <v>0</v>
      </c>
    </row>
    <row r="51" spans="1:14">
      <c r="A51" s="88" t="s">
        <v>161</v>
      </c>
      <c r="B51" s="27">
        <f t="shared" ref="B51:L51" si="9">B19-B50</f>
        <v>645757</v>
      </c>
      <c r="C51" s="27">
        <f t="shared" si="9"/>
        <v>621731</v>
      </c>
      <c r="D51" s="27">
        <f t="shared" si="9"/>
        <v>578036</v>
      </c>
      <c r="E51" s="27">
        <f t="shared" si="9"/>
        <v>560510</v>
      </c>
      <c r="F51" s="27">
        <f t="shared" si="9"/>
        <v>626710</v>
      </c>
      <c r="G51" s="27">
        <f t="shared" si="9"/>
        <v>743632</v>
      </c>
      <c r="H51" s="27">
        <f t="shared" si="9"/>
        <v>792123</v>
      </c>
      <c r="I51" s="27">
        <f t="shared" si="9"/>
        <v>1278962</v>
      </c>
      <c r="J51" s="27">
        <f t="shared" si="9"/>
        <v>1388746</v>
      </c>
      <c r="K51" s="27">
        <f t="shared" si="9"/>
        <v>2884192</v>
      </c>
      <c r="L51" s="27">
        <f t="shared" si="9"/>
        <v>1807501</v>
      </c>
    </row>
    <row r="52" spans="1:14" s="9" customFormat="1">
      <c r="A52"/>
      <c r="B52" s="1"/>
      <c r="C52" s="1"/>
      <c r="D52" s="1"/>
      <c r="E52" s="1"/>
      <c r="F52" s="1"/>
      <c r="G52" s="1"/>
      <c r="H52" s="1"/>
      <c r="I52" s="1"/>
      <c r="J52" s="1"/>
      <c r="K52" s="1"/>
      <c r="L52" s="1"/>
      <c r="M52" s="262"/>
    </row>
    <row r="53" spans="1:14">
      <c r="A53" s="113"/>
      <c r="B53" s="114"/>
      <c r="C53" s="114"/>
      <c r="D53" s="114"/>
      <c r="E53" s="114"/>
      <c r="F53" s="114"/>
      <c r="G53" s="114"/>
      <c r="H53" s="114"/>
      <c r="I53" s="114"/>
      <c r="J53" s="114"/>
      <c r="K53" s="114"/>
      <c r="L53" s="114"/>
    </row>
    <row r="54" spans="1:14">
      <c r="A54" s="9" t="s">
        <v>21</v>
      </c>
      <c r="B54" s="12">
        <f>Stats!D4</f>
        <v>63162</v>
      </c>
      <c r="C54" s="12">
        <f>Stats!E4</f>
        <v>67742</v>
      </c>
      <c r="D54" s="12">
        <f>Stats!F4</f>
        <v>68761</v>
      </c>
      <c r="E54" s="12">
        <f>Stats!G4</f>
        <v>69341</v>
      </c>
      <c r="F54" s="12">
        <f>Stats!H4</f>
        <v>70370</v>
      </c>
      <c r="G54" s="12">
        <f>Stats!I4</f>
        <v>71027</v>
      </c>
      <c r="H54" s="12">
        <f>Stats!J4</f>
        <v>73420</v>
      </c>
      <c r="I54" s="12">
        <f>Stats!K4</f>
        <v>74385</v>
      </c>
      <c r="J54" s="12">
        <f>Stats!L4</f>
        <v>75840</v>
      </c>
      <c r="K54" s="12">
        <f>Stats!M4</f>
        <v>77262</v>
      </c>
      <c r="L54" s="12">
        <f>Stats!N4</f>
        <v>78980</v>
      </c>
    </row>
    <row r="55" spans="1:14">
      <c r="A55" s="9" t="s">
        <v>23</v>
      </c>
      <c r="M55" s="261"/>
      <c r="N55" s="1"/>
    </row>
    <row r="56" spans="1:14">
      <c r="A56" s="9" t="s">
        <v>22</v>
      </c>
      <c r="B56" s="1"/>
      <c r="C56" s="1"/>
      <c r="D56" s="1"/>
      <c r="E56" s="1"/>
      <c r="F56" s="1"/>
      <c r="G56" s="1"/>
      <c r="H56" s="1"/>
      <c r="I56" s="1"/>
      <c r="J56" s="1"/>
      <c r="K56" s="1"/>
      <c r="L56" s="1"/>
      <c r="M56" s="261"/>
      <c r="N56" s="1"/>
    </row>
    <row r="57" spans="1:14">
      <c r="A57" s="9" t="s">
        <v>63</v>
      </c>
      <c r="B57" s="15"/>
      <c r="C57" s="15"/>
      <c r="D57" s="15"/>
      <c r="E57" s="15"/>
      <c r="F57" s="15"/>
      <c r="G57" s="15"/>
      <c r="H57" s="15"/>
      <c r="I57" s="15"/>
      <c r="J57" s="15"/>
      <c r="K57" s="15"/>
      <c r="L57" s="15"/>
      <c r="M57" s="261"/>
      <c r="N57" s="1"/>
    </row>
    <row r="58" spans="1:14">
      <c r="A58" s="40" t="s">
        <v>53</v>
      </c>
      <c r="B58" s="22">
        <v>3.25</v>
      </c>
      <c r="C58" s="22">
        <v>2.75</v>
      </c>
      <c r="D58" s="22">
        <v>2.75</v>
      </c>
      <c r="E58" s="22">
        <v>2.5</v>
      </c>
      <c r="F58" s="22">
        <v>2.5</v>
      </c>
      <c r="G58" s="22">
        <v>2.6</v>
      </c>
      <c r="H58" s="22">
        <v>2.5</v>
      </c>
      <c r="I58" s="22">
        <v>4</v>
      </c>
      <c r="J58" s="22">
        <v>4</v>
      </c>
      <c r="K58" s="22">
        <v>5</v>
      </c>
      <c r="L58" s="22">
        <v>5</v>
      </c>
      <c r="M58" s="261"/>
      <c r="N58" s="1"/>
    </row>
    <row r="59" spans="1:14">
      <c r="A59" s="46" t="s">
        <v>64</v>
      </c>
      <c r="B59" s="41">
        <f t="shared" ref="B59:L59" si="10">SUM(B58:B58)</f>
        <v>3.25</v>
      </c>
      <c r="C59" s="41">
        <f t="shared" si="10"/>
        <v>2.75</v>
      </c>
      <c r="D59" s="41">
        <f t="shared" si="10"/>
        <v>2.75</v>
      </c>
      <c r="E59" s="41">
        <f t="shared" si="10"/>
        <v>2.5</v>
      </c>
      <c r="F59" s="41">
        <f t="shared" si="10"/>
        <v>2.5</v>
      </c>
      <c r="G59" s="41">
        <f t="shared" si="10"/>
        <v>2.6</v>
      </c>
      <c r="H59" s="41">
        <f t="shared" si="10"/>
        <v>2.5</v>
      </c>
      <c r="I59" s="41">
        <f t="shared" si="10"/>
        <v>4</v>
      </c>
      <c r="J59" s="41">
        <f t="shared" si="10"/>
        <v>4</v>
      </c>
      <c r="K59" s="41">
        <f t="shared" si="10"/>
        <v>5</v>
      </c>
      <c r="L59" s="41">
        <f t="shared" si="10"/>
        <v>5</v>
      </c>
    </row>
    <row r="60" spans="1:14">
      <c r="A60" s="45" t="s">
        <v>72</v>
      </c>
      <c r="B60" s="15"/>
      <c r="C60" s="36">
        <f>C59/B59</f>
        <v>0.84615384615384615</v>
      </c>
      <c r="D60" s="36">
        <f t="shared" ref="D60:L60" si="11">D59/C59</f>
        <v>1</v>
      </c>
      <c r="E60" s="36">
        <f t="shared" si="11"/>
        <v>0.90909090909090906</v>
      </c>
      <c r="F60" s="36">
        <f t="shared" si="11"/>
        <v>1</v>
      </c>
      <c r="G60" s="36">
        <f t="shared" si="11"/>
        <v>1.04</v>
      </c>
      <c r="H60" s="36">
        <f t="shared" si="11"/>
        <v>0.96153846153846145</v>
      </c>
      <c r="I60" s="36">
        <f t="shared" si="11"/>
        <v>1.6</v>
      </c>
      <c r="J60" s="36">
        <f t="shared" si="11"/>
        <v>1</v>
      </c>
      <c r="K60" s="36">
        <f t="shared" si="11"/>
        <v>1.25</v>
      </c>
      <c r="L60" s="36">
        <f t="shared" si="11"/>
        <v>1</v>
      </c>
      <c r="M60" s="261"/>
      <c r="N60" s="1"/>
    </row>
    <row r="61" spans="1:14">
      <c r="A61" s="148"/>
      <c r="B61" s="15"/>
      <c r="C61" s="36"/>
      <c r="D61" s="36"/>
      <c r="E61" s="36"/>
      <c r="F61" s="36"/>
      <c r="G61" s="36"/>
      <c r="H61" s="36"/>
      <c r="I61" s="36"/>
      <c r="J61" s="36"/>
      <c r="K61" s="36"/>
      <c r="L61" s="36"/>
      <c r="M61" s="261"/>
      <c r="N61" s="1"/>
    </row>
    <row r="62" spans="1:14">
      <c r="B62" s="1"/>
      <c r="C62" s="1"/>
      <c r="D62" s="1"/>
      <c r="E62" s="1"/>
      <c r="F62" s="1"/>
      <c r="G62" s="1"/>
      <c r="H62" s="1"/>
      <c r="I62" s="1"/>
      <c r="J62" s="1"/>
      <c r="K62" s="1"/>
      <c r="L62" s="1"/>
      <c r="M62" s="261"/>
      <c r="N62" s="1"/>
    </row>
    <row r="63" spans="1:14">
      <c r="N63" s="1"/>
    </row>
    <row r="64" spans="1:14">
      <c r="M64" s="261"/>
      <c r="N64" s="1"/>
    </row>
    <row r="65" spans="1:14">
      <c r="B65" s="1"/>
      <c r="C65" s="1"/>
      <c r="D65" s="1"/>
      <c r="E65" s="1"/>
      <c r="F65" s="1"/>
      <c r="G65" s="1"/>
      <c r="H65" s="1"/>
      <c r="I65" s="1"/>
      <c r="J65" s="1"/>
      <c r="K65" s="1"/>
      <c r="L65" s="1"/>
      <c r="M65" s="261"/>
      <c r="N65" s="1"/>
    </row>
    <row r="66" spans="1:14">
      <c r="A66" t="s">
        <v>75</v>
      </c>
      <c r="B66" s="1"/>
      <c r="C66" s="1"/>
      <c r="D66" s="1"/>
      <c r="E66" s="1"/>
      <c r="F66" s="1"/>
      <c r="G66" s="1"/>
      <c r="H66" s="1"/>
      <c r="I66" s="1"/>
      <c r="J66" s="1"/>
      <c r="K66" s="1"/>
      <c r="L66" s="1"/>
      <c r="M66" s="261"/>
      <c r="N66" s="1"/>
    </row>
    <row r="67" spans="1:14">
      <c r="A67" s="40" t="s">
        <v>53</v>
      </c>
      <c r="B67" s="1">
        <f t="shared" ref="B67:L67" si="12">B34/B58</f>
        <v>198694.46153846153</v>
      </c>
      <c r="C67" s="1">
        <f t="shared" si="12"/>
        <v>173704.72727272726</v>
      </c>
      <c r="D67" s="1">
        <f t="shared" si="12"/>
        <v>160829.81818181818</v>
      </c>
      <c r="E67" s="1">
        <f t="shared" si="12"/>
        <v>167066</v>
      </c>
      <c r="F67" s="1">
        <f t="shared" si="12"/>
        <v>187424</v>
      </c>
      <c r="G67" s="1">
        <f t="shared" si="12"/>
        <v>203382.69230769231</v>
      </c>
      <c r="H67" s="1">
        <f t="shared" si="12"/>
        <v>231728</v>
      </c>
      <c r="I67" s="1">
        <f t="shared" si="12"/>
        <v>248701.75</v>
      </c>
      <c r="J67" s="1">
        <f t="shared" si="12"/>
        <v>248701.75</v>
      </c>
      <c r="K67" s="1">
        <f t="shared" si="12"/>
        <v>224437.8</v>
      </c>
      <c r="L67" s="1">
        <f t="shared" si="12"/>
        <v>184873.60000000001</v>
      </c>
      <c r="M67" s="261"/>
      <c r="N67" s="1"/>
    </row>
    <row r="68" spans="1:14">
      <c r="A68" s="9" t="s">
        <v>66</v>
      </c>
      <c r="B68" s="1">
        <f t="shared" ref="B68:L68" si="13">B41/B59</f>
        <v>198694.46153846153</v>
      </c>
      <c r="C68" s="1">
        <f t="shared" si="13"/>
        <v>226084</v>
      </c>
      <c r="D68" s="1">
        <f t="shared" si="13"/>
        <v>210194.90909090909</v>
      </c>
      <c r="E68" s="1">
        <f t="shared" si="13"/>
        <v>224204</v>
      </c>
      <c r="F68" s="1">
        <f t="shared" si="13"/>
        <v>250684</v>
      </c>
      <c r="G68" s="1">
        <f t="shared" si="13"/>
        <v>286012.30769230769</v>
      </c>
      <c r="H68" s="1">
        <f t="shared" si="13"/>
        <v>316849.2</v>
      </c>
      <c r="I68" s="1">
        <f t="shared" si="13"/>
        <v>319740.5</v>
      </c>
      <c r="J68" s="1">
        <f t="shared" si="13"/>
        <v>319740.5</v>
      </c>
      <c r="K68" s="1">
        <f t="shared" si="13"/>
        <v>303123.8</v>
      </c>
      <c r="L68" s="1">
        <f t="shared" si="13"/>
        <v>244897.8</v>
      </c>
      <c r="M68" s="261"/>
      <c r="N68" s="1"/>
    </row>
    <row r="69" spans="1:14">
      <c r="B69" s="1"/>
      <c r="C69" s="1"/>
      <c r="D69" s="1"/>
      <c r="E69" s="1"/>
      <c r="F69" s="1"/>
      <c r="G69" s="1"/>
      <c r="H69" s="1"/>
      <c r="I69" s="1"/>
      <c r="J69" s="1"/>
      <c r="K69" s="1"/>
      <c r="L69" s="1"/>
      <c r="M69" s="261"/>
      <c r="N69" s="1"/>
    </row>
    <row r="70" spans="1:14">
      <c r="B70" s="254">
        <v>2009</v>
      </c>
      <c r="C70" s="254">
        <v>2010</v>
      </c>
      <c r="D70" s="254">
        <v>2011</v>
      </c>
      <c r="E70" s="254">
        <v>2012</v>
      </c>
      <c r="F70" s="254">
        <v>2013</v>
      </c>
      <c r="G70" s="254">
        <v>2014</v>
      </c>
      <c r="H70" s="254">
        <v>2015</v>
      </c>
      <c r="I70" s="254">
        <v>2016</v>
      </c>
      <c r="J70" s="254">
        <v>2017</v>
      </c>
      <c r="K70" s="254">
        <v>2018</v>
      </c>
      <c r="L70" s="254">
        <v>2019</v>
      </c>
      <c r="M70" s="261"/>
      <c r="N70" s="1"/>
    </row>
    <row r="71" spans="1:14">
      <c r="A71" t="s">
        <v>69</v>
      </c>
      <c r="B71" s="14">
        <f>B58/(B54/1000)</f>
        <v>5.1454988759063992E-2</v>
      </c>
      <c r="C71" s="14">
        <f t="shared" ref="C71:L71" si="14">C58/(C54/1000)</f>
        <v>4.0595199433143395E-2</v>
      </c>
      <c r="D71" s="14">
        <f t="shared" si="14"/>
        <v>3.9993601023836187E-2</v>
      </c>
      <c r="E71" s="14">
        <f t="shared" si="14"/>
        <v>3.6053705599861555E-2</v>
      </c>
      <c r="F71" s="14">
        <f t="shared" si="14"/>
        <v>3.5526502771067212E-2</v>
      </c>
      <c r="G71" s="14">
        <f t="shared" si="14"/>
        <v>3.6605797795204641E-2</v>
      </c>
      <c r="H71" s="14">
        <f t="shared" si="14"/>
        <v>3.4050667393080901E-2</v>
      </c>
      <c r="I71" s="14">
        <f t="shared" si="14"/>
        <v>5.3774282449418565E-2</v>
      </c>
      <c r="J71" s="14">
        <f t="shared" si="14"/>
        <v>5.2742616033755269E-2</v>
      </c>
      <c r="K71" s="14">
        <f t="shared" si="14"/>
        <v>6.4714866299086224E-2</v>
      </c>
      <c r="L71" s="14">
        <f t="shared" si="14"/>
        <v>6.3307166371233223E-2</v>
      </c>
      <c r="M71" s="261"/>
      <c r="N71" s="1"/>
    </row>
    <row r="72" spans="1:14">
      <c r="A72" t="s">
        <v>67</v>
      </c>
      <c r="B72" s="14">
        <f t="shared" ref="B72:L72" si="15">B59/(B54/1000)</f>
        <v>5.1454988759063992E-2</v>
      </c>
      <c r="C72" s="14">
        <f t="shared" si="15"/>
        <v>4.0595199433143395E-2</v>
      </c>
      <c r="D72" s="14">
        <f t="shared" si="15"/>
        <v>3.9993601023836187E-2</v>
      </c>
      <c r="E72" s="14">
        <f t="shared" si="15"/>
        <v>3.6053705599861555E-2</v>
      </c>
      <c r="F72" s="14">
        <f t="shared" si="15"/>
        <v>3.5526502771067212E-2</v>
      </c>
      <c r="G72" s="14">
        <f t="shared" si="15"/>
        <v>3.6605797795204641E-2</v>
      </c>
      <c r="H72" s="14">
        <f t="shared" si="15"/>
        <v>3.4050667393080901E-2</v>
      </c>
      <c r="I72" s="14">
        <f t="shared" si="15"/>
        <v>5.3774282449418565E-2</v>
      </c>
      <c r="J72" s="14">
        <f t="shared" si="15"/>
        <v>5.2742616033755269E-2</v>
      </c>
      <c r="K72" s="14">
        <f t="shared" si="15"/>
        <v>6.4714866299086224E-2</v>
      </c>
      <c r="L72" s="14">
        <f t="shared" si="15"/>
        <v>6.3307166371233223E-2</v>
      </c>
      <c r="M72" s="261"/>
      <c r="N72" s="1"/>
    </row>
    <row r="73" spans="1:14">
      <c r="M73" s="261"/>
      <c r="N73" s="1"/>
    </row>
    <row r="74" spans="1:14">
      <c r="M74" s="261"/>
      <c r="N74" s="1"/>
    </row>
    <row r="76" spans="1:14">
      <c r="M76" s="261"/>
      <c r="N76" s="1"/>
    </row>
    <row r="78" spans="1:14">
      <c r="M78" s="261"/>
      <c r="N78" s="1"/>
    </row>
    <row r="79" spans="1:14">
      <c r="M79" s="261"/>
      <c r="N79" s="1"/>
    </row>
    <row r="80" spans="1:14">
      <c r="M80" s="261"/>
      <c r="N80" s="1"/>
    </row>
    <row r="81" spans="1:14">
      <c r="M81" s="334"/>
      <c r="N81" s="1"/>
    </row>
    <row r="82" spans="1:14">
      <c r="M82" s="334"/>
      <c r="N82" s="1"/>
    </row>
    <row r="83" spans="1:14">
      <c r="A83" s="17"/>
      <c r="B83" s="17"/>
      <c r="C83" s="17"/>
      <c r="D83" s="17"/>
      <c r="E83" s="17"/>
      <c r="F83" s="17"/>
      <c r="G83" s="17"/>
      <c r="H83" s="17"/>
      <c r="I83" s="17"/>
      <c r="J83" s="17"/>
      <c r="K83" s="17"/>
      <c r="L83" s="17"/>
      <c r="M83" s="334"/>
      <c r="N83" s="1"/>
    </row>
    <row r="84" spans="1:14">
      <c r="M84" s="334"/>
      <c r="N84" s="1"/>
    </row>
    <row r="85" spans="1:14">
      <c r="M85" s="259"/>
    </row>
    <row r="86" spans="1:14">
      <c r="M86" s="334"/>
      <c r="N86" s="1"/>
    </row>
    <row r="87" spans="1:14">
      <c r="M87" s="334"/>
      <c r="N87" s="1"/>
    </row>
    <row r="88" spans="1:14">
      <c r="M88" s="334"/>
      <c r="N88" s="1"/>
    </row>
    <row r="89" spans="1:14" s="17" customFormat="1">
      <c r="A89"/>
      <c r="B89"/>
      <c r="C89"/>
      <c r="D89"/>
      <c r="E89"/>
      <c r="F89"/>
      <c r="G89"/>
      <c r="H89"/>
      <c r="I89"/>
      <c r="J89"/>
      <c r="K89"/>
      <c r="L89"/>
      <c r="M89" s="335"/>
      <c r="N89" s="33"/>
    </row>
    <row r="90" spans="1:14">
      <c r="M90" s="334"/>
      <c r="N90" s="1"/>
    </row>
    <row r="91" spans="1:14">
      <c r="M91" s="334"/>
      <c r="N91" s="1"/>
    </row>
    <row r="92" spans="1:14">
      <c r="M92" s="334"/>
      <c r="N92" s="1"/>
    </row>
    <row r="93" spans="1:14">
      <c r="M93" s="334"/>
      <c r="N93" s="1"/>
    </row>
    <row r="94" spans="1:14">
      <c r="M94" s="334"/>
      <c r="N94" s="1"/>
    </row>
    <row r="95" spans="1:14">
      <c r="M95" s="334"/>
      <c r="N95" s="1"/>
    </row>
    <row r="96" spans="1:14">
      <c r="M96" s="334"/>
      <c r="N96" s="1"/>
    </row>
    <row r="97" spans="13:14">
      <c r="M97" s="334"/>
      <c r="N97" s="1"/>
    </row>
    <row r="98" spans="13:14">
      <c r="M98" s="334"/>
      <c r="N98" s="1"/>
    </row>
    <row r="99" spans="13:14">
      <c r="M99" s="334"/>
      <c r="N99" s="1"/>
    </row>
    <row r="100" spans="13:14">
      <c r="M100" s="334"/>
      <c r="N100" s="1"/>
    </row>
    <row r="101" spans="13:14">
      <c r="M101" s="334"/>
      <c r="N101" s="1"/>
    </row>
    <row r="102" spans="13:14">
      <c r="M102" s="334"/>
      <c r="N102" s="1"/>
    </row>
    <row r="103" spans="13:14">
      <c r="M103" s="259"/>
    </row>
    <row r="104" spans="13:14">
      <c r="M104" s="259"/>
    </row>
    <row r="105" spans="13:14">
      <c r="M105" s="259"/>
    </row>
    <row r="106" spans="13:14">
      <c r="M106" s="259"/>
    </row>
    <row r="107" spans="13:14">
      <c r="M107" s="259"/>
    </row>
    <row r="108" spans="13:14">
      <c r="M108" s="259"/>
    </row>
    <row r="109" spans="13:14">
      <c r="M109" s="259"/>
    </row>
    <row r="110" spans="13:14">
      <c r="M110" s="259"/>
    </row>
    <row r="111" spans="13:14">
      <c r="M111" s="259"/>
    </row>
    <row r="112" spans="13:14">
      <c r="M112" s="259"/>
    </row>
    <row r="113" spans="13:13">
      <c r="M113" s="259"/>
    </row>
    <row r="114" spans="13:13">
      <c r="M114" s="259"/>
    </row>
    <row r="115" spans="13:13">
      <c r="M115" s="259"/>
    </row>
    <row r="116" spans="13:13">
      <c r="M116" s="259"/>
    </row>
    <row r="117" spans="13:13">
      <c r="M117" s="259"/>
    </row>
    <row r="118" spans="13:13">
      <c r="M118" s="259"/>
    </row>
    <row r="119" spans="13:13">
      <c r="M119" s="259"/>
    </row>
    <row r="120" spans="13:13">
      <c r="M120" s="259"/>
    </row>
    <row r="121" spans="13:13">
      <c r="M121" s="259"/>
    </row>
    <row r="122" spans="13:13">
      <c r="M122" s="259"/>
    </row>
    <row r="123" spans="13:13">
      <c r="M123" s="259"/>
    </row>
    <row r="124" spans="13:13">
      <c r="M124" s="259"/>
    </row>
    <row r="125" spans="13:13">
      <c r="M125" s="259"/>
    </row>
    <row r="126" spans="13:13">
      <c r="M126" s="259"/>
    </row>
    <row r="127" spans="13:13">
      <c r="M127" s="259"/>
    </row>
    <row r="128" spans="13:13">
      <c r="M128" s="259"/>
    </row>
    <row r="129" spans="13:13">
      <c r="M129" s="259"/>
    </row>
    <row r="130" spans="13:13">
      <c r="M130" s="259"/>
    </row>
    <row r="131" spans="13:13">
      <c r="M131" s="259"/>
    </row>
    <row r="132" spans="13:13">
      <c r="M132" s="259"/>
    </row>
    <row r="133" spans="13:13">
      <c r="M133" s="259"/>
    </row>
    <row r="134" spans="13:13">
      <c r="M134" s="259"/>
    </row>
    <row r="135" spans="13:13">
      <c r="M135" s="259"/>
    </row>
    <row r="136" spans="13:13">
      <c r="M136" s="259"/>
    </row>
    <row r="137" spans="13:13">
      <c r="M137" s="259"/>
    </row>
    <row r="138" spans="13:13">
      <c r="M138" s="259"/>
    </row>
    <row r="139" spans="13:13">
      <c r="M139" s="259"/>
    </row>
    <row r="140" spans="13:13">
      <c r="M140" s="259"/>
    </row>
    <row r="141" spans="13:13">
      <c r="M141" s="259"/>
    </row>
    <row r="142" spans="13:13">
      <c r="M142" s="259"/>
    </row>
    <row r="143" spans="13:13">
      <c r="M143" s="259"/>
    </row>
    <row r="144" spans="13:13">
      <c r="M144" s="259"/>
    </row>
    <row r="145" spans="13:13">
      <c r="M145" s="259"/>
    </row>
    <row r="146" spans="13:13">
      <c r="M146" s="259"/>
    </row>
    <row r="147" spans="13:13">
      <c r="M147" s="259"/>
    </row>
    <row r="148" spans="13:13">
      <c r="M148" s="259"/>
    </row>
    <row r="149" spans="13:13">
      <c r="M149" s="259"/>
    </row>
    <row r="150" spans="13:13">
      <c r="M150" s="259"/>
    </row>
    <row r="151" spans="13:13">
      <c r="M151" s="259"/>
    </row>
    <row r="152" spans="13:13">
      <c r="M152" s="259"/>
    </row>
    <row r="153" spans="13:13">
      <c r="M153" s="259"/>
    </row>
    <row r="154" spans="13:13">
      <c r="M154" s="259"/>
    </row>
    <row r="155" spans="13:13">
      <c r="M155" s="259"/>
    </row>
    <row r="156" spans="13:13">
      <c r="M156" s="259"/>
    </row>
    <row r="157" spans="13:13">
      <c r="M157" s="259"/>
    </row>
    <row r="158" spans="13:13">
      <c r="M158" s="259"/>
    </row>
    <row r="159" spans="13:13">
      <c r="M159" s="259"/>
    </row>
    <row r="160" spans="13:13">
      <c r="M160" s="259"/>
    </row>
    <row r="161" spans="13:13">
      <c r="M161" s="259"/>
    </row>
    <row r="162" spans="13:13">
      <c r="M162" s="259"/>
    </row>
    <row r="163" spans="13:13">
      <c r="M163" s="259"/>
    </row>
    <row r="164" spans="13:13">
      <c r="M164" s="259"/>
    </row>
    <row r="165" spans="13:13">
      <c r="M165" s="259"/>
    </row>
    <row r="166" spans="13:13">
      <c r="M166" s="259"/>
    </row>
    <row r="167" spans="13:13">
      <c r="M167" s="259"/>
    </row>
    <row r="168" spans="13:13">
      <c r="M168" s="259"/>
    </row>
    <row r="169" spans="13:13">
      <c r="M169" s="259"/>
    </row>
    <row r="170" spans="13:13">
      <c r="M170" s="259"/>
    </row>
    <row r="171" spans="13:13">
      <c r="M171" s="259"/>
    </row>
    <row r="172" spans="13:13">
      <c r="M172" s="259"/>
    </row>
    <row r="173" spans="13:13">
      <c r="M173" s="259"/>
    </row>
    <row r="174" spans="13:13">
      <c r="M174" s="259"/>
    </row>
    <row r="175" spans="13:13">
      <c r="M175" s="259"/>
    </row>
    <row r="176" spans="13:13">
      <c r="M176" s="259"/>
    </row>
    <row r="177" spans="13:13">
      <c r="M177" s="259"/>
    </row>
    <row r="178" spans="13:13">
      <c r="M178" s="259"/>
    </row>
    <row r="179" spans="13:13">
      <c r="M179" s="259"/>
    </row>
    <row r="180" spans="13:13">
      <c r="M180" s="259"/>
    </row>
    <row r="181" spans="13:13">
      <c r="M181" s="259"/>
    </row>
    <row r="182" spans="13:13">
      <c r="M182" s="259"/>
    </row>
    <row r="183" spans="13:13">
      <c r="M183" s="259"/>
    </row>
    <row r="184" spans="13:13">
      <c r="M184" s="259"/>
    </row>
    <row r="185" spans="13:13">
      <c r="M185" s="259"/>
    </row>
    <row r="186" spans="13:13">
      <c r="M186" s="259"/>
    </row>
    <row r="187" spans="13:13">
      <c r="M187" s="259"/>
    </row>
    <row r="188" spans="13:13">
      <c r="M188" s="259"/>
    </row>
    <row r="189" spans="13:13">
      <c r="M189" s="259"/>
    </row>
    <row r="190" spans="13:13">
      <c r="M190" s="259"/>
    </row>
    <row r="191" spans="13:13">
      <c r="M191" s="259"/>
    </row>
    <row r="192" spans="13:13">
      <c r="M192" s="259"/>
    </row>
    <row r="193" spans="13:13">
      <c r="M193" s="259"/>
    </row>
    <row r="194" spans="13:13">
      <c r="M194" s="259"/>
    </row>
    <row r="195" spans="13:13">
      <c r="M195" s="259"/>
    </row>
    <row r="196" spans="13:13">
      <c r="M196" s="259"/>
    </row>
    <row r="197" spans="13:13">
      <c r="M197" s="259"/>
    </row>
    <row r="198" spans="13:13">
      <c r="M198" s="259"/>
    </row>
    <row r="199" spans="13:13">
      <c r="M199" s="259"/>
    </row>
    <row r="200" spans="13:13">
      <c r="M200" s="259"/>
    </row>
    <row r="201" spans="13:13">
      <c r="M201" s="259"/>
    </row>
    <row r="202" spans="13:13">
      <c r="M202" s="259"/>
    </row>
    <row r="203" spans="13:13">
      <c r="M203" s="259"/>
    </row>
    <row r="204" spans="13:13">
      <c r="M204" s="259"/>
    </row>
    <row r="205" spans="13:13">
      <c r="M205" s="259"/>
    </row>
    <row r="206" spans="13:13">
      <c r="M206" s="259"/>
    </row>
    <row r="207" spans="13:13">
      <c r="M207" s="259"/>
    </row>
    <row r="208" spans="13:13">
      <c r="M208" s="259"/>
    </row>
    <row r="209" spans="13:13">
      <c r="M209" s="259"/>
    </row>
    <row r="210" spans="13:13">
      <c r="M210" s="259"/>
    </row>
    <row r="211" spans="13:13">
      <c r="M211" s="259"/>
    </row>
    <row r="212" spans="13:13">
      <c r="M212" s="259"/>
    </row>
    <row r="213" spans="13:13">
      <c r="M213" s="259"/>
    </row>
    <row r="214" spans="13:13">
      <c r="M214" s="259"/>
    </row>
    <row r="215" spans="13:13">
      <c r="M215" s="259"/>
    </row>
    <row r="216" spans="13:13">
      <c r="M216" s="259"/>
    </row>
    <row r="217" spans="13:13">
      <c r="M217" s="259"/>
    </row>
    <row r="218" spans="13:13">
      <c r="M218" s="259"/>
    </row>
    <row r="219" spans="13:13">
      <c r="M219" s="259"/>
    </row>
    <row r="220" spans="13:13">
      <c r="M220" s="259"/>
    </row>
    <row r="221" spans="13:13">
      <c r="M221" s="259"/>
    </row>
    <row r="222" spans="13:13">
      <c r="M222" s="259"/>
    </row>
    <row r="223" spans="13:13">
      <c r="M223" s="259"/>
    </row>
    <row r="224" spans="13:13">
      <c r="M224" s="259"/>
    </row>
    <row r="225" spans="13:13">
      <c r="M225" s="259"/>
    </row>
    <row r="226" spans="13:13">
      <c r="M226" s="259"/>
    </row>
    <row r="227" spans="13:13">
      <c r="M227" s="259"/>
    </row>
    <row r="228" spans="13:13">
      <c r="M228" s="259"/>
    </row>
    <row r="229" spans="13:13">
      <c r="M229" s="259"/>
    </row>
    <row r="230" spans="13:13">
      <c r="M230" s="259"/>
    </row>
    <row r="231" spans="13:13">
      <c r="M231" s="259"/>
    </row>
    <row r="232" spans="13:13">
      <c r="M232" s="259"/>
    </row>
    <row r="233" spans="13:13">
      <c r="M233" s="259"/>
    </row>
    <row r="234" spans="13:13">
      <c r="M234" s="259"/>
    </row>
    <row r="235" spans="13:13">
      <c r="M235" s="259"/>
    </row>
    <row r="236" spans="13:13">
      <c r="M236" s="259"/>
    </row>
    <row r="237" spans="13:13">
      <c r="M237" s="259"/>
    </row>
    <row r="238" spans="13:13">
      <c r="M238" s="259"/>
    </row>
    <row r="239" spans="13:13">
      <c r="M239" s="259"/>
    </row>
    <row r="240" spans="13:13">
      <c r="M240" s="259"/>
    </row>
    <row r="241" spans="13:13">
      <c r="M241" s="259"/>
    </row>
    <row r="242" spans="13:13">
      <c r="M242" s="259"/>
    </row>
    <row r="243" spans="13:13">
      <c r="M243" s="259"/>
    </row>
    <row r="244" spans="13:13">
      <c r="M244" s="259"/>
    </row>
    <row r="245" spans="13:13">
      <c r="M245" s="259"/>
    </row>
    <row r="246" spans="13:13">
      <c r="M246" s="259"/>
    </row>
    <row r="247" spans="13:13">
      <c r="M247" s="259"/>
    </row>
    <row r="248" spans="13:13">
      <c r="M248" s="259"/>
    </row>
    <row r="249" spans="13:13">
      <c r="M249" s="259"/>
    </row>
    <row r="250" spans="13:13">
      <c r="M250" s="259"/>
    </row>
    <row r="251" spans="13:13">
      <c r="M251" s="259"/>
    </row>
    <row r="252" spans="13:13">
      <c r="M252" s="259"/>
    </row>
    <row r="253" spans="13:13">
      <c r="M253" s="259"/>
    </row>
    <row r="254" spans="13:13">
      <c r="M254" s="259"/>
    </row>
    <row r="255" spans="13:13">
      <c r="M255" s="259"/>
    </row>
    <row r="256" spans="13:13">
      <c r="M256" s="259"/>
    </row>
    <row r="257" spans="13:13">
      <c r="M257" s="259"/>
    </row>
    <row r="258" spans="13:13">
      <c r="M258" s="259"/>
    </row>
    <row r="259" spans="13:13">
      <c r="M259" s="259"/>
    </row>
    <row r="260" spans="13:13">
      <c r="M260" s="259"/>
    </row>
    <row r="261" spans="13:13">
      <c r="M261" s="259"/>
    </row>
    <row r="262" spans="13:13">
      <c r="M262" s="259"/>
    </row>
    <row r="263" spans="13:13">
      <c r="M263" s="259"/>
    </row>
    <row r="264" spans="13:13">
      <c r="M264" s="259"/>
    </row>
    <row r="265" spans="13:13">
      <c r="M265" s="259"/>
    </row>
    <row r="266" spans="13:13">
      <c r="M266" s="259"/>
    </row>
    <row r="267" spans="13:13">
      <c r="M267" s="259"/>
    </row>
    <row r="268" spans="13:13">
      <c r="M268" s="259"/>
    </row>
    <row r="269" spans="13:13">
      <c r="M269" s="259"/>
    </row>
    <row r="270" spans="13:13">
      <c r="M270" s="259"/>
    </row>
    <row r="271" spans="13:13">
      <c r="M271" s="259"/>
    </row>
    <row r="272" spans="13:13">
      <c r="M272" s="259"/>
    </row>
    <row r="273" spans="13:13">
      <c r="M273" s="259"/>
    </row>
    <row r="274" spans="13:13">
      <c r="M274" s="259"/>
    </row>
    <row r="275" spans="13:13">
      <c r="M275" s="259"/>
    </row>
    <row r="276" spans="13:13">
      <c r="M276" s="259"/>
    </row>
    <row r="277" spans="13:13">
      <c r="M277" s="259"/>
    </row>
    <row r="278" spans="13:13">
      <c r="M278" s="259"/>
    </row>
    <row r="279" spans="13:13">
      <c r="M279" s="259"/>
    </row>
    <row r="280" spans="13:13">
      <c r="M280" s="259"/>
    </row>
    <row r="281" spans="13:13">
      <c r="M281" s="259"/>
    </row>
    <row r="282" spans="13:13">
      <c r="M282" s="259"/>
    </row>
    <row r="283" spans="13:13">
      <c r="M283" s="259"/>
    </row>
    <row r="284" spans="13:13">
      <c r="M284" s="259"/>
    </row>
    <row r="285" spans="13:13">
      <c r="M285" s="259"/>
    </row>
    <row r="286" spans="13:13">
      <c r="M286" s="259"/>
    </row>
    <row r="287" spans="13:13">
      <c r="M287" s="259"/>
    </row>
    <row r="288" spans="13:13">
      <c r="M288" s="259"/>
    </row>
    <row r="289" spans="13:13">
      <c r="M289" s="259"/>
    </row>
    <row r="290" spans="13:13">
      <c r="M290" s="259"/>
    </row>
    <row r="291" spans="13:13">
      <c r="M291" s="259"/>
    </row>
    <row r="292" spans="13:13">
      <c r="M292" s="259"/>
    </row>
    <row r="293" spans="13:13">
      <c r="M293" s="259"/>
    </row>
    <row r="294" spans="13:13">
      <c r="M294" s="259"/>
    </row>
    <row r="295" spans="13:13">
      <c r="M295" s="259"/>
    </row>
    <row r="296" spans="13:13">
      <c r="M296" s="259"/>
    </row>
    <row r="297" spans="13:13">
      <c r="M297" s="259"/>
    </row>
    <row r="298" spans="13:13">
      <c r="M298" s="259"/>
    </row>
    <row r="299" spans="13:13">
      <c r="M299" s="259"/>
    </row>
    <row r="300" spans="13:13">
      <c r="M300" s="259"/>
    </row>
    <row r="301" spans="13:13">
      <c r="M301" s="259"/>
    </row>
    <row r="302" spans="13:13">
      <c r="M302" s="259"/>
    </row>
    <row r="303" spans="13:13">
      <c r="M303" s="259"/>
    </row>
    <row r="304" spans="13:13">
      <c r="M304" s="259"/>
    </row>
    <row r="305" spans="13:13">
      <c r="M305" s="259"/>
    </row>
    <row r="306" spans="13:13">
      <c r="M306" s="259"/>
    </row>
    <row r="307" spans="13:13">
      <c r="M307" s="259"/>
    </row>
    <row r="308" spans="13:13">
      <c r="M308" s="259"/>
    </row>
    <row r="309" spans="13:13">
      <c r="M309" s="259"/>
    </row>
    <row r="310" spans="13:13">
      <c r="M310" s="259"/>
    </row>
    <row r="311" spans="13:13">
      <c r="M311" s="259"/>
    </row>
    <row r="312" spans="13:13">
      <c r="M312" s="259"/>
    </row>
    <row r="313" spans="13:13">
      <c r="M313" s="259"/>
    </row>
    <row r="314" spans="13:13">
      <c r="M314" s="259"/>
    </row>
    <row r="315" spans="13:13">
      <c r="M315" s="259"/>
    </row>
    <row r="316" spans="13:13">
      <c r="M316" s="259"/>
    </row>
    <row r="317" spans="13:13">
      <c r="M317" s="259"/>
    </row>
    <row r="318" spans="13:13">
      <c r="M318" s="259"/>
    </row>
    <row r="319" spans="13:13">
      <c r="M319" s="259"/>
    </row>
    <row r="320" spans="13:13">
      <c r="M320" s="259"/>
    </row>
    <row r="321" spans="13:13">
      <c r="M321" s="259"/>
    </row>
    <row r="322" spans="13:13">
      <c r="M322" s="259"/>
    </row>
    <row r="323" spans="13:13">
      <c r="M323" s="259"/>
    </row>
    <row r="324" spans="13:13">
      <c r="M324" s="259"/>
    </row>
    <row r="325" spans="13:13">
      <c r="M325" s="259"/>
    </row>
    <row r="326" spans="13:13">
      <c r="M326" s="259"/>
    </row>
    <row r="327" spans="13:13">
      <c r="M327" s="259"/>
    </row>
    <row r="328" spans="13:13">
      <c r="M328" s="259"/>
    </row>
    <row r="329" spans="13:13">
      <c r="M329" s="259"/>
    </row>
    <row r="330" spans="13:13">
      <c r="M330" s="259"/>
    </row>
    <row r="331" spans="13:13">
      <c r="M331" s="259"/>
    </row>
    <row r="332" spans="13:13">
      <c r="M332" s="259"/>
    </row>
    <row r="333" spans="13:13">
      <c r="M333" s="259"/>
    </row>
    <row r="334" spans="13:13">
      <c r="M334" s="259"/>
    </row>
    <row r="335" spans="13:13">
      <c r="M335" s="259"/>
    </row>
    <row r="336" spans="13:13">
      <c r="M336" s="259"/>
    </row>
    <row r="337" spans="13:13">
      <c r="M337" s="259"/>
    </row>
    <row r="338" spans="13:13">
      <c r="M338" s="259"/>
    </row>
    <row r="339" spans="13:13">
      <c r="M339" s="259"/>
    </row>
    <row r="340" spans="13:13">
      <c r="M340" s="259"/>
    </row>
    <row r="341" spans="13:13">
      <c r="M341" s="259"/>
    </row>
    <row r="342" spans="13:13">
      <c r="M342" s="259"/>
    </row>
    <row r="343" spans="13:13">
      <c r="M343" s="259"/>
    </row>
    <row r="344" spans="13:13">
      <c r="M344" s="259"/>
    </row>
    <row r="345" spans="13:13">
      <c r="M345" s="259"/>
    </row>
    <row r="346" spans="13:13">
      <c r="M346" s="259"/>
    </row>
    <row r="347" spans="13:13">
      <c r="M347" s="259"/>
    </row>
    <row r="348" spans="13:13">
      <c r="M348" s="259"/>
    </row>
    <row r="349" spans="13:13">
      <c r="M349" s="259"/>
    </row>
    <row r="350" spans="13:13">
      <c r="M350" s="259"/>
    </row>
    <row r="351" spans="13:13">
      <c r="M351" s="259"/>
    </row>
    <row r="352" spans="13:13">
      <c r="M352" s="259"/>
    </row>
    <row r="353" spans="13:13">
      <c r="M353" s="259"/>
    </row>
    <row r="354" spans="13:13">
      <c r="M354" s="259"/>
    </row>
    <row r="355" spans="13:13">
      <c r="M355" s="259"/>
    </row>
    <row r="356" spans="13:13">
      <c r="M356" s="259"/>
    </row>
    <row r="357" spans="13:13">
      <c r="M357" s="259"/>
    </row>
    <row r="358" spans="13:13">
      <c r="M358" s="259"/>
    </row>
    <row r="359" spans="13:13">
      <c r="M359" s="259"/>
    </row>
    <row r="360" spans="13:13">
      <c r="M360" s="259"/>
    </row>
    <row r="361" spans="13:13">
      <c r="M361" s="259"/>
    </row>
    <row r="362" spans="13:13">
      <c r="M362" s="259"/>
    </row>
    <row r="363" spans="13:13">
      <c r="M363" s="259"/>
    </row>
    <row r="364" spans="13:13">
      <c r="M364" s="259"/>
    </row>
    <row r="365" spans="13:13">
      <c r="M365" s="259"/>
    </row>
    <row r="366" spans="13:13">
      <c r="M366" s="259"/>
    </row>
    <row r="367" spans="13:13">
      <c r="M367" s="259"/>
    </row>
    <row r="368" spans="13:13">
      <c r="M368" s="259"/>
    </row>
    <row r="369" spans="13:13">
      <c r="M369" s="259"/>
    </row>
    <row r="370" spans="13:13">
      <c r="M370" s="259"/>
    </row>
    <row r="371" spans="13:13">
      <c r="M371" s="259"/>
    </row>
    <row r="372" spans="13:13">
      <c r="M372" s="259"/>
    </row>
    <row r="373" spans="13:13">
      <c r="M373" s="259"/>
    </row>
    <row r="374" spans="13:13">
      <c r="M374" s="259"/>
    </row>
    <row r="375" spans="13:13">
      <c r="M375" s="259"/>
    </row>
    <row r="376" spans="13:13">
      <c r="M376" s="259"/>
    </row>
    <row r="377" spans="13:13">
      <c r="M377" s="259"/>
    </row>
    <row r="378" spans="13:13">
      <c r="M378" s="259"/>
    </row>
    <row r="379" spans="13:13">
      <c r="M379" s="259"/>
    </row>
    <row r="380" spans="13:13">
      <c r="M380" s="259"/>
    </row>
    <row r="381" spans="13:13">
      <c r="M381" s="259"/>
    </row>
    <row r="382" spans="13:13">
      <c r="M382" s="259"/>
    </row>
    <row r="383" spans="13:13">
      <c r="M383" s="259"/>
    </row>
    <row r="384" spans="13:13">
      <c r="M384" s="259"/>
    </row>
    <row r="385" spans="13:13">
      <c r="M385" s="259"/>
    </row>
    <row r="386" spans="13:13">
      <c r="M386" s="259"/>
    </row>
    <row r="387" spans="13:13">
      <c r="M387" s="259"/>
    </row>
    <row r="388" spans="13:13">
      <c r="M388" s="259"/>
    </row>
    <row r="389" spans="13:13">
      <c r="M389" s="259"/>
    </row>
    <row r="390" spans="13:13">
      <c r="M390" s="259"/>
    </row>
    <row r="391" spans="13:13">
      <c r="M391" s="259"/>
    </row>
    <row r="392" spans="13:13">
      <c r="M392" s="259"/>
    </row>
    <row r="393" spans="13:13">
      <c r="M393" s="259"/>
    </row>
    <row r="394" spans="13:13">
      <c r="M394" s="259"/>
    </row>
    <row r="395" spans="13:13">
      <c r="M395" s="259"/>
    </row>
    <row r="396" spans="13:13">
      <c r="M396" s="259"/>
    </row>
    <row r="397" spans="13:13">
      <c r="M397" s="259"/>
    </row>
    <row r="398" spans="13:13">
      <c r="M398" s="259"/>
    </row>
    <row r="399" spans="13:13">
      <c r="M399" s="259"/>
    </row>
    <row r="400" spans="13:13">
      <c r="M400" s="259"/>
    </row>
    <row r="401" spans="13:13">
      <c r="M401" s="259"/>
    </row>
    <row r="402" spans="13:13">
      <c r="M402" s="259"/>
    </row>
    <row r="403" spans="13:13">
      <c r="M403" s="259"/>
    </row>
    <row r="404" spans="13:13">
      <c r="M404" s="259"/>
    </row>
    <row r="405" spans="13:13">
      <c r="M405" s="259"/>
    </row>
    <row r="406" spans="13:13">
      <c r="M406" s="259"/>
    </row>
    <row r="407" spans="13:13">
      <c r="M407" s="259"/>
    </row>
    <row r="408" spans="13:13">
      <c r="M408" s="259"/>
    </row>
    <row r="409" spans="13:13">
      <c r="M409" s="259"/>
    </row>
    <row r="410" spans="13:13">
      <c r="M410" s="259"/>
    </row>
    <row r="411" spans="13:13">
      <c r="M411" s="259"/>
    </row>
    <row r="412" spans="13:13">
      <c r="M412" s="259"/>
    </row>
    <row r="413" spans="13:13">
      <c r="M413" s="259"/>
    </row>
    <row r="414" spans="13:13">
      <c r="M414" s="259"/>
    </row>
    <row r="415" spans="13:13">
      <c r="M415" s="259"/>
    </row>
    <row r="416" spans="13:13">
      <c r="M416" s="259"/>
    </row>
    <row r="417" spans="13:13">
      <c r="M417" s="259"/>
    </row>
    <row r="418" spans="13:13">
      <c r="M418" s="259"/>
    </row>
    <row r="419" spans="13:13">
      <c r="M419" s="259"/>
    </row>
    <row r="420" spans="13:13">
      <c r="M420" s="259"/>
    </row>
    <row r="421" spans="13:13">
      <c r="M421" s="259"/>
    </row>
    <row r="422" spans="13:13">
      <c r="M422" s="259"/>
    </row>
    <row r="423" spans="13:13">
      <c r="M423" s="259"/>
    </row>
    <row r="424" spans="13:13">
      <c r="M424" s="259"/>
    </row>
    <row r="425" spans="13:13">
      <c r="M425" s="259"/>
    </row>
    <row r="426" spans="13:13">
      <c r="M426" s="259"/>
    </row>
    <row r="427" spans="13:13">
      <c r="M427" s="259"/>
    </row>
    <row r="428" spans="13:13">
      <c r="M428" s="259"/>
    </row>
    <row r="429" spans="13:13">
      <c r="M429" s="259"/>
    </row>
    <row r="430" spans="13:13">
      <c r="M430" s="259"/>
    </row>
    <row r="431" spans="13:13">
      <c r="M431" s="259"/>
    </row>
    <row r="432" spans="13:13">
      <c r="M432" s="259"/>
    </row>
    <row r="433" spans="13:13">
      <c r="M433" s="259"/>
    </row>
    <row r="434" spans="13:13">
      <c r="M434" s="259"/>
    </row>
    <row r="435" spans="13:13">
      <c r="M435" s="259"/>
    </row>
    <row r="436" spans="13:13">
      <c r="M436" s="259"/>
    </row>
    <row r="437" spans="13:13">
      <c r="M437" s="259"/>
    </row>
    <row r="438" spans="13:13">
      <c r="M438" s="259"/>
    </row>
    <row r="439" spans="13:13">
      <c r="M439" s="259"/>
    </row>
    <row r="440" spans="13:13">
      <c r="M440" s="259"/>
    </row>
    <row r="441" spans="13:13">
      <c r="M441" s="259"/>
    </row>
    <row r="442" spans="13:13">
      <c r="M442" s="259"/>
    </row>
    <row r="443" spans="13:13">
      <c r="M443" s="259"/>
    </row>
    <row r="444" spans="13:13">
      <c r="M444" s="259"/>
    </row>
    <row r="445" spans="13:13">
      <c r="M445" s="259"/>
    </row>
    <row r="446" spans="13:13">
      <c r="M446" s="259"/>
    </row>
    <row r="447" spans="13:13">
      <c r="M447" s="259"/>
    </row>
    <row r="448" spans="13:13">
      <c r="M448" s="259"/>
    </row>
    <row r="449" spans="13:13">
      <c r="M449" s="259"/>
    </row>
    <row r="450" spans="13:13">
      <c r="M450" s="259"/>
    </row>
    <row r="451" spans="13:13">
      <c r="M451" s="259"/>
    </row>
    <row r="452" spans="13:13">
      <c r="M452" s="259"/>
    </row>
    <row r="453" spans="13:13">
      <c r="M453" s="259"/>
    </row>
    <row r="454" spans="13:13">
      <c r="M454" s="259"/>
    </row>
    <row r="455" spans="13:13">
      <c r="M455" s="259"/>
    </row>
    <row r="456" spans="13:13">
      <c r="M456" s="259"/>
    </row>
    <row r="457" spans="13:13">
      <c r="M457" s="259"/>
    </row>
    <row r="458" spans="13:13">
      <c r="M458" s="259"/>
    </row>
    <row r="459" spans="13:13">
      <c r="M459" s="259"/>
    </row>
    <row r="460" spans="13:13">
      <c r="M460" s="259"/>
    </row>
    <row r="461" spans="13:13">
      <c r="M461" s="259"/>
    </row>
    <row r="462" spans="13:13">
      <c r="M462" s="259"/>
    </row>
    <row r="463" spans="13:13">
      <c r="M463" s="259"/>
    </row>
    <row r="464" spans="13:13">
      <c r="M464" s="259"/>
    </row>
    <row r="465" spans="13:13">
      <c r="M465" s="259"/>
    </row>
    <row r="466" spans="13:13">
      <c r="M466" s="259"/>
    </row>
    <row r="467" spans="13:13">
      <c r="M467" s="259"/>
    </row>
    <row r="468" spans="13:13">
      <c r="M468" s="259"/>
    </row>
    <row r="469" spans="13:13">
      <c r="M469" s="259"/>
    </row>
    <row r="470" spans="13:13">
      <c r="M470" s="259"/>
    </row>
    <row r="471" spans="13:13">
      <c r="M471" s="259"/>
    </row>
    <row r="472" spans="13:13">
      <c r="M472" s="259"/>
    </row>
    <row r="473" spans="13:13">
      <c r="M473" s="259"/>
    </row>
    <row r="474" spans="13:13">
      <c r="M474" s="259"/>
    </row>
    <row r="475" spans="13:13">
      <c r="M475" s="259"/>
    </row>
    <row r="476" spans="13:13">
      <c r="M476" s="259"/>
    </row>
    <row r="477" spans="13:13">
      <c r="M477" s="259"/>
    </row>
    <row r="478" spans="13:13">
      <c r="M478" s="259"/>
    </row>
    <row r="479" spans="13:13">
      <c r="M479" s="259"/>
    </row>
    <row r="480" spans="13:13">
      <c r="M480" s="259"/>
    </row>
    <row r="481" spans="13:13">
      <c r="M481" s="259"/>
    </row>
    <row r="482" spans="13:13">
      <c r="M482" s="259"/>
    </row>
    <row r="483" spans="13:13">
      <c r="M483" s="259"/>
    </row>
    <row r="484" spans="13:13">
      <c r="M484" s="259"/>
    </row>
    <row r="485" spans="13:13">
      <c r="M485" s="259"/>
    </row>
    <row r="486" spans="13:13">
      <c r="M486" s="259"/>
    </row>
    <row r="487" spans="13:13">
      <c r="M487" s="259"/>
    </row>
    <row r="488" spans="13:13">
      <c r="M488" s="259"/>
    </row>
    <row r="489" spans="13:13">
      <c r="M489" s="259"/>
    </row>
    <row r="490" spans="13:13">
      <c r="M490" s="259"/>
    </row>
    <row r="491" spans="13:13">
      <c r="M491" s="259"/>
    </row>
    <row r="492" spans="13:13">
      <c r="M492" s="259"/>
    </row>
    <row r="493" spans="13:13">
      <c r="M493" s="259"/>
    </row>
    <row r="494" spans="13:13">
      <c r="M494" s="259"/>
    </row>
    <row r="495" spans="13:13">
      <c r="M495" s="259"/>
    </row>
    <row r="496" spans="13:13">
      <c r="M496" s="259"/>
    </row>
    <row r="497" spans="13:13">
      <c r="M497" s="259"/>
    </row>
    <row r="498" spans="13:13">
      <c r="M498" s="259"/>
    </row>
    <row r="499" spans="13:13">
      <c r="M499" s="259"/>
    </row>
    <row r="500" spans="13:13">
      <c r="M500" s="259"/>
    </row>
    <row r="501" spans="13:13">
      <c r="M501" s="259"/>
    </row>
    <row r="502" spans="13:13">
      <c r="M502" s="259"/>
    </row>
    <row r="503" spans="13:13">
      <c r="M503" s="259"/>
    </row>
    <row r="504" spans="13:13">
      <c r="M504" s="259"/>
    </row>
    <row r="505" spans="13:13">
      <c r="M505" s="259"/>
    </row>
    <row r="506" spans="13:13">
      <c r="M506" s="259"/>
    </row>
    <row r="507" spans="13:13">
      <c r="M507" s="259"/>
    </row>
    <row r="508" spans="13:13">
      <c r="M508" s="259"/>
    </row>
    <row r="509" spans="13:13">
      <c r="M509" s="259"/>
    </row>
    <row r="510" spans="13:13">
      <c r="M510" s="259"/>
    </row>
    <row r="511" spans="13:13">
      <c r="M511" s="259"/>
    </row>
    <row r="512" spans="13:13">
      <c r="M512" s="259"/>
    </row>
    <row r="513" spans="13:13">
      <c r="M513" s="259"/>
    </row>
    <row r="514" spans="13:13">
      <c r="M514" s="259"/>
    </row>
    <row r="515" spans="13:13">
      <c r="M515" s="259"/>
    </row>
    <row r="516" spans="13:13">
      <c r="M516" s="259"/>
    </row>
    <row r="517" spans="13:13">
      <c r="M517" s="259"/>
    </row>
    <row r="518" spans="13:13">
      <c r="M518" s="259"/>
    </row>
    <row r="519" spans="13:13">
      <c r="M519" s="259"/>
    </row>
    <row r="520" spans="13:13">
      <c r="M520" s="259"/>
    </row>
    <row r="521" spans="13:13">
      <c r="M521" s="259"/>
    </row>
    <row r="522" spans="13:13">
      <c r="M522" s="259"/>
    </row>
    <row r="523" spans="13:13">
      <c r="M523" s="259"/>
    </row>
    <row r="524" spans="13:13">
      <c r="M524" s="259"/>
    </row>
    <row r="525" spans="13:13">
      <c r="M525" s="259"/>
    </row>
    <row r="526" spans="13:13">
      <c r="M526" s="259"/>
    </row>
    <row r="527" spans="13:13">
      <c r="M527" s="259"/>
    </row>
    <row r="528" spans="13:13">
      <c r="M528" s="259"/>
    </row>
    <row r="529" spans="13:13">
      <c r="M529" s="259"/>
    </row>
    <row r="530" spans="13:13">
      <c r="M530" s="259"/>
    </row>
    <row r="531" spans="13:13">
      <c r="M531" s="259"/>
    </row>
    <row r="532" spans="13:13">
      <c r="M532" s="259"/>
    </row>
    <row r="533" spans="13:13">
      <c r="M533" s="259"/>
    </row>
    <row r="534" spans="13:13">
      <c r="M534" s="259"/>
    </row>
    <row r="535" spans="13:13">
      <c r="M535" s="259"/>
    </row>
    <row r="536" spans="13:13">
      <c r="M536" s="259"/>
    </row>
    <row r="537" spans="13:13">
      <c r="M537" s="259"/>
    </row>
    <row r="538" spans="13:13">
      <c r="M538" s="259"/>
    </row>
    <row r="539" spans="13:13">
      <c r="M539" s="259"/>
    </row>
    <row r="540" spans="13:13">
      <c r="M540" s="259"/>
    </row>
    <row r="541" spans="13:13">
      <c r="M541" s="259"/>
    </row>
    <row r="542" spans="13:13">
      <c r="M542" s="259"/>
    </row>
    <row r="543" spans="13:13">
      <c r="M543" s="259"/>
    </row>
    <row r="544" spans="13:13">
      <c r="M544" s="259"/>
    </row>
    <row r="545" spans="13:13">
      <c r="M545" s="259"/>
    </row>
    <row r="546" spans="13:13">
      <c r="M546" s="259"/>
    </row>
    <row r="547" spans="13:13">
      <c r="M547" s="259"/>
    </row>
    <row r="548" spans="13:13">
      <c r="M548" s="259"/>
    </row>
    <row r="549" spans="13:13">
      <c r="M549" s="259"/>
    </row>
    <row r="550" spans="13:13">
      <c r="M550" s="259"/>
    </row>
    <row r="551" spans="13:13">
      <c r="M551" s="259"/>
    </row>
    <row r="552" spans="13:13">
      <c r="M552" s="259"/>
    </row>
    <row r="553" spans="13:13">
      <c r="M553" s="259"/>
    </row>
    <row r="554" spans="13:13">
      <c r="M554" s="259"/>
    </row>
    <row r="555" spans="13:13">
      <c r="M555" s="259"/>
    </row>
    <row r="556" spans="13:13">
      <c r="M556" s="259"/>
    </row>
    <row r="557" spans="13:13">
      <c r="M557" s="259"/>
    </row>
    <row r="558" spans="13:13">
      <c r="M558" s="259"/>
    </row>
    <row r="559" spans="13:13">
      <c r="M559" s="259"/>
    </row>
    <row r="560" spans="13:13">
      <c r="M560" s="259"/>
    </row>
    <row r="561" spans="13:13">
      <c r="M561" s="259"/>
    </row>
    <row r="562" spans="13:13">
      <c r="M562" s="259"/>
    </row>
    <row r="563" spans="13:13">
      <c r="M563" s="259"/>
    </row>
    <row r="564" spans="13:13">
      <c r="M564" s="259"/>
    </row>
    <row r="565" spans="13:13">
      <c r="M565" s="259"/>
    </row>
    <row r="566" spans="13:13">
      <c r="M566" s="259"/>
    </row>
    <row r="567" spans="13:13">
      <c r="M567" s="259"/>
    </row>
    <row r="568" spans="13:13">
      <c r="M568" s="259"/>
    </row>
    <row r="569" spans="13:13">
      <c r="M569" s="259"/>
    </row>
    <row r="570" spans="13:13">
      <c r="M570" s="259"/>
    </row>
    <row r="571" spans="13:13">
      <c r="M571" s="259"/>
    </row>
  </sheetData>
  <sheetProtection algorithmName="SHA-512" hashValue="rqEHvjmzf3cQ6U6Ud2C30dIVljSFNpugH01Uyg552oiAeEB7Au5mwPNGUCtvQMwD3zj88DS8z+11u697VJk9+A==" saltValue="DbDv9Ftd1vzDJnUNZ+5fpA==" spinCount="100000" sheet="1" objects="1" scenarios="1"/>
  <pageMargins left="0.75" right="0.75" top="1" bottom="1" header="0.5" footer="0.5"/>
  <pageSetup orientation="portrait" horizontalDpi="4294967292" verticalDpi="4294967292"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912"/>
  <sheetViews>
    <sheetView topLeftCell="N1" workbookViewId="0">
      <selection activeCell="W1" sqref="W1"/>
    </sheetView>
  </sheetViews>
  <sheetFormatPr defaultColWidth="11" defaultRowHeight="15.75"/>
  <cols>
    <col min="1" max="1" width="33.375" customWidth="1"/>
    <col min="2" max="9" width="14.125" bestFit="1" customWidth="1"/>
    <col min="10" max="10" width="14.375" bestFit="1" customWidth="1"/>
    <col min="11" max="11" width="14.375" customWidth="1"/>
    <col min="12" max="12" width="13.875" customWidth="1"/>
    <col min="13" max="13" width="13.875" style="190" customWidth="1"/>
  </cols>
  <sheetData>
    <row r="1" spans="1:12" ht="18.75">
      <c r="A1" s="37" t="s">
        <v>168</v>
      </c>
      <c r="B1" s="73"/>
      <c r="J1" s="256" t="s">
        <v>215</v>
      </c>
      <c r="K1" s="256"/>
      <c r="L1" s="256"/>
    </row>
    <row r="2" spans="1:12">
      <c r="A2" s="2"/>
      <c r="B2" s="2"/>
      <c r="C2" s="2"/>
      <c r="D2" s="2"/>
      <c r="E2" s="2"/>
      <c r="F2" s="2"/>
      <c r="G2" s="2"/>
      <c r="H2" s="2"/>
      <c r="I2" s="2"/>
      <c r="J2" s="257"/>
      <c r="K2" s="257"/>
      <c r="L2" s="257"/>
    </row>
    <row r="3" spans="1:12">
      <c r="A3" s="2"/>
      <c r="B3" s="82" t="s">
        <v>61</v>
      </c>
      <c r="C3" s="82" t="s">
        <v>61</v>
      </c>
      <c r="D3" s="82" t="s">
        <v>61</v>
      </c>
      <c r="E3" s="82" t="s">
        <v>61</v>
      </c>
      <c r="F3" s="82" t="s">
        <v>61</v>
      </c>
      <c r="G3" s="82" t="s">
        <v>61</v>
      </c>
      <c r="H3" s="82" t="s">
        <v>61</v>
      </c>
      <c r="I3" s="82" t="s">
        <v>61</v>
      </c>
      <c r="J3" s="82" t="s">
        <v>61</v>
      </c>
      <c r="K3" s="82" t="s">
        <v>61</v>
      </c>
      <c r="L3" s="82" t="s">
        <v>61</v>
      </c>
    </row>
    <row r="4" spans="1:12">
      <c r="A4" s="2"/>
      <c r="B4" s="30" t="s">
        <v>57</v>
      </c>
      <c r="C4" s="30" t="s">
        <v>57</v>
      </c>
      <c r="D4" s="30" t="s">
        <v>57</v>
      </c>
      <c r="E4" s="30" t="s">
        <v>57</v>
      </c>
      <c r="F4" s="30" t="s">
        <v>57</v>
      </c>
      <c r="G4" s="30" t="s">
        <v>57</v>
      </c>
      <c r="H4" s="30" t="s">
        <v>57</v>
      </c>
      <c r="I4" s="30" t="s">
        <v>57</v>
      </c>
      <c r="J4" s="30" t="s">
        <v>57</v>
      </c>
      <c r="K4" s="30" t="s">
        <v>202</v>
      </c>
      <c r="L4" s="30" t="s">
        <v>58</v>
      </c>
    </row>
    <row r="5" spans="1:12" ht="18.75">
      <c r="A5" s="93" t="s">
        <v>98</v>
      </c>
      <c r="B5" s="254">
        <v>2009</v>
      </c>
      <c r="C5" s="254">
        <v>2010</v>
      </c>
      <c r="D5" s="254">
        <v>2011</v>
      </c>
      <c r="E5" s="254">
        <v>2012</v>
      </c>
      <c r="F5" s="254">
        <v>2013</v>
      </c>
      <c r="G5" s="254">
        <v>2014</v>
      </c>
      <c r="H5" s="254">
        <v>2015</v>
      </c>
      <c r="I5" s="254">
        <v>2016</v>
      </c>
      <c r="J5" s="254">
        <v>2017</v>
      </c>
      <c r="K5" s="254">
        <v>2018</v>
      </c>
      <c r="L5" s="254">
        <v>2019</v>
      </c>
    </row>
    <row r="6" spans="1:12">
      <c r="A6" s="10" t="s">
        <v>100</v>
      </c>
      <c r="B6" s="1">
        <v>878014</v>
      </c>
      <c r="C6" s="1">
        <v>843140</v>
      </c>
      <c r="D6" s="1">
        <v>889490</v>
      </c>
      <c r="E6" s="1">
        <v>894046</v>
      </c>
      <c r="F6" s="1">
        <v>932189</v>
      </c>
      <c r="G6" s="1">
        <v>929516</v>
      </c>
      <c r="H6" s="1">
        <v>1000620</v>
      </c>
      <c r="I6" s="1">
        <v>1093179</v>
      </c>
      <c r="J6" s="1">
        <v>924177</v>
      </c>
      <c r="K6" s="1">
        <v>1209541</v>
      </c>
      <c r="L6" s="1">
        <v>34000</v>
      </c>
    </row>
    <row r="7" spans="1:12">
      <c r="A7" s="96" t="s">
        <v>93</v>
      </c>
      <c r="B7" s="1">
        <v>0</v>
      </c>
      <c r="C7" s="1">
        <v>0</v>
      </c>
      <c r="D7" s="1">
        <v>0</v>
      </c>
      <c r="E7" s="1">
        <v>0</v>
      </c>
      <c r="F7" s="1">
        <v>0</v>
      </c>
      <c r="G7" s="1">
        <v>0</v>
      </c>
      <c r="H7" s="1">
        <v>0</v>
      </c>
      <c r="I7" s="1">
        <v>0</v>
      </c>
      <c r="J7" s="1">
        <v>0</v>
      </c>
      <c r="K7" s="1">
        <v>0</v>
      </c>
      <c r="L7" s="1">
        <v>0</v>
      </c>
    </row>
    <row r="8" spans="1:12">
      <c r="A8" s="94" t="s">
        <v>101</v>
      </c>
      <c r="B8" s="1">
        <v>0</v>
      </c>
      <c r="C8" s="1">
        <v>0</v>
      </c>
      <c r="D8" s="1">
        <v>0</v>
      </c>
      <c r="E8" s="1">
        <v>0</v>
      </c>
      <c r="F8" s="1">
        <v>0</v>
      </c>
      <c r="G8" s="1">
        <v>0</v>
      </c>
      <c r="H8" s="1">
        <v>0</v>
      </c>
      <c r="I8" s="1">
        <v>0</v>
      </c>
      <c r="J8" s="1">
        <v>0</v>
      </c>
      <c r="K8" s="1">
        <v>0</v>
      </c>
      <c r="L8" s="1">
        <v>0</v>
      </c>
    </row>
    <row r="9" spans="1:12">
      <c r="A9" s="73" t="s">
        <v>83</v>
      </c>
      <c r="B9" s="32"/>
      <c r="C9" s="32"/>
      <c r="D9" s="32"/>
      <c r="E9" s="32"/>
      <c r="F9" s="32"/>
      <c r="G9" s="32"/>
      <c r="H9" s="32"/>
      <c r="I9" s="27"/>
      <c r="J9" s="27"/>
      <c r="K9" s="27"/>
      <c r="L9" s="27"/>
    </row>
    <row r="10" spans="1:12" ht="16.5" thickBot="1">
      <c r="A10" s="39"/>
      <c r="B10" s="69">
        <v>0</v>
      </c>
      <c r="C10" s="69">
        <v>0</v>
      </c>
      <c r="D10" s="69">
        <v>0</v>
      </c>
      <c r="E10" s="69">
        <v>0</v>
      </c>
      <c r="F10" s="69">
        <v>0</v>
      </c>
      <c r="G10" s="69">
        <v>0</v>
      </c>
      <c r="H10" s="69">
        <v>0</v>
      </c>
      <c r="I10" s="69">
        <v>0</v>
      </c>
      <c r="J10" s="69">
        <v>0</v>
      </c>
      <c r="K10" s="69">
        <v>0</v>
      </c>
      <c r="L10" s="69">
        <v>0</v>
      </c>
    </row>
    <row r="11" spans="1:12">
      <c r="A11" s="95" t="s">
        <v>108</v>
      </c>
      <c r="B11" s="1">
        <f>SUM(B6:B10)</f>
        <v>878014</v>
      </c>
      <c r="C11" s="1">
        <f t="shared" ref="C11:L11" si="0">SUM(C6:C10)</f>
        <v>843140</v>
      </c>
      <c r="D11" s="1">
        <f t="shared" si="0"/>
        <v>889490</v>
      </c>
      <c r="E11" s="1">
        <f t="shared" si="0"/>
        <v>894046</v>
      </c>
      <c r="F11" s="1">
        <f t="shared" si="0"/>
        <v>932189</v>
      </c>
      <c r="G11" s="1">
        <f t="shared" si="0"/>
        <v>929516</v>
      </c>
      <c r="H11" s="1">
        <f t="shared" si="0"/>
        <v>1000620</v>
      </c>
      <c r="I11" s="1">
        <f t="shared" si="0"/>
        <v>1093179</v>
      </c>
      <c r="J11" s="1">
        <f t="shared" si="0"/>
        <v>924177</v>
      </c>
      <c r="K11" s="1">
        <f t="shared" si="0"/>
        <v>1209541</v>
      </c>
      <c r="L11" s="1">
        <f t="shared" si="0"/>
        <v>34000</v>
      </c>
    </row>
    <row r="13" spans="1:12">
      <c r="A13" s="88"/>
      <c r="B13" s="27"/>
      <c r="C13" s="27"/>
      <c r="D13" s="27"/>
      <c r="E13" s="27"/>
      <c r="F13" s="27"/>
      <c r="G13" s="27"/>
      <c r="H13" s="27"/>
      <c r="I13" s="27"/>
      <c r="J13" s="27"/>
      <c r="K13" s="27"/>
      <c r="L13" s="27"/>
    </row>
    <row r="14" spans="1:12" ht="18.75">
      <c r="A14" s="93"/>
      <c r="B14" s="254">
        <v>2009</v>
      </c>
      <c r="C14" s="254">
        <v>2010</v>
      </c>
      <c r="D14" s="254">
        <v>2011</v>
      </c>
      <c r="E14" s="254">
        <v>2012</v>
      </c>
      <c r="F14" s="254">
        <v>2013</v>
      </c>
      <c r="G14" s="254">
        <v>2014</v>
      </c>
      <c r="H14" s="254">
        <v>2015</v>
      </c>
      <c r="I14" s="254">
        <v>2016</v>
      </c>
      <c r="J14" s="254">
        <v>2017</v>
      </c>
      <c r="K14" s="254">
        <v>2018</v>
      </c>
      <c r="L14" s="254">
        <v>2019</v>
      </c>
    </row>
    <row r="15" spans="1:12">
      <c r="A15" s="10" t="s">
        <v>100</v>
      </c>
      <c r="B15" s="1">
        <f t="shared" ref="B15:L15" si="1">B43</f>
        <v>878014</v>
      </c>
      <c r="C15" s="1">
        <f t="shared" si="1"/>
        <v>843140</v>
      </c>
      <c r="D15" s="1">
        <f t="shared" si="1"/>
        <v>889490</v>
      </c>
      <c r="E15" s="1">
        <f t="shared" si="1"/>
        <v>894046</v>
      </c>
      <c r="F15" s="1">
        <f t="shared" si="1"/>
        <v>932189</v>
      </c>
      <c r="G15" s="1">
        <f t="shared" si="1"/>
        <v>929516</v>
      </c>
      <c r="H15" s="1">
        <f t="shared" si="1"/>
        <v>1000620</v>
      </c>
      <c r="I15" s="1">
        <f t="shared" si="1"/>
        <v>1093179</v>
      </c>
      <c r="J15" s="1">
        <f t="shared" si="1"/>
        <v>1244523</v>
      </c>
      <c r="K15" s="1">
        <v>1640631</v>
      </c>
      <c r="L15" s="1">
        <f t="shared" si="1"/>
        <v>1394549</v>
      </c>
    </row>
    <row r="16" spans="1:12">
      <c r="A16" s="96" t="s">
        <v>93</v>
      </c>
      <c r="B16" s="1">
        <v>0</v>
      </c>
      <c r="C16" s="1">
        <v>0</v>
      </c>
      <c r="D16" s="1">
        <v>0</v>
      </c>
      <c r="E16" s="1">
        <v>0</v>
      </c>
      <c r="F16" s="1">
        <v>0</v>
      </c>
      <c r="G16" s="1">
        <v>0</v>
      </c>
      <c r="H16" s="1">
        <v>0</v>
      </c>
      <c r="I16" s="1">
        <v>0</v>
      </c>
      <c r="J16" s="1">
        <v>0</v>
      </c>
      <c r="K16" s="1">
        <v>0</v>
      </c>
      <c r="L16" s="1">
        <v>0</v>
      </c>
    </row>
    <row r="17" spans="1:12">
      <c r="A17" s="94" t="s">
        <v>101</v>
      </c>
      <c r="B17" s="1">
        <v>0</v>
      </c>
      <c r="C17" s="1">
        <v>0</v>
      </c>
      <c r="D17" s="1">
        <v>0</v>
      </c>
      <c r="E17" s="1">
        <v>0</v>
      </c>
      <c r="F17" s="1">
        <v>0</v>
      </c>
      <c r="G17" s="1">
        <v>0</v>
      </c>
      <c r="H17" s="1">
        <v>0</v>
      </c>
      <c r="I17" s="1">
        <v>0</v>
      </c>
      <c r="J17" s="1">
        <v>0</v>
      </c>
      <c r="K17" s="1">
        <v>0</v>
      </c>
      <c r="L17" s="1">
        <v>0</v>
      </c>
    </row>
    <row r="18" spans="1:12">
      <c r="A18" s="73" t="s">
        <v>83</v>
      </c>
    </row>
    <row r="19" spans="1:12" ht="16.5" thickBot="1">
      <c r="A19" s="153" t="s">
        <v>157</v>
      </c>
      <c r="B19" s="69">
        <v>0</v>
      </c>
      <c r="C19" s="69">
        <v>0</v>
      </c>
      <c r="D19" s="69">
        <v>0</v>
      </c>
      <c r="E19" s="69">
        <v>0</v>
      </c>
      <c r="F19" s="69">
        <v>0</v>
      </c>
      <c r="G19" s="69">
        <v>0</v>
      </c>
      <c r="H19" s="69">
        <v>0</v>
      </c>
      <c r="I19" s="69">
        <v>0</v>
      </c>
      <c r="J19" s="69">
        <v>0</v>
      </c>
      <c r="K19" s="69">
        <v>0</v>
      </c>
      <c r="L19" s="69">
        <v>0</v>
      </c>
    </row>
    <row r="20" spans="1:12">
      <c r="A20" s="95" t="s">
        <v>119</v>
      </c>
      <c r="B20" s="1">
        <f t="shared" ref="B20:L20" si="2">SUM(B15:B19)</f>
        <v>878014</v>
      </c>
      <c r="C20" s="1">
        <f t="shared" si="2"/>
        <v>843140</v>
      </c>
      <c r="D20" s="1">
        <f t="shared" si="2"/>
        <v>889490</v>
      </c>
      <c r="E20" s="1">
        <f t="shared" si="2"/>
        <v>894046</v>
      </c>
      <c r="F20" s="1">
        <f t="shared" si="2"/>
        <v>932189</v>
      </c>
      <c r="G20" s="1">
        <f t="shared" si="2"/>
        <v>929516</v>
      </c>
      <c r="H20" s="1">
        <f t="shared" si="2"/>
        <v>1000620</v>
      </c>
      <c r="I20" s="1">
        <f t="shared" si="2"/>
        <v>1093179</v>
      </c>
      <c r="J20" s="1">
        <f t="shared" si="2"/>
        <v>1244523</v>
      </c>
      <c r="K20" s="1">
        <f t="shared" si="2"/>
        <v>1640631</v>
      </c>
      <c r="L20" s="1">
        <f t="shared" si="2"/>
        <v>1394549</v>
      </c>
    </row>
    <row r="22" spans="1:12">
      <c r="A22" s="190"/>
      <c r="B22" s="190"/>
      <c r="C22" s="190"/>
      <c r="D22" s="190"/>
      <c r="E22" s="190"/>
      <c r="F22" s="190"/>
      <c r="G22" s="190"/>
      <c r="H22" s="190"/>
      <c r="I22" s="190"/>
      <c r="J22" s="190"/>
      <c r="K22" s="190"/>
      <c r="L22" s="190"/>
    </row>
    <row r="25" spans="1:12">
      <c r="B25" s="254">
        <v>2009</v>
      </c>
      <c r="C25" s="254">
        <v>2010</v>
      </c>
      <c r="D25" s="254">
        <v>2011</v>
      </c>
      <c r="E25" s="254">
        <v>2012</v>
      </c>
      <c r="F25" s="254">
        <v>2013</v>
      </c>
      <c r="G25" s="254">
        <v>2014</v>
      </c>
      <c r="H25" s="254">
        <v>2015</v>
      </c>
      <c r="I25" s="254">
        <v>2016</v>
      </c>
      <c r="J25" s="254">
        <v>2017</v>
      </c>
      <c r="K25" s="254">
        <v>2018</v>
      </c>
      <c r="L25" s="254">
        <v>2019</v>
      </c>
    </row>
    <row r="26" spans="1:12">
      <c r="A26" s="2" t="s">
        <v>203</v>
      </c>
      <c r="B26" s="8">
        <f>+B20/B56</f>
        <v>13.572638738599474</v>
      </c>
      <c r="C26" s="8">
        <f>+C20/C56</f>
        <v>13.348848991482221</v>
      </c>
      <c r="D26" s="8">
        <f t="shared" ref="D26:L26" si="3">+D20/D56</f>
        <v>13.13055416137699</v>
      </c>
      <c r="E26" s="8">
        <f t="shared" si="3"/>
        <v>13.00222509852969</v>
      </c>
      <c r="F26" s="8">
        <f t="shared" si="3"/>
        <v>13.443547107771737</v>
      </c>
      <c r="G26" s="8">
        <f t="shared" si="3"/>
        <v>13.208981099900527</v>
      </c>
      <c r="H26" s="8">
        <f t="shared" si="3"/>
        <v>14.087882073014487</v>
      </c>
      <c r="I26" s="8">
        <f t="shared" si="3"/>
        <v>14.889389812040315</v>
      </c>
      <c r="J26" s="8">
        <f t="shared" si="3"/>
        <v>16.730832829199436</v>
      </c>
      <c r="K26" s="8">
        <f t="shared" si="3"/>
        <v>21.632792721518989</v>
      </c>
      <c r="L26" s="8">
        <f t="shared" si="3"/>
        <v>18.04961041650488</v>
      </c>
    </row>
    <row r="28" spans="1:12">
      <c r="B28" s="254">
        <v>2009</v>
      </c>
      <c r="C28" s="254">
        <v>2010</v>
      </c>
      <c r="D28" s="254">
        <v>2011</v>
      </c>
      <c r="E28" s="254">
        <v>2012</v>
      </c>
      <c r="F28" s="254">
        <v>2013</v>
      </c>
      <c r="G28" s="254">
        <v>2014</v>
      </c>
      <c r="H28" s="254">
        <v>2015</v>
      </c>
      <c r="I28" s="254">
        <v>2016</v>
      </c>
      <c r="J28" s="254">
        <v>2017</v>
      </c>
      <c r="K28" s="254">
        <v>2018</v>
      </c>
      <c r="L28" s="254">
        <v>2019</v>
      </c>
    </row>
    <row r="29" spans="1:12">
      <c r="A29" s="253" t="s">
        <v>159</v>
      </c>
      <c r="B29" s="16">
        <f>+B20/B61</f>
        <v>125430.57142857143</v>
      </c>
      <c r="C29" s="16">
        <f>+C20/C61</f>
        <v>124909.62962962964</v>
      </c>
      <c r="D29" s="16">
        <f t="shared" ref="D29:L29" si="4">+D20/D61</f>
        <v>131776.29629629629</v>
      </c>
      <c r="E29" s="16">
        <f t="shared" si="4"/>
        <v>132451.25925925927</v>
      </c>
      <c r="F29" s="16">
        <f t="shared" si="4"/>
        <v>138102.07407407407</v>
      </c>
      <c r="G29" s="16">
        <f t="shared" si="4"/>
        <v>116189.5</v>
      </c>
      <c r="H29" s="16">
        <f t="shared" si="4"/>
        <v>111180</v>
      </c>
      <c r="I29" s="16">
        <f t="shared" si="4"/>
        <v>123244.53213077791</v>
      </c>
      <c r="J29" s="16">
        <f t="shared" si="4"/>
        <v>156053.04075235111</v>
      </c>
      <c r="K29" s="16">
        <f t="shared" si="4"/>
        <v>182800.11142061281</v>
      </c>
      <c r="L29" s="16">
        <f t="shared" si="4"/>
        <v>155381.504178273</v>
      </c>
    </row>
    <row r="31" spans="1:12">
      <c r="A31" s="190"/>
      <c r="B31" s="190"/>
      <c r="C31" s="190"/>
      <c r="D31" s="190"/>
      <c r="E31" s="190"/>
      <c r="F31" s="190"/>
      <c r="G31" s="190"/>
      <c r="H31" s="190"/>
      <c r="I31" s="190"/>
      <c r="J31" s="190"/>
      <c r="K31" s="190"/>
      <c r="L31" s="190"/>
    </row>
    <row r="32" spans="1:12">
      <c r="A32" s="190"/>
      <c r="B32" s="190"/>
      <c r="C32" s="190"/>
      <c r="D32" s="190"/>
      <c r="E32" s="190"/>
      <c r="F32" s="190"/>
      <c r="G32" s="190"/>
      <c r="H32" s="190"/>
      <c r="I32" s="190"/>
      <c r="J32" s="190"/>
      <c r="K32" s="190"/>
      <c r="L32" s="190"/>
    </row>
    <row r="39" spans="1:14">
      <c r="B39" s="1"/>
      <c r="C39" s="1"/>
      <c r="D39" s="1"/>
      <c r="E39" s="1"/>
      <c r="F39" s="1"/>
      <c r="G39" s="1"/>
      <c r="H39" s="1"/>
      <c r="I39" s="1"/>
      <c r="J39" s="1"/>
      <c r="K39" s="1"/>
      <c r="L39" s="1"/>
    </row>
    <row r="40" spans="1:14">
      <c r="A40" s="10" t="s">
        <v>100</v>
      </c>
      <c r="B40" s="1"/>
      <c r="C40" s="1"/>
      <c r="D40" s="1"/>
      <c r="E40" s="1"/>
      <c r="F40" s="1"/>
      <c r="G40" s="1"/>
      <c r="H40" s="1"/>
      <c r="I40" s="1"/>
      <c r="J40" s="1"/>
      <c r="K40" s="1"/>
      <c r="L40" s="1"/>
    </row>
    <row r="41" spans="1:14">
      <c r="A41" s="60" t="s">
        <v>59</v>
      </c>
      <c r="B41" s="61">
        <v>878014</v>
      </c>
      <c r="C41" s="61">
        <v>843140</v>
      </c>
      <c r="D41" s="61">
        <v>889490</v>
      </c>
      <c r="E41" s="61">
        <v>894046</v>
      </c>
      <c r="F41" s="61">
        <v>932189</v>
      </c>
      <c r="G41" s="61">
        <v>929516</v>
      </c>
      <c r="H41" s="61">
        <v>1000620</v>
      </c>
      <c r="I41" s="61">
        <v>1093179</v>
      </c>
      <c r="J41" s="61">
        <v>1244523</v>
      </c>
      <c r="K41" s="61">
        <v>1640631</v>
      </c>
      <c r="L41" s="61">
        <v>1394549</v>
      </c>
    </row>
    <row r="42" spans="1:14">
      <c r="A42" s="45" t="s">
        <v>115</v>
      </c>
      <c r="B42" s="1">
        <f t="shared" ref="B42:L43" si="5">SUM(B41:B41)</f>
        <v>878014</v>
      </c>
      <c r="C42" s="1">
        <f t="shared" si="5"/>
        <v>843140</v>
      </c>
      <c r="D42" s="1">
        <f t="shared" si="5"/>
        <v>889490</v>
      </c>
      <c r="E42" s="1">
        <f t="shared" si="5"/>
        <v>894046</v>
      </c>
      <c r="F42" s="1">
        <f t="shared" si="5"/>
        <v>932189</v>
      </c>
      <c r="G42" s="27">
        <f t="shared" si="5"/>
        <v>929516</v>
      </c>
      <c r="H42" s="1">
        <f t="shared" si="5"/>
        <v>1000620</v>
      </c>
      <c r="I42" s="1">
        <f t="shared" si="5"/>
        <v>1093179</v>
      </c>
      <c r="J42" s="27">
        <f t="shared" si="5"/>
        <v>1244523</v>
      </c>
      <c r="K42" s="27">
        <f t="shared" si="5"/>
        <v>1640631</v>
      </c>
      <c r="L42" s="27">
        <f t="shared" si="5"/>
        <v>1394549</v>
      </c>
      <c r="M42" s="173"/>
      <c r="N42" s="1"/>
    </row>
    <row r="43" spans="1:14">
      <c r="A43" s="45" t="s">
        <v>116</v>
      </c>
      <c r="B43" s="1">
        <f t="shared" si="5"/>
        <v>878014</v>
      </c>
      <c r="C43" s="1">
        <f t="shared" si="5"/>
        <v>843140</v>
      </c>
      <c r="D43" s="1">
        <f t="shared" si="5"/>
        <v>889490</v>
      </c>
      <c r="E43" s="1">
        <f t="shared" si="5"/>
        <v>894046</v>
      </c>
      <c r="F43" s="1">
        <f t="shared" si="5"/>
        <v>932189</v>
      </c>
      <c r="G43" s="5">
        <f t="shared" si="5"/>
        <v>929516</v>
      </c>
      <c r="H43" s="1">
        <f t="shared" si="5"/>
        <v>1000620</v>
      </c>
      <c r="I43" s="1">
        <f t="shared" si="5"/>
        <v>1093179</v>
      </c>
      <c r="J43" s="1">
        <f t="shared" si="5"/>
        <v>1244523</v>
      </c>
      <c r="K43" s="1">
        <f t="shared" si="5"/>
        <v>1640631</v>
      </c>
      <c r="L43" s="5">
        <f t="shared" si="5"/>
        <v>1394549</v>
      </c>
      <c r="M43" s="173"/>
      <c r="N43" s="1"/>
    </row>
    <row r="44" spans="1:14">
      <c r="A44" s="45" t="s">
        <v>72</v>
      </c>
      <c r="B44" s="1"/>
      <c r="C44" s="7">
        <f t="shared" ref="C44:L44" si="6">(C42/B42)-1</f>
        <v>-3.9719184432138843E-2</v>
      </c>
      <c r="D44" s="7">
        <f t="shared" si="6"/>
        <v>5.4973076831842826E-2</v>
      </c>
      <c r="E44" s="7">
        <f t="shared" si="6"/>
        <v>5.1220362230042227E-3</v>
      </c>
      <c r="F44" s="7">
        <f t="shared" si="6"/>
        <v>4.2663352892356787E-2</v>
      </c>
      <c r="G44" s="7">
        <f t="shared" si="6"/>
        <v>-2.8674442629122998E-3</v>
      </c>
      <c r="H44" s="7">
        <f t="shared" si="6"/>
        <v>7.6495724656703068E-2</v>
      </c>
      <c r="I44" s="7">
        <f t="shared" si="6"/>
        <v>9.2501648977633799E-2</v>
      </c>
      <c r="J44" s="7">
        <f t="shared" si="6"/>
        <v>0.13844393278685385</v>
      </c>
      <c r="K44" s="7">
        <f t="shared" si="6"/>
        <v>0.31828097994171256</v>
      </c>
      <c r="L44" s="7">
        <f t="shared" si="6"/>
        <v>-0.14999228955200772</v>
      </c>
      <c r="M44" s="173"/>
      <c r="N44" s="1"/>
    </row>
    <row r="45" spans="1:14">
      <c r="A45" s="47" t="s">
        <v>74</v>
      </c>
      <c r="B45" s="1"/>
      <c r="C45" s="1"/>
      <c r="D45" s="1"/>
      <c r="E45" s="1"/>
      <c r="F45" s="1"/>
      <c r="G45" s="1"/>
      <c r="H45" s="1"/>
      <c r="I45" s="1"/>
      <c r="J45" s="1"/>
      <c r="K45" s="1"/>
      <c r="L45" s="23">
        <f>(L43/G43)-1</f>
        <v>0.50029585289548528</v>
      </c>
      <c r="M45" s="173"/>
      <c r="N45" s="1"/>
    </row>
    <row r="46" spans="1:14" s="19" customFormat="1">
      <c r="M46" s="190"/>
    </row>
    <row r="48" spans="1:14">
      <c r="A48" s="89" t="s">
        <v>121</v>
      </c>
      <c r="B48" s="121">
        <f t="shared" ref="B48:L48" si="7">B11-B20</f>
        <v>0</v>
      </c>
      <c r="C48" s="121">
        <f t="shared" si="7"/>
        <v>0</v>
      </c>
      <c r="D48" s="121">
        <f t="shared" si="7"/>
        <v>0</v>
      </c>
      <c r="E48" s="121">
        <f t="shared" si="7"/>
        <v>0</v>
      </c>
      <c r="F48" s="121">
        <f t="shared" si="7"/>
        <v>0</v>
      </c>
      <c r="G48" s="121">
        <f t="shared" si="7"/>
        <v>0</v>
      </c>
      <c r="H48" s="121">
        <f t="shared" si="7"/>
        <v>0</v>
      </c>
      <c r="I48" s="121">
        <f t="shared" si="7"/>
        <v>0</v>
      </c>
      <c r="J48" s="121">
        <f t="shared" si="7"/>
        <v>-320346</v>
      </c>
      <c r="K48" s="121">
        <f t="shared" si="7"/>
        <v>-431090</v>
      </c>
      <c r="L48" s="122">
        <f t="shared" si="7"/>
        <v>-1360549</v>
      </c>
    </row>
    <row r="50" spans="1:14">
      <c r="A50" s="88" t="s">
        <v>107</v>
      </c>
      <c r="B50" s="92">
        <v>0</v>
      </c>
      <c r="C50" s="92">
        <v>0</v>
      </c>
      <c r="D50" s="92">
        <v>0</v>
      </c>
      <c r="E50" s="92">
        <v>0</v>
      </c>
      <c r="F50" s="92">
        <v>0</v>
      </c>
      <c r="G50" s="92">
        <v>0</v>
      </c>
      <c r="H50" s="92">
        <v>0</v>
      </c>
      <c r="I50" s="92">
        <v>0</v>
      </c>
      <c r="J50" s="92">
        <v>0</v>
      </c>
      <c r="K50" s="92">
        <v>0</v>
      </c>
      <c r="L50" s="92">
        <v>0</v>
      </c>
    </row>
    <row r="51" spans="1:14" s="9" customFormat="1">
      <c r="A51" s="88"/>
      <c r="B51" s="254">
        <v>2009</v>
      </c>
      <c r="C51" s="254">
        <v>2010</v>
      </c>
      <c r="D51" s="254">
        <v>2011</v>
      </c>
      <c r="E51" s="254">
        <v>2012</v>
      </c>
      <c r="F51" s="254">
        <v>2013</v>
      </c>
      <c r="G51" s="254">
        <v>2014</v>
      </c>
      <c r="H51" s="254">
        <v>2015</v>
      </c>
      <c r="I51" s="254">
        <v>2016</v>
      </c>
      <c r="J51" s="254">
        <v>2017</v>
      </c>
      <c r="K51" s="254">
        <v>2018</v>
      </c>
      <c r="L51" s="254">
        <v>2019</v>
      </c>
      <c r="M51" s="198"/>
    </row>
    <row r="52" spans="1:14">
      <c r="A52" s="88" t="s">
        <v>160</v>
      </c>
      <c r="B52" s="27"/>
      <c r="C52" s="27"/>
      <c r="D52" s="27">
        <v>0</v>
      </c>
      <c r="E52" s="27">
        <v>0</v>
      </c>
      <c r="F52" s="27">
        <v>0</v>
      </c>
      <c r="G52" s="27">
        <v>0</v>
      </c>
      <c r="H52" s="27">
        <v>0</v>
      </c>
      <c r="I52" s="27">
        <v>0</v>
      </c>
      <c r="J52" s="27">
        <v>0</v>
      </c>
      <c r="K52" s="27">
        <v>0</v>
      </c>
      <c r="L52" s="27">
        <v>0</v>
      </c>
    </row>
    <row r="53" spans="1:14">
      <c r="A53" s="88" t="s">
        <v>161</v>
      </c>
      <c r="B53" s="27">
        <f t="shared" ref="B53:L53" si="8">B20-B52</f>
        <v>878014</v>
      </c>
      <c r="C53" s="27">
        <f t="shared" si="8"/>
        <v>843140</v>
      </c>
      <c r="D53" s="27">
        <f t="shared" si="8"/>
        <v>889490</v>
      </c>
      <c r="E53" s="27">
        <f t="shared" si="8"/>
        <v>894046</v>
      </c>
      <c r="F53" s="27">
        <f t="shared" si="8"/>
        <v>932189</v>
      </c>
      <c r="G53" s="27">
        <f t="shared" si="8"/>
        <v>929516</v>
      </c>
      <c r="H53" s="27">
        <f t="shared" si="8"/>
        <v>1000620</v>
      </c>
      <c r="I53" s="27">
        <f t="shared" si="8"/>
        <v>1093179</v>
      </c>
      <c r="J53" s="27">
        <f t="shared" si="8"/>
        <v>1244523</v>
      </c>
      <c r="K53" s="27">
        <f t="shared" si="8"/>
        <v>1640631</v>
      </c>
      <c r="L53" s="27">
        <f t="shared" si="8"/>
        <v>1394549</v>
      </c>
    </row>
    <row r="54" spans="1:14">
      <c r="B54" s="1"/>
      <c r="C54" s="1"/>
      <c r="D54" s="1"/>
      <c r="E54" s="1"/>
      <c r="F54" s="1"/>
      <c r="G54" s="1"/>
      <c r="H54" s="1"/>
      <c r="I54" s="1"/>
      <c r="J54" s="1"/>
      <c r="K54" s="1"/>
      <c r="L54" s="1"/>
      <c r="M54" s="173"/>
      <c r="N54" s="1"/>
    </row>
    <row r="55" spans="1:14">
      <c r="A55" s="113"/>
      <c r="B55" s="114"/>
      <c r="C55" s="114"/>
      <c r="D55" s="114"/>
      <c r="E55" s="114"/>
      <c r="F55" s="114"/>
      <c r="G55" s="114"/>
      <c r="H55" s="114"/>
      <c r="I55" s="114"/>
      <c r="J55" s="114"/>
      <c r="K55" s="114"/>
      <c r="L55" s="114"/>
      <c r="M55" s="173"/>
      <c r="N55" s="1"/>
    </row>
    <row r="56" spans="1:14">
      <c r="A56" s="9" t="s">
        <v>21</v>
      </c>
      <c r="B56" s="12">
        <f>Stats!C4</f>
        <v>64690</v>
      </c>
      <c r="C56" s="12">
        <f>Stats!D4</f>
        <v>63162</v>
      </c>
      <c r="D56" s="12">
        <f>Stats!E4</f>
        <v>67742</v>
      </c>
      <c r="E56" s="12">
        <f>Stats!F4</f>
        <v>68761</v>
      </c>
      <c r="F56" s="12">
        <f>Stats!G4</f>
        <v>69341</v>
      </c>
      <c r="G56" s="12">
        <f>Stats!H4</f>
        <v>70370</v>
      </c>
      <c r="H56" s="12">
        <f>Stats!I4</f>
        <v>71027</v>
      </c>
      <c r="I56" s="12">
        <f>Stats!J4</f>
        <v>73420</v>
      </c>
      <c r="J56" s="48">
        <f>Stats!K4</f>
        <v>74385</v>
      </c>
      <c r="K56" s="48">
        <f>Stats!L4</f>
        <v>75840</v>
      </c>
      <c r="L56" s="48">
        <f>Stats!M4</f>
        <v>77262</v>
      </c>
      <c r="M56" s="173"/>
      <c r="N56" s="1"/>
    </row>
    <row r="57" spans="1:14">
      <c r="A57" s="9" t="s">
        <v>23</v>
      </c>
      <c r="M57" s="173"/>
      <c r="N57" s="1"/>
    </row>
    <row r="58" spans="1:14">
      <c r="A58" s="9" t="s">
        <v>22</v>
      </c>
      <c r="B58" s="1"/>
      <c r="C58" s="1"/>
      <c r="D58" s="1"/>
      <c r="E58" s="1"/>
      <c r="F58" s="1"/>
      <c r="G58" s="1"/>
      <c r="H58" s="1"/>
      <c r="I58" s="1"/>
      <c r="J58" s="1"/>
      <c r="K58" s="1"/>
      <c r="L58" s="1"/>
      <c r="M58" s="173"/>
      <c r="N58" s="1"/>
    </row>
    <row r="59" spans="1:14">
      <c r="A59" s="9" t="s">
        <v>63</v>
      </c>
      <c r="B59" s="15"/>
      <c r="C59" s="15"/>
      <c r="D59" s="15"/>
      <c r="E59" s="15"/>
      <c r="F59" s="15"/>
      <c r="G59" s="15"/>
      <c r="H59" s="15"/>
      <c r="I59" s="15"/>
      <c r="J59" s="15"/>
      <c r="K59" s="15"/>
      <c r="L59" s="15"/>
      <c r="M59" s="173"/>
      <c r="N59" s="1"/>
    </row>
    <row r="60" spans="1:14">
      <c r="A60" s="40" t="s">
        <v>59</v>
      </c>
      <c r="B60" s="22">
        <v>7</v>
      </c>
      <c r="C60" s="22">
        <v>6.75</v>
      </c>
      <c r="D60" s="22">
        <v>6.75</v>
      </c>
      <c r="E60" s="22">
        <v>6.75</v>
      </c>
      <c r="F60" s="22">
        <v>6.75</v>
      </c>
      <c r="G60" s="22">
        <v>8</v>
      </c>
      <c r="H60" s="22">
        <v>9</v>
      </c>
      <c r="I60" s="22">
        <v>8.8699999999999992</v>
      </c>
      <c r="J60" s="22">
        <v>7.9749999999999996</v>
      </c>
      <c r="K60" s="22">
        <v>8.9749999999999996</v>
      </c>
      <c r="L60" s="22">
        <v>8.9749999999999996</v>
      </c>
      <c r="M60" s="173"/>
      <c r="N60" s="1"/>
    </row>
    <row r="61" spans="1:14">
      <c r="A61" s="46" t="s">
        <v>64</v>
      </c>
      <c r="B61" s="41">
        <f t="shared" ref="B61:L61" si="9">SUM(B60:B60)</f>
        <v>7</v>
      </c>
      <c r="C61" s="41">
        <f t="shared" si="9"/>
        <v>6.75</v>
      </c>
      <c r="D61" s="41">
        <f t="shared" si="9"/>
        <v>6.75</v>
      </c>
      <c r="E61" s="41">
        <f t="shared" si="9"/>
        <v>6.75</v>
      </c>
      <c r="F61" s="41">
        <f t="shared" si="9"/>
        <v>6.75</v>
      </c>
      <c r="G61" s="41">
        <f t="shared" si="9"/>
        <v>8</v>
      </c>
      <c r="H61" s="41">
        <f t="shared" si="9"/>
        <v>9</v>
      </c>
      <c r="I61" s="41">
        <f t="shared" si="9"/>
        <v>8.8699999999999992</v>
      </c>
      <c r="J61" s="41">
        <f t="shared" si="9"/>
        <v>7.9749999999999996</v>
      </c>
      <c r="K61" s="41">
        <f t="shared" si="9"/>
        <v>8.9749999999999996</v>
      </c>
      <c r="L61" s="41">
        <f t="shared" si="9"/>
        <v>8.9749999999999996</v>
      </c>
      <c r="M61" s="173"/>
      <c r="N61" s="1"/>
    </row>
    <row r="62" spans="1:14">
      <c r="A62" s="45" t="s">
        <v>72</v>
      </c>
      <c r="B62" s="15"/>
      <c r="C62" s="36">
        <f>C61/B61</f>
        <v>0.9642857142857143</v>
      </c>
      <c r="D62" s="36">
        <f t="shared" ref="D62:L62" si="10">D61/C61</f>
        <v>1</v>
      </c>
      <c r="E62" s="36">
        <f t="shared" si="10"/>
        <v>1</v>
      </c>
      <c r="F62" s="36">
        <f t="shared" si="10"/>
        <v>1</v>
      </c>
      <c r="G62" s="36">
        <f t="shared" si="10"/>
        <v>1.1851851851851851</v>
      </c>
      <c r="H62" s="36">
        <f t="shared" si="10"/>
        <v>1.125</v>
      </c>
      <c r="I62" s="36">
        <f t="shared" si="10"/>
        <v>0.98555555555555552</v>
      </c>
      <c r="J62" s="36">
        <f t="shared" si="10"/>
        <v>0.89909808342728303</v>
      </c>
      <c r="K62" s="36">
        <f t="shared" si="10"/>
        <v>1.1253918495297806</v>
      </c>
      <c r="L62" s="36">
        <f t="shared" si="10"/>
        <v>1</v>
      </c>
      <c r="M62" s="173"/>
      <c r="N62" s="1"/>
    </row>
    <row r="63" spans="1:14">
      <c r="A63" s="258"/>
      <c r="B63" s="15"/>
      <c r="C63" s="36"/>
      <c r="D63" s="36"/>
      <c r="E63" s="36"/>
      <c r="F63" s="36"/>
      <c r="G63" s="36"/>
      <c r="H63" s="36"/>
      <c r="I63" s="36"/>
      <c r="J63" s="36"/>
      <c r="K63" s="36"/>
      <c r="L63" s="36"/>
      <c r="M63" s="173"/>
      <c r="N63" s="1"/>
    </row>
    <row r="64" spans="1:14">
      <c r="B64" s="1"/>
      <c r="C64" s="1"/>
      <c r="D64" s="1"/>
      <c r="E64" s="1"/>
      <c r="F64" s="1"/>
      <c r="G64" s="1"/>
      <c r="H64" s="1"/>
      <c r="I64" s="1"/>
      <c r="J64" s="1"/>
      <c r="K64" s="1"/>
      <c r="L64" s="1"/>
      <c r="M64" s="173"/>
      <c r="N64" s="1"/>
    </row>
    <row r="65" spans="1:14" ht="18.75">
      <c r="A65" s="37" t="s">
        <v>26</v>
      </c>
      <c r="B65" s="254">
        <v>2009</v>
      </c>
      <c r="C65" s="254">
        <v>2010</v>
      </c>
      <c r="D65" s="254">
        <v>2011</v>
      </c>
      <c r="E65" s="254">
        <v>2012</v>
      </c>
      <c r="F65" s="254">
        <v>2013</v>
      </c>
      <c r="G65" s="254">
        <v>2014</v>
      </c>
      <c r="H65" s="254">
        <v>2015</v>
      </c>
      <c r="I65" s="254">
        <v>2016</v>
      </c>
      <c r="J65" s="254">
        <v>2017</v>
      </c>
      <c r="K65" s="254">
        <v>2018</v>
      </c>
      <c r="L65" s="254">
        <v>2019</v>
      </c>
      <c r="M65" s="27"/>
      <c r="N65" s="1"/>
    </row>
    <row r="66" spans="1:14">
      <c r="A66" s="2" t="s">
        <v>65</v>
      </c>
      <c r="B66" s="8">
        <f t="shared" ref="B66:L66" si="11">B42/B56</f>
        <v>13.572638738599474</v>
      </c>
      <c r="C66" s="8">
        <f t="shared" si="11"/>
        <v>13.348848991482221</v>
      </c>
      <c r="D66" s="8">
        <f t="shared" si="11"/>
        <v>13.13055416137699</v>
      </c>
      <c r="E66" s="8">
        <f t="shared" si="11"/>
        <v>13.00222509852969</v>
      </c>
      <c r="F66" s="8">
        <f t="shared" si="11"/>
        <v>13.443547107771737</v>
      </c>
      <c r="G66" s="8">
        <f t="shared" si="11"/>
        <v>13.208981099900527</v>
      </c>
      <c r="H66" s="8">
        <f t="shared" si="11"/>
        <v>14.087882073014487</v>
      </c>
      <c r="I66" s="8">
        <f t="shared" si="11"/>
        <v>14.889389812040315</v>
      </c>
      <c r="J66" s="8">
        <f t="shared" si="11"/>
        <v>16.730832829199436</v>
      </c>
      <c r="K66" s="8">
        <f t="shared" si="11"/>
        <v>21.632792721518989</v>
      </c>
      <c r="L66" s="8">
        <f t="shared" si="11"/>
        <v>18.04961041650488</v>
      </c>
      <c r="M66" s="27"/>
      <c r="N66" s="1"/>
    </row>
    <row r="67" spans="1:14">
      <c r="B67" s="1"/>
      <c r="C67" s="1"/>
      <c r="D67" s="1"/>
      <c r="E67" s="1"/>
      <c r="F67" s="1"/>
      <c r="G67" s="1"/>
      <c r="H67" s="1"/>
      <c r="I67" s="1"/>
      <c r="J67" s="1"/>
      <c r="K67" s="1"/>
      <c r="L67" s="1"/>
      <c r="M67" s="27"/>
      <c r="N67" s="1"/>
    </row>
    <row r="68" spans="1:14">
      <c r="A68" t="s">
        <v>75</v>
      </c>
      <c r="B68" s="1"/>
      <c r="C68" s="1"/>
      <c r="D68" s="1"/>
      <c r="E68" s="1"/>
      <c r="F68" s="1"/>
      <c r="G68" s="1"/>
      <c r="H68" s="1"/>
      <c r="I68" s="1"/>
      <c r="J68" s="1"/>
      <c r="K68" s="1"/>
      <c r="L68" s="1"/>
      <c r="M68" s="27"/>
      <c r="N68" s="1"/>
    </row>
    <row r="69" spans="1:14">
      <c r="A69" s="40" t="s">
        <v>59</v>
      </c>
      <c r="B69" s="1">
        <f t="shared" ref="B69:J69" si="12">B41/B60</f>
        <v>125430.57142857143</v>
      </c>
      <c r="C69" s="1">
        <f t="shared" si="12"/>
        <v>124909.62962962964</v>
      </c>
      <c r="D69" s="1">
        <f t="shared" si="12"/>
        <v>131776.29629629629</v>
      </c>
      <c r="E69" s="1">
        <f t="shared" si="12"/>
        <v>132451.25925925927</v>
      </c>
      <c r="F69" s="1">
        <f t="shared" si="12"/>
        <v>138102.07407407407</v>
      </c>
      <c r="G69" s="1">
        <f t="shared" si="12"/>
        <v>116189.5</v>
      </c>
      <c r="H69" s="1">
        <f t="shared" si="12"/>
        <v>111180</v>
      </c>
      <c r="I69" s="1">
        <f t="shared" si="12"/>
        <v>123244.53213077791</v>
      </c>
      <c r="J69" s="1">
        <f t="shared" si="12"/>
        <v>156053.04075235111</v>
      </c>
      <c r="K69" s="1">
        <f>J41/K60</f>
        <v>138665.51532033426</v>
      </c>
      <c r="L69" s="1">
        <f>K41/L60</f>
        <v>182800.11142061281</v>
      </c>
      <c r="M69" s="19"/>
    </row>
    <row r="70" spans="1:14">
      <c r="A70" s="9" t="s">
        <v>66</v>
      </c>
      <c r="B70" s="1">
        <f t="shared" ref="B70:J70" si="13">B42/B61</f>
        <v>125430.57142857143</v>
      </c>
      <c r="C70" s="1">
        <f t="shared" si="13"/>
        <v>124909.62962962964</v>
      </c>
      <c r="D70" s="1">
        <f t="shared" si="13"/>
        <v>131776.29629629629</v>
      </c>
      <c r="E70" s="1">
        <f t="shared" si="13"/>
        <v>132451.25925925927</v>
      </c>
      <c r="F70" s="1">
        <f t="shared" si="13"/>
        <v>138102.07407407407</v>
      </c>
      <c r="G70" s="1">
        <f t="shared" si="13"/>
        <v>116189.5</v>
      </c>
      <c r="H70" s="1">
        <f t="shared" si="13"/>
        <v>111180</v>
      </c>
      <c r="I70" s="1">
        <f t="shared" si="13"/>
        <v>123244.53213077791</v>
      </c>
      <c r="J70" s="1">
        <f t="shared" si="13"/>
        <v>156053.04075235111</v>
      </c>
      <c r="K70" s="1">
        <f>K42/K61</f>
        <v>182800.11142061281</v>
      </c>
      <c r="L70" s="1">
        <f>L42/L61</f>
        <v>155381.504178273</v>
      </c>
      <c r="M70" s="27"/>
      <c r="N70" s="1"/>
    </row>
    <row r="71" spans="1:14">
      <c r="B71" s="1"/>
      <c r="C71" s="1"/>
      <c r="D71" s="1"/>
      <c r="E71" s="1"/>
      <c r="F71" s="1"/>
      <c r="G71" s="1"/>
      <c r="H71" s="1"/>
      <c r="I71" s="1"/>
      <c r="J71" s="1"/>
      <c r="K71" s="1"/>
      <c r="L71" s="1"/>
      <c r="M71" s="19"/>
    </row>
    <row r="72" spans="1:14">
      <c r="B72" s="254">
        <v>2009</v>
      </c>
      <c r="C72" s="254">
        <v>2010</v>
      </c>
      <c r="D72" s="254">
        <v>2011</v>
      </c>
      <c r="E72" s="254">
        <v>2012</v>
      </c>
      <c r="F72" s="254">
        <v>2013</v>
      </c>
      <c r="G72" s="254">
        <v>2014</v>
      </c>
      <c r="H72" s="254">
        <v>2015</v>
      </c>
      <c r="I72" s="254">
        <v>2016</v>
      </c>
      <c r="J72" s="254">
        <v>2017</v>
      </c>
      <c r="K72" s="254">
        <v>2018</v>
      </c>
      <c r="L72" s="254">
        <v>2019</v>
      </c>
      <c r="M72" s="27"/>
      <c r="N72" s="1"/>
    </row>
    <row r="73" spans="1:14">
      <c r="A73" t="s">
        <v>69</v>
      </c>
      <c r="B73" s="14">
        <f>B60/(B56/1000)</f>
        <v>0.10820837842015768</v>
      </c>
      <c r="C73" s="14">
        <f t="shared" ref="C73:L73" si="14">C60/(C56/1000)</f>
        <v>0.10686805357651753</v>
      </c>
      <c r="D73" s="14">
        <f t="shared" si="14"/>
        <v>9.9642762244988331E-2</v>
      </c>
      <c r="E73" s="14">
        <f t="shared" si="14"/>
        <v>9.8166111603961548E-2</v>
      </c>
      <c r="F73" s="14">
        <f t="shared" si="14"/>
        <v>9.734500511962621E-2</v>
      </c>
      <c r="G73" s="14">
        <f t="shared" si="14"/>
        <v>0.11368480886741508</v>
      </c>
      <c r="H73" s="14">
        <f t="shared" si="14"/>
        <v>0.12671237698340068</v>
      </c>
      <c r="I73" s="14">
        <f t="shared" si="14"/>
        <v>0.12081176791065104</v>
      </c>
      <c r="J73" s="14">
        <f t="shared" si="14"/>
        <v>0.10721247563352826</v>
      </c>
      <c r="K73" s="14">
        <f t="shared" si="14"/>
        <v>0.11834124472573838</v>
      </c>
      <c r="L73" s="14">
        <f t="shared" si="14"/>
        <v>0.11616318500685976</v>
      </c>
      <c r="M73" s="27"/>
      <c r="N73" s="1"/>
    </row>
    <row r="74" spans="1:14">
      <c r="A74" t="s">
        <v>67</v>
      </c>
      <c r="B74" s="14">
        <f t="shared" ref="B74:L74" si="15">B61/(B56/1000)</f>
        <v>0.10820837842015768</v>
      </c>
      <c r="C74" s="14">
        <f t="shared" si="15"/>
        <v>0.10686805357651753</v>
      </c>
      <c r="D74" s="14">
        <f t="shared" si="15"/>
        <v>9.9642762244988331E-2</v>
      </c>
      <c r="E74" s="14">
        <f t="shared" si="15"/>
        <v>9.8166111603961548E-2</v>
      </c>
      <c r="F74" s="14">
        <f t="shared" si="15"/>
        <v>9.734500511962621E-2</v>
      </c>
      <c r="G74" s="14">
        <f t="shared" si="15"/>
        <v>0.11368480886741508</v>
      </c>
      <c r="H74" s="14">
        <f t="shared" si="15"/>
        <v>0.12671237698340068</v>
      </c>
      <c r="I74" s="14">
        <f t="shared" si="15"/>
        <v>0.12081176791065104</v>
      </c>
      <c r="J74" s="14">
        <f t="shared" si="15"/>
        <v>0.10721247563352826</v>
      </c>
      <c r="K74" s="14">
        <f t="shared" si="15"/>
        <v>0.11834124472573838</v>
      </c>
      <c r="L74" s="14">
        <f t="shared" si="15"/>
        <v>0.11616318500685976</v>
      </c>
      <c r="M74" s="27"/>
      <c r="N74" s="1"/>
    </row>
    <row r="75" spans="1:14">
      <c r="M75" s="27"/>
      <c r="N75" s="1"/>
    </row>
    <row r="76" spans="1:14">
      <c r="M76" s="27"/>
      <c r="N76" s="1"/>
    </row>
    <row r="77" spans="1:14">
      <c r="M77" s="27"/>
      <c r="N77" s="1"/>
    </row>
    <row r="78" spans="1:14">
      <c r="M78" s="27"/>
      <c r="N78" s="1"/>
    </row>
    <row r="79" spans="1:14">
      <c r="M79" s="19"/>
    </row>
    <row r="80" spans="1:14">
      <c r="M80" s="27"/>
      <c r="N80" s="1"/>
    </row>
    <row r="81" spans="1:14">
      <c r="M81" s="27"/>
      <c r="N81" s="1"/>
    </row>
    <row r="82" spans="1:14">
      <c r="M82" s="27"/>
      <c r="N82" s="1"/>
    </row>
    <row r="83" spans="1:14" s="17" customFormat="1">
      <c r="A83"/>
      <c r="B83"/>
      <c r="C83"/>
      <c r="D83"/>
      <c r="E83"/>
      <c r="F83"/>
      <c r="G83"/>
      <c r="H83"/>
      <c r="I83"/>
      <c r="J83"/>
      <c r="K83"/>
      <c r="L83"/>
      <c r="M83" s="79"/>
      <c r="N83" s="33"/>
    </row>
    <row r="84" spans="1:14">
      <c r="M84" s="27"/>
      <c r="N84" s="1"/>
    </row>
    <row r="85" spans="1:14">
      <c r="M85" s="27"/>
      <c r="N85" s="1"/>
    </row>
    <row r="86" spans="1:14">
      <c r="M86" s="27"/>
      <c r="N86" s="1"/>
    </row>
    <row r="87" spans="1:14">
      <c r="M87" s="27"/>
      <c r="N87" s="1"/>
    </row>
    <row r="88" spans="1:14">
      <c r="M88" s="27"/>
      <c r="N88" s="1"/>
    </row>
    <row r="89" spans="1:14">
      <c r="M89" s="27"/>
      <c r="N89" s="1"/>
    </row>
    <row r="90" spans="1:14">
      <c r="M90" s="27"/>
      <c r="N90" s="1"/>
    </row>
    <row r="91" spans="1:14">
      <c r="M91" s="27"/>
      <c r="N91" s="1"/>
    </row>
    <row r="92" spans="1:14">
      <c r="M92" s="27"/>
      <c r="N92" s="1"/>
    </row>
    <row r="93" spans="1:14">
      <c r="M93" s="27"/>
      <c r="N93" s="1"/>
    </row>
    <row r="94" spans="1:14">
      <c r="M94" s="27"/>
      <c r="N94" s="1"/>
    </row>
    <row r="95" spans="1:14">
      <c r="M95" s="27"/>
      <c r="N95" s="1"/>
    </row>
    <row r="96" spans="1:14">
      <c r="M96" s="27"/>
      <c r="N96" s="1"/>
    </row>
    <row r="97" spans="13:13">
      <c r="M97" s="19"/>
    </row>
    <row r="98" spans="13:13">
      <c r="M98" s="19"/>
    </row>
    <row r="99" spans="13:13">
      <c r="M99" s="19"/>
    </row>
    <row r="100" spans="13:13">
      <c r="M100" s="19"/>
    </row>
    <row r="101" spans="13:13">
      <c r="M101" s="19"/>
    </row>
    <row r="102" spans="13:13">
      <c r="M102" s="19"/>
    </row>
    <row r="103" spans="13:13">
      <c r="M103" s="19"/>
    </row>
    <row r="104" spans="13:13">
      <c r="M104" s="19"/>
    </row>
    <row r="105" spans="13:13">
      <c r="M105" s="19"/>
    </row>
    <row r="106" spans="13:13">
      <c r="M106" s="19"/>
    </row>
    <row r="107" spans="13:13">
      <c r="M107" s="19"/>
    </row>
    <row r="108" spans="13:13">
      <c r="M108" s="19"/>
    </row>
    <row r="109" spans="13:13">
      <c r="M109" s="19"/>
    </row>
    <row r="110" spans="13:13">
      <c r="M110" s="19"/>
    </row>
    <row r="111" spans="13:13">
      <c r="M111" s="19"/>
    </row>
    <row r="112" spans="13:13">
      <c r="M112" s="19"/>
    </row>
    <row r="113" spans="13:13">
      <c r="M113" s="19"/>
    </row>
    <row r="114" spans="13:13">
      <c r="M114" s="19"/>
    </row>
    <row r="115" spans="13:13">
      <c r="M115" s="19"/>
    </row>
    <row r="116" spans="13:13">
      <c r="M116" s="19"/>
    </row>
    <row r="117" spans="13:13">
      <c r="M117" s="19"/>
    </row>
    <row r="118" spans="13:13">
      <c r="M118" s="19"/>
    </row>
    <row r="119" spans="13:13">
      <c r="M119" s="19"/>
    </row>
    <row r="120" spans="13:13">
      <c r="M120" s="19"/>
    </row>
    <row r="121" spans="13:13">
      <c r="M121" s="19"/>
    </row>
    <row r="122" spans="13:13">
      <c r="M122" s="19"/>
    </row>
    <row r="123" spans="13:13">
      <c r="M123" s="19"/>
    </row>
    <row r="124" spans="13:13">
      <c r="M124" s="19"/>
    </row>
    <row r="125" spans="13:13">
      <c r="M125" s="19"/>
    </row>
    <row r="126" spans="13:13">
      <c r="M126" s="19"/>
    </row>
    <row r="127" spans="13:13">
      <c r="M127" s="19"/>
    </row>
    <row r="128" spans="13:13">
      <c r="M128" s="19"/>
    </row>
    <row r="129" spans="13:13">
      <c r="M129" s="19"/>
    </row>
    <row r="130" spans="13:13">
      <c r="M130" s="19"/>
    </row>
    <row r="131" spans="13:13">
      <c r="M131" s="19"/>
    </row>
    <row r="132" spans="13:13">
      <c r="M132" s="19"/>
    </row>
    <row r="133" spans="13:13">
      <c r="M133" s="19"/>
    </row>
    <row r="134" spans="13:13">
      <c r="M134" s="19"/>
    </row>
    <row r="135" spans="13:13">
      <c r="M135" s="19"/>
    </row>
    <row r="136" spans="13:13">
      <c r="M136" s="19"/>
    </row>
    <row r="137" spans="13:13">
      <c r="M137" s="19"/>
    </row>
    <row r="138" spans="13:13">
      <c r="M138" s="19"/>
    </row>
    <row r="139" spans="13:13">
      <c r="M139" s="19"/>
    </row>
    <row r="140" spans="13:13">
      <c r="M140" s="19"/>
    </row>
    <row r="141" spans="13:13">
      <c r="M141" s="19"/>
    </row>
    <row r="142" spans="13:13">
      <c r="M142" s="19"/>
    </row>
    <row r="143" spans="13:13">
      <c r="M143" s="19"/>
    </row>
    <row r="144" spans="13:13">
      <c r="M144" s="19"/>
    </row>
    <row r="145" spans="13:13">
      <c r="M145" s="19"/>
    </row>
    <row r="146" spans="13:13">
      <c r="M146" s="19"/>
    </row>
    <row r="147" spans="13:13">
      <c r="M147" s="19"/>
    </row>
    <row r="148" spans="13:13">
      <c r="M148" s="19"/>
    </row>
    <row r="149" spans="13:13">
      <c r="M149" s="19"/>
    </row>
    <row r="150" spans="13:13">
      <c r="M150" s="19"/>
    </row>
    <row r="151" spans="13:13">
      <c r="M151" s="19"/>
    </row>
    <row r="152" spans="13:13">
      <c r="M152" s="19"/>
    </row>
    <row r="153" spans="13:13">
      <c r="M153" s="19"/>
    </row>
    <row r="154" spans="13:13">
      <c r="M154" s="19"/>
    </row>
    <row r="155" spans="13:13">
      <c r="M155" s="19"/>
    </row>
    <row r="156" spans="13:13">
      <c r="M156" s="19"/>
    </row>
    <row r="157" spans="13:13">
      <c r="M157" s="19"/>
    </row>
    <row r="158" spans="13:13">
      <c r="M158" s="19"/>
    </row>
    <row r="159" spans="13:13">
      <c r="M159" s="19"/>
    </row>
    <row r="160" spans="13:13">
      <c r="M160" s="19"/>
    </row>
    <row r="161" spans="13:13">
      <c r="M161" s="19"/>
    </row>
    <row r="162" spans="13:13">
      <c r="M162" s="19"/>
    </row>
    <row r="163" spans="13:13">
      <c r="M163" s="19"/>
    </row>
    <row r="164" spans="13:13">
      <c r="M164" s="19"/>
    </row>
    <row r="165" spans="13:13">
      <c r="M165" s="19"/>
    </row>
    <row r="166" spans="13:13">
      <c r="M166" s="19"/>
    </row>
    <row r="167" spans="13:13">
      <c r="M167" s="19"/>
    </row>
    <row r="168" spans="13:13">
      <c r="M168" s="19"/>
    </row>
    <row r="169" spans="13:13">
      <c r="M169" s="19"/>
    </row>
    <row r="170" spans="13:13">
      <c r="M170" s="19"/>
    </row>
    <row r="171" spans="13:13">
      <c r="M171" s="19"/>
    </row>
    <row r="172" spans="13:13">
      <c r="M172" s="19"/>
    </row>
    <row r="173" spans="13:13">
      <c r="M173" s="19"/>
    </row>
    <row r="174" spans="13:13">
      <c r="M174" s="19"/>
    </row>
    <row r="175" spans="13:13">
      <c r="M175" s="19"/>
    </row>
    <row r="176" spans="13:13">
      <c r="M176" s="19"/>
    </row>
    <row r="177" spans="13:13">
      <c r="M177" s="19"/>
    </row>
    <row r="178" spans="13:13">
      <c r="M178" s="19"/>
    </row>
    <row r="179" spans="13:13">
      <c r="M179" s="19"/>
    </row>
    <row r="180" spans="13:13">
      <c r="M180" s="19"/>
    </row>
    <row r="181" spans="13:13">
      <c r="M181" s="19"/>
    </row>
    <row r="182" spans="13:13">
      <c r="M182" s="19"/>
    </row>
    <row r="183" spans="13:13">
      <c r="M183" s="19"/>
    </row>
    <row r="184" spans="13:13">
      <c r="M184" s="19"/>
    </row>
    <row r="185" spans="13:13">
      <c r="M185" s="19"/>
    </row>
    <row r="186" spans="13:13">
      <c r="M186" s="19"/>
    </row>
    <row r="187" spans="13:13">
      <c r="M187" s="19"/>
    </row>
    <row r="188" spans="13:13">
      <c r="M188" s="19"/>
    </row>
    <row r="189" spans="13:13">
      <c r="M189" s="19"/>
    </row>
    <row r="190" spans="13:13">
      <c r="M190" s="19"/>
    </row>
    <row r="191" spans="13:13">
      <c r="M191" s="19"/>
    </row>
    <row r="192" spans="13:13">
      <c r="M192" s="19"/>
    </row>
    <row r="193" spans="13:13">
      <c r="M193" s="19"/>
    </row>
    <row r="194" spans="13:13">
      <c r="M194" s="19"/>
    </row>
    <row r="195" spans="13:13">
      <c r="M195" s="19"/>
    </row>
    <row r="196" spans="13:13">
      <c r="M196" s="19"/>
    </row>
    <row r="197" spans="13:13">
      <c r="M197" s="19"/>
    </row>
    <row r="198" spans="13:13">
      <c r="M198" s="19"/>
    </row>
    <row r="199" spans="13:13">
      <c r="M199" s="19"/>
    </row>
    <row r="200" spans="13:13">
      <c r="M200" s="19"/>
    </row>
    <row r="201" spans="13:13">
      <c r="M201" s="19"/>
    </row>
    <row r="202" spans="13:13">
      <c r="M202" s="19"/>
    </row>
    <row r="203" spans="13:13">
      <c r="M203" s="19"/>
    </row>
    <row r="204" spans="13:13">
      <c r="M204" s="19"/>
    </row>
    <row r="205" spans="13:13">
      <c r="M205" s="19"/>
    </row>
    <row r="206" spans="13:13">
      <c r="M206" s="19"/>
    </row>
    <row r="207" spans="13:13">
      <c r="M207" s="19"/>
    </row>
    <row r="208" spans="13:13">
      <c r="M208" s="19"/>
    </row>
    <row r="209" spans="13:13">
      <c r="M209" s="19"/>
    </row>
    <row r="210" spans="13:13">
      <c r="M210" s="19"/>
    </row>
    <row r="211" spans="13:13">
      <c r="M211" s="19"/>
    </row>
    <row r="212" spans="13:13">
      <c r="M212" s="19"/>
    </row>
    <row r="213" spans="13:13">
      <c r="M213" s="19"/>
    </row>
    <row r="214" spans="13:13">
      <c r="M214" s="19"/>
    </row>
    <row r="215" spans="13:13">
      <c r="M215" s="19"/>
    </row>
    <row r="216" spans="13:13">
      <c r="M216" s="19"/>
    </row>
    <row r="217" spans="13:13">
      <c r="M217" s="19"/>
    </row>
    <row r="218" spans="13:13">
      <c r="M218" s="19"/>
    </row>
    <row r="219" spans="13:13">
      <c r="M219" s="19"/>
    </row>
    <row r="220" spans="13:13">
      <c r="M220" s="19"/>
    </row>
    <row r="221" spans="13:13">
      <c r="M221" s="19"/>
    </row>
    <row r="222" spans="13:13">
      <c r="M222" s="19"/>
    </row>
    <row r="223" spans="13:13">
      <c r="M223" s="19"/>
    </row>
    <row r="224" spans="13:13">
      <c r="M224" s="19"/>
    </row>
    <row r="225" spans="13:13">
      <c r="M225" s="19"/>
    </row>
    <row r="226" spans="13:13">
      <c r="M226" s="19"/>
    </row>
    <row r="227" spans="13:13">
      <c r="M227" s="19"/>
    </row>
    <row r="228" spans="13:13">
      <c r="M228" s="19"/>
    </row>
    <row r="229" spans="13:13">
      <c r="M229" s="19"/>
    </row>
    <row r="230" spans="13:13">
      <c r="M230" s="19"/>
    </row>
    <row r="231" spans="13:13">
      <c r="M231" s="19"/>
    </row>
    <row r="232" spans="13:13">
      <c r="M232" s="19"/>
    </row>
    <row r="233" spans="13:13">
      <c r="M233" s="19"/>
    </row>
    <row r="234" spans="13:13">
      <c r="M234" s="19"/>
    </row>
    <row r="235" spans="13:13">
      <c r="M235" s="19"/>
    </row>
    <row r="236" spans="13:13">
      <c r="M236" s="19"/>
    </row>
    <row r="237" spans="13:13">
      <c r="M237" s="19"/>
    </row>
    <row r="238" spans="13:13">
      <c r="M238" s="19"/>
    </row>
    <row r="239" spans="13:13">
      <c r="M239" s="19"/>
    </row>
    <row r="240" spans="13:13">
      <c r="M240" s="19"/>
    </row>
    <row r="241" spans="13:13">
      <c r="M241" s="19"/>
    </row>
    <row r="242" spans="13:13">
      <c r="M242" s="19"/>
    </row>
    <row r="243" spans="13:13">
      <c r="M243" s="19"/>
    </row>
    <row r="244" spans="13:13">
      <c r="M244" s="19"/>
    </row>
    <row r="245" spans="13:13">
      <c r="M245" s="19"/>
    </row>
    <row r="246" spans="13:13">
      <c r="M246" s="19"/>
    </row>
    <row r="247" spans="13:13">
      <c r="M247" s="19"/>
    </row>
    <row r="248" spans="13:13">
      <c r="M248" s="19"/>
    </row>
    <row r="249" spans="13:13">
      <c r="M249" s="19"/>
    </row>
    <row r="250" spans="13:13">
      <c r="M250" s="19"/>
    </row>
    <row r="251" spans="13:13">
      <c r="M251" s="19"/>
    </row>
    <row r="252" spans="13:13">
      <c r="M252" s="19"/>
    </row>
    <row r="253" spans="13:13">
      <c r="M253" s="19"/>
    </row>
    <row r="254" spans="13:13">
      <c r="M254" s="19"/>
    </row>
    <row r="255" spans="13:13">
      <c r="M255" s="19"/>
    </row>
    <row r="256" spans="13:13">
      <c r="M256" s="19"/>
    </row>
    <row r="257" spans="13:13">
      <c r="M257" s="19"/>
    </row>
    <row r="258" spans="13:13">
      <c r="M258" s="19"/>
    </row>
    <row r="259" spans="13:13">
      <c r="M259" s="19"/>
    </row>
    <row r="260" spans="13:13">
      <c r="M260" s="19"/>
    </row>
    <row r="261" spans="13:13">
      <c r="M261" s="19"/>
    </row>
    <row r="262" spans="13:13">
      <c r="M262" s="19"/>
    </row>
    <row r="263" spans="13:13">
      <c r="M263" s="19"/>
    </row>
    <row r="264" spans="13:13">
      <c r="M264" s="19"/>
    </row>
    <row r="265" spans="13:13">
      <c r="M265" s="19"/>
    </row>
    <row r="266" spans="13:13">
      <c r="M266" s="19"/>
    </row>
    <row r="267" spans="13:13">
      <c r="M267" s="19"/>
    </row>
    <row r="268" spans="13:13">
      <c r="M268" s="19"/>
    </row>
    <row r="269" spans="13:13">
      <c r="M269" s="19"/>
    </row>
    <row r="270" spans="13:13">
      <c r="M270" s="19"/>
    </row>
    <row r="271" spans="13:13">
      <c r="M271" s="19"/>
    </row>
    <row r="272" spans="13:13">
      <c r="M272" s="19"/>
    </row>
    <row r="273" spans="13:13">
      <c r="M273" s="19"/>
    </row>
    <row r="274" spans="13:13">
      <c r="M274" s="19"/>
    </row>
    <row r="275" spans="13:13">
      <c r="M275" s="19"/>
    </row>
    <row r="276" spans="13:13">
      <c r="M276" s="19"/>
    </row>
    <row r="277" spans="13:13">
      <c r="M277" s="19"/>
    </row>
    <row r="278" spans="13:13">
      <c r="M278" s="19"/>
    </row>
    <row r="279" spans="13:13">
      <c r="M279" s="19"/>
    </row>
    <row r="280" spans="13:13">
      <c r="M280" s="19"/>
    </row>
    <row r="281" spans="13:13">
      <c r="M281" s="19"/>
    </row>
    <row r="282" spans="13:13">
      <c r="M282" s="19"/>
    </row>
    <row r="283" spans="13:13">
      <c r="M283" s="19"/>
    </row>
    <row r="284" spans="13:13">
      <c r="M284" s="19"/>
    </row>
    <row r="285" spans="13:13">
      <c r="M285" s="19"/>
    </row>
    <row r="286" spans="13:13">
      <c r="M286" s="19"/>
    </row>
    <row r="287" spans="13:13">
      <c r="M287" s="19"/>
    </row>
    <row r="288" spans="13:13">
      <c r="M288" s="19"/>
    </row>
    <row r="289" spans="13:13">
      <c r="M289" s="19"/>
    </row>
    <row r="290" spans="13:13">
      <c r="M290" s="19"/>
    </row>
    <row r="291" spans="13:13">
      <c r="M291" s="19"/>
    </row>
    <row r="292" spans="13:13">
      <c r="M292" s="19"/>
    </row>
    <row r="293" spans="13:13">
      <c r="M293" s="19"/>
    </row>
    <row r="294" spans="13:13">
      <c r="M294" s="19"/>
    </row>
    <row r="295" spans="13:13">
      <c r="M295" s="19"/>
    </row>
    <row r="296" spans="13:13">
      <c r="M296" s="19"/>
    </row>
    <row r="297" spans="13:13">
      <c r="M297" s="19"/>
    </row>
    <row r="298" spans="13:13">
      <c r="M298" s="19"/>
    </row>
    <row r="299" spans="13:13">
      <c r="M299" s="19"/>
    </row>
    <row r="300" spans="13:13">
      <c r="M300" s="19"/>
    </row>
    <row r="301" spans="13:13">
      <c r="M301" s="19"/>
    </row>
    <row r="302" spans="13:13">
      <c r="M302" s="19"/>
    </row>
    <row r="303" spans="13:13">
      <c r="M303" s="19"/>
    </row>
    <row r="304" spans="13:13">
      <c r="M304" s="19"/>
    </row>
    <row r="305" spans="13:13">
      <c r="M305" s="19"/>
    </row>
    <row r="306" spans="13:13">
      <c r="M306" s="19"/>
    </row>
    <row r="307" spans="13:13">
      <c r="M307" s="19"/>
    </row>
    <row r="308" spans="13:13">
      <c r="M308" s="19"/>
    </row>
    <row r="309" spans="13:13">
      <c r="M309" s="19"/>
    </row>
    <row r="310" spans="13:13">
      <c r="M310" s="19"/>
    </row>
    <row r="311" spans="13:13">
      <c r="M311" s="19"/>
    </row>
    <row r="312" spans="13:13">
      <c r="M312" s="19"/>
    </row>
    <row r="313" spans="13:13">
      <c r="M313" s="19"/>
    </row>
    <row r="314" spans="13:13">
      <c r="M314" s="19"/>
    </row>
    <row r="315" spans="13:13">
      <c r="M315" s="19"/>
    </row>
    <row r="316" spans="13:13">
      <c r="M316" s="19"/>
    </row>
    <row r="317" spans="13:13">
      <c r="M317" s="19"/>
    </row>
    <row r="318" spans="13:13">
      <c r="M318" s="19"/>
    </row>
    <row r="319" spans="13:13">
      <c r="M319" s="19"/>
    </row>
    <row r="320" spans="13:13">
      <c r="M320" s="19"/>
    </row>
    <row r="321" spans="13:13">
      <c r="M321" s="19"/>
    </row>
    <row r="322" spans="13:13">
      <c r="M322" s="19"/>
    </row>
    <row r="323" spans="13:13">
      <c r="M323" s="19"/>
    </row>
    <row r="324" spans="13:13">
      <c r="M324" s="19"/>
    </row>
    <row r="325" spans="13:13">
      <c r="M325" s="19"/>
    </row>
    <row r="326" spans="13:13">
      <c r="M326" s="19"/>
    </row>
    <row r="327" spans="13:13">
      <c r="M327" s="19"/>
    </row>
    <row r="328" spans="13:13">
      <c r="M328" s="19"/>
    </row>
    <row r="329" spans="13:13">
      <c r="M329" s="19"/>
    </row>
    <row r="330" spans="13:13">
      <c r="M330" s="19"/>
    </row>
    <row r="331" spans="13:13">
      <c r="M331" s="19"/>
    </row>
    <row r="332" spans="13:13">
      <c r="M332" s="19"/>
    </row>
    <row r="333" spans="13:13">
      <c r="M333" s="19"/>
    </row>
    <row r="334" spans="13:13">
      <c r="M334" s="19"/>
    </row>
    <row r="335" spans="13:13">
      <c r="M335" s="19"/>
    </row>
    <row r="336" spans="13:13">
      <c r="M336" s="19"/>
    </row>
    <row r="337" spans="13:13">
      <c r="M337" s="19"/>
    </row>
    <row r="338" spans="13:13">
      <c r="M338" s="19"/>
    </row>
    <row r="339" spans="13:13">
      <c r="M339" s="19"/>
    </row>
    <row r="340" spans="13:13">
      <c r="M340" s="19"/>
    </row>
    <row r="341" spans="13:13">
      <c r="M341" s="19"/>
    </row>
    <row r="342" spans="13:13">
      <c r="M342" s="19"/>
    </row>
    <row r="343" spans="13:13">
      <c r="M343" s="19"/>
    </row>
    <row r="344" spans="13:13">
      <c r="M344" s="19"/>
    </row>
    <row r="345" spans="13:13">
      <c r="M345" s="19"/>
    </row>
    <row r="346" spans="13:13">
      <c r="M346" s="19"/>
    </row>
    <row r="347" spans="13:13">
      <c r="M347" s="19"/>
    </row>
    <row r="348" spans="13:13">
      <c r="M348" s="19"/>
    </row>
    <row r="349" spans="13:13">
      <c r="M349" s="19"/>
    </row>
    <row r="350" spans="13:13">
      <c r="M350" s="19"/>
    </row>
    <row r="351" spans="13:13">
      <c r="M351" s="19"/>
    </row>
    <row r="352" spans="13:13">
      <c r="M352" s="19"/>
    </row>
    <row r="353" spans="13:13">
      <c r="M353" s="19"/>
    </row>
    <row r="354" spans="13:13">
      <c r="M354" s="19"/>
    </row>
    <row r="355" spans="13:13">
      <c r="M355" s="19"/>
    </row>
    <row r="356" spans="13:13">
      <c r="M356" s="19"/>
    </row>
    <row r="357" spans="13:13">
      <c r="M357" s="19"/>
    </row>
    <row r="358" spans="13:13">
      <c r="M358" s="19"/>
    </row>
    <row r="359" spans="13:13">
      <c r="M359" s="19"/>
    </row>
    <row r="360" spans="13:13">
      <c r="M360" s="19"/>
    </row>
    <row r="361" spans="13:13">
      <c r="M361" s="19"/>
    </row>
    <row r="362" spans="13:13">
      <c r="M362" s="19"/>
    </row>
    <row r="363" spans="13:13">
      <c r="M363" s="19"/>
    </row>
    <row r="364" spans="13:13">
      <c r="M364" s="19"/>
    </row>
    <row r="365" spans="13:13">
      <c r="M365" s="19"/>
    </row>
    <row r="366" spans="13:13">
      <c r="M366" s="19"/>
    </row>
    <row r="367" spans="13:13">
      <c r="M367" s="19"/>
    </row>
    <row r="368" spans="13:13">
      <c r="M368" s="19"/>
    </row>
    <row r="369" spans="13:13">
      <c r="M369" s="19"/>
    </row>
    <row r="370" spans="13:13">
      <c r="M370" s="19"/>
    </row>
    <row r="371" spans="13:13">
      <c r="M371" s="19"/>
    </row>
    <row r="372" spans="13:13">
      <c r="M372" s="19"/>
    </row>
    <row r="373" spans="13:13">
      <c r="M373" s="19"/>
    </row>
    <row r="374" spans="13:13">
      <c r="M374" s="19"/>
    </row>
    <row r="375" spans="13:13">
      <c r="M375" s="19"/>
    </row>
    <row r="376" spans="13:13">
      <c r="M376" s="19"/>
    </row>
    <row r="377" spans="13:13">
      <c r="M377" s="19"/>
    </row>
    <row r="378" spans="13:13">
      <c r="M378" s="19"/>
    </row>
    <row r="379" spans="13:13">
      <c r="M379" s="19"/>
    </row>
    <row r="380" spans="13:13">
      <c r="M380" s="19"/>
    </row>
    <row r="381" spans="13:13">
      <c r="M381" s="19"/>
    </row>
    <row r="382" spans="13:13">
      <c r="M382" s="19"/>
    </row>
    <row r="383" spans="13:13">
      <c r="M383" s="19"/>
    </row>
    <row r="384" spans="13:13">
      <c r="M384" s="19"/>
    </row>
    <row r="385" spans="13:13">
      <c r="M385" s="19"/>
    </row>
    <row r="386" spans="13:13">
      <c r="M386" s="19"/>
    </row>
    <row r="387" spans="13:13">
      <c r="M387" s="19"/>
    </row>
    <row r="388" spans="13:13">
      <c r="M388" s="19"/>
    </row>
    <row r="389" spans="13:13">
      <c r="M389" s="19"/>
    </row>
    <row r="390" spans="13:13">
      <c r="M390" s="19"/>
    </row>
    <row r="391" spans="13:13">
      <c r="M391" s="19"/>
    </row>
    <row r="392" spans="13:13">
      <c r="M392" s="19"/>
    </row>
    <row r="393" spans="13:13">
      <c r="M393" s="19"/>
    </row>
    <row r="394" spans="13:13">
      <c r="M394" s="19"/>
    </row>
    <row r="395" spans="13:13">
      <c r="M395" s="19"/>
    </row>
    <row r="396" spans="13:13">
      <c r="M396" s="19"/>
    </row>
    <row r="397" spans="13:13">
      <c r="M397" s="19"/>
    </row>
    <row r="398" spans="13:13">
      <c r="M398" s="19"/>
    </row>
    <row r="399" spans="13:13">
      <c r="M399" s="19"/>
    </row>
    <row r="400" spans="13:13">
      <c r="M400" s="19"/>
    </row>
    <row r="401" spans="13:13">
      <c r="M401" s="19"/>
    </row>
    <row r="402" spans="13:13">
      <c r="M402" s="19"/>
    </row>
    <row r="403" spans="13:13">
      <c r="M403" s="19"/>
    </row>
    <row r="404" spans="13:13">
      <c r="M404" s="19"/>
    </row>
    <row r="405" spans="13:13">
      <c r="M405" s="19"/>
    </row>
    <row r="406" spans="13:13">
      <c r="M406" s="19"/>
    </row>
    <row r="407" spans="13:13">
      <c r="M407" s="19"/>
    </row>
    <row r="408" spans="13:13">
      <c r="M408" s="19"/>
    </row>
    <row r="409" spans="13:13">
      <c r="M409" s="19"/>
    </row>
    <row r="410" spans="13:13">
      <c r="M410" s="19"/>
    </row>
    <row r="411" spans="13:13">
      <c r="M411" s="19"/>
    </row>
    <row r="412" spans="13:13">
      <c r="M412" s="19"/>
    </row>
    <row r="413" spans="13:13">
      <c r="M413" s="19"/>
    </row>
    <row r="414" spans="13:13">
      <c r="M414" s="19"/>
    </row>
    <row r="415" spans="13:13">
      <c r="M415" s="19"/>
    </row>
    <row r="416" spans="13:13">
      <c r="M416" s="19"/>
    </row>
    <row r="417" spans="13:13">
      <c r="M417" s="19"/>
    </row>
    <row r="418" spans="13:13">
      <c r="M418" s="19"/>
    </row>
    <row r="419" spans="13:13">
      <c r="M419" s="19"/>
    </row>
    <row r="420" spans="13:13">
      <c r="M420" s="19"/>
    </row>
    <row r="421" spans="13:13">
      <c r="M421" s="19"/>
    </row>
    <row r="422" spans="13:13">
      <c r="M422" s="19"/>
    </row>
    <row r="423" spans="13:13">
      <c r="M423" s="19"/>
    </row>
    <row r="424" spans="13:13">
      <c r="M424" s="19"/>
    </row>
    <row r="425" spans="13:13">
      <c r="M425" s="19"/>
    </row>
    <row r="426" spans="13:13">
      <c r="M426" s="19"/>
    </row>
    <row r="427" spans="13:13">
      <c r="M427" s="19"/>
    </row>
    <row r="428" spans="13:13">
      <c r="M428" s="19"/>
    </row>
    <row r="429" spans="13:13">
      <c r="M429" s="19"/>
    </row>
    <row r="430" spans="13:13">
      <c r="M430" s="19"/>
    </row>
    <row r="431" spans="13:13">
      <c r="M431" s="19"/>
    </row>
    <row r="432" spans="13:13">
      <c r="M432" s="19"/>
    </row>
    <row r="433" spans="13:13">
      <c r="M433" s="19"/>
    </row>
    <row r="434" spans="13:13">
      <c r="M434" s="19"/>
    </row>
    <row r="435" spans="13:13">
      <c r="M435" s="19"/>
    </row>
    <row r="436" spans="13:13">
      <c r="M436" s="19"/>
    </row>
    <row r="437" spans="13:13">
      <c r="M437" s="19"/>
    </row>
    <row r="438" spans="13:13">
      <c r="M438" s="19"/>
    </row>
    <row r="439" spans="13:13">
      <c r="M439" s="19"/>
    </row>
    <row r="440" spans="13:13">
      <c r="M440" s="19"/>
    </row>
    <row r="441" spans="13:13">
      <c r="M441" s="19"/>
    </row>
    <row r="442" spans="13:13">
      <c r="M442" s="19"/>
    </row>
    <row r="443" spans="13:13">
      <c r="M443" s="19"/>
    </row>
    <row r="444" spans="13:13">
      <c r="M444" s="19"/>
    </row>
    <row r="445" spans="13:13">
      <c r="M445" s="19"/>
    </row>
    <row r="446" spans="13:13">
      <c r="M446" s="19"/>
    </row>
    <row r="447" spans="13:13">
      <c r="M447" s="19"/>
    </row>
    <row r="448" spans="13:13">
      <c r="M448" s="19"/>
    </row>
    <row r="449" spans="13:13">
      <c r="M449" s="19"/>
    </row>
    <row r="450" spans="13:13">
      <c r="M450" s="19"/>
    </row>
    <row r="451" spans="13:13">
      <c r="M451" s="19"/>
    </row>
    <row r="452" spans="13:13">
      <c r="M452" s="19"/>
    </row>
    <row r="453" spans="13:13">
      <c r="M453" s="19"/>
    </row>
    <row r="454" spans="13:13">
      <c r="M454" s="19"/>
    </row>
    <row r="455" spans="13:13">
      <c r="M455" s="19"/>
    </row>
    <row r="456" spans="13:13">
      <c r="M456" s="19"/>
    </row>
    <row r="457" spans="13:13">
      <c r="M457" s="19"/>
    </row>
    <row r="458" spans="13:13">
      <c r="M458" s="19"/>
    </row>
    <row r="459" spans="13:13">
      <c r="M459" s="19"/>
    </row>
    <row r="460" spans="13:13">
      <c r="M460" s="19"/>
    </row>
    <row r="461" spans="13:13">
      <c r="M461" s="19"/>
    </row>
    <row r="462" spans="13:13">
      <c r="M462" s="19"/>
    </row>
    <row r="463" spans="13:13">
      <c r="M463" s="19"/>
    </row>
    <row r="464" spans="13:13">
      <c r="M464" s="19"/>
    </row>
    <row r="465" spans="13:13">
      <c r="M465" s="19"/>
    </row>
    <row r="466" spans="13:13">
      <c r="M466" s="19"/>
    </row>
    <row r="467" spans="13:13">
      <c r="M467" s="19"/>
    </row>
    <row r="468" spans="13:13">
      <c r="M468" s="19"/>
    </row>
    <row r="469" spans="13:13">
      <c r="M469" s="19"/>
    </row>
    <row r="470" spans="13:13">
      <c r="M470" s="19"/>
    </row>
    <row r="471" spans="13:13">
      <c r="M471" s="19"/>
    </row>
    <row r="472" spans="13:13">
      <c r="M472" s="19"/>
    </row>
    <row r="473" spans="13:13">
      <c r="M473" s="19"/>
    </row>
    <row r="474" spans="13:13">
      <c r="M474" s="19"/>
    </row>
    <row r="475" spans="13:13">
      <c r="M475" s="19"/>
    </row>
    <row r="476" spans="13:13">
      <c r="M476" s="19"/>
    </row>
    <row r="477" spans="13:13">
      <c r="M477" s="19"/>
    </row>
    <row r="478" spans="13:13">
      <c r="M478" s="19"/>
    </row>
    <row r="479" spans="13:13">
      <c r="M479" s="19"/>
    </row>
    <row r="480" spans="13:13">
      <c r="M480" s="19"/>
    </row>
    <row r="481" spans="13:13">
      <c r="M481" s="19"/>
    </row>
    <row r="482" spans="13:13">
      <c r="M482" s="19"/>
    </row>
    <row r="483" spans="13:13">
      <c r="M483" s="19"/>
    </row>
    <row r="484" spans="13:13">
      <c r="M484" s="19"/>
    </row>
    <row r="485" spans="13:13">
      <c r="M485" s="19"/>
    </row>
    <row r="486" spans="13:13">
      <c r="M486" s="19"/>
    </row>
    <row r="487" spans="13:13">
      <c r="M487" s="19"/>
    </row>
    <row r="488" spans="13:13">
      <c r="M488" s="19"/>
    </row>
    <row r="489" spans="13:13">
      <c r="M489" s="19"/>
    </row>
    <row r="490" spans="13:13">
      <c r="M490" s="19"/>
    </row>
    <row r="491" spans="13:13">
      <c r="M491" s="19"/>
    </row>
    <row r="492" spans="13:13">
      <c r="M492" s="19"/>
    </row>
    <row r="493" spans="13:13">
      <c r="M493" s="19"/>
    </row>
    <row r="494" spans="13:13">
      <c r="M494" s="19"/>
    </row>
    <row r="495" spans="13:13">
      <c r="M495" s="19"/>
    </row>
    <row r="496" spans="13:13">
      <c r="M496" s="19"/>
    </row>
    <row r="497" spans="13:13">
      <c r="M497" s="19"/>
    </row>
    <row r="498" spans="13:13">
      <c r="M498" s="19"/>
    </row>
    <row r="499" spans="13:13">
      <c r="M499" s="19"/>
    </row>
    <row r="500" spans="13:13">
      <c r="M500" s="19"/>
    </row>
    <row r="501" spans="13:13">
      <c r="M501" s="19"/>
    </row>
    <row r="502" spans="13:13">
      <c r="M502" s="19"/>
    </row>
    <row r="503" spans="13:13">
      <c r="M503" s="19"/>
    </row>
    <row r="504" spans="13:13">
      <c r="M504" s="19"/>
    </row>
    <row r="505" spans="13:13">
      <c r="M505" s="19"/>
    </row>
    <row r="506" spans="13:13">
      <c r="M506" s="19"/>
    </row>
    <row r="507" spans="13:13">
      <c r="M507" s="19"/>
    </row>
    <row r="508" spans="13:13">
      <c r="M508" s="19"/>
    </row>
    <row r="509" spans="13:13">
      <c r="M509" s="19"/>
    </row>
    <row r="510" spans="13:13">
      <c r="M510" s="19"/>
    </row>
    <row r="511" spans="13:13">
      <c r="M511" s="19"/>
    </row>
    <row r="512" spans="13:13">
      <c r="M512" s="19"/>
    </row>
    <row r="513" spans="13:13">
      <c r="M513" s="19"/>
    </row>
    <row r="514" spans="13:13">
      <c r="M514" s="19"/>
    </row>
    <row r="515" spans="13:13">
      <c r="M515" s="19"/>
    </row>
    <row r="516" spans="13:13">
      <c r="M516" s="19"/>
    </row>
    <row r="517" spans="13:13">
      <c r="M517" s="19"/>
    </row>
    <row r="518" spans="13:13">
      <c r="M518" s="19"/>
    </row>
    <row r="519" spans="13:13">
      <c r="M519" s="19"/>
    </row>
    <row r="520" spans="13:13">
      <c r="M520" s="19"/>
    </row>
    <row r="521" spans="13:13">
      <c r="M521" s="19"/>
    </row>
    <row r="522" spans="13:13">
      <c r="M522" s="19"/>
    </row>
    <row r="523" spans="13:13">
      <c r="M523" s="19"/>
    </row>
    <row r="524" spans="13:13">
      <c r="M524" s="19"/>
    </row>
    <row r="525" spans="13:13">
      <c r="M525" s="19"/>
    </row>
    <row r="526" spans="13:13">
      <c r="M526" s="19"/>
    </row>
    <row r="527" spans="13:13">
      <c r="M527" s="19"/>
    </row>
    <row r="528" spans="13:13">
      <c r="M528" s="19"/>
    </row>
    <row r="529" spans="13:13">
      <c r="M529" s="19"/>
    </row>
    <row r="530" spans="13:13">
      <c r="M530" s="19"/>
    </row>
    <row r="531" spans="13:13">
      <c r="M531" s="19"/>
    </row>
    <row r="532" spans="13:13">
      <c r="M532" s="19"/>
    </row>
    <row r="533" spans="13:13">
      <c r="M533" s="19"/>
    </row>
    <row r="534" spans="13:13">
      <c r="M534" s="19"/>
    </row>
    <row r="535" spans="13:13">
      <c r="M535" s="19"/>
    </row>
    <row r="536" spans="13:13">
      <c r="M536" s="19"/>
    </row>
    <row r="537" spans="13:13">
      <c r="M537" s="19"/>
    </row>
    <row r="538" spans="13:13">
      <c r="M538" s="19"/>
    </row>
    <row r="539" spans="13:13">
      <c r="M539" s="19"/>
    </row>
    <row r="540" spans="13:13">
      <c r="M540" s="19"/>
    </row>
    <row r="541" spans="13:13">
      <c r="M541" s="19"/>
    </row>
    <row r="542" spans="13:13">
      <c r="M542" s="19"/>
    </row>
    <row r="543" spans="13:13">
      <c r="M543" s="19"/>
    </row>
    <row r="544" spans="13:13">
      <c r="M544" s="19"/>
    </row>
    <row r="545" spans="13:13">
      <c r="M545" s="19"/>
    </row>
    <row r="546" spans="13:13">
      <c r="M546" s="19"/>
    </row>
    <row r="547" spans="13:13">
      <c r="M547" s="19"/>
    </row>
    <row r="548" spans="13:13">
      <c r="M548" s="19"/>
    </row>
    <row r="549" spans="13:13">
      <c r="M549" s="19"/>
    </row>
    <row r="550" spans="13:13">
      <c r="M550" s="19"/>
    </row>
    <row r="551" spans="13:13">
      <c r="M551" s="19"/>
    </row>
    <row r="552" spans="13:13">
      <c r="M552" s="19"/>
    </row>
    <row r="553" spans="13:13">
      <c r="M553" s="19"/>
    </row>
    <row r="554" spans="13:13">
      <c r="M554" s="19"/>
    </row>
    <row r="555" spans="13:13">
      <c r="M555" s="19"/>
    </row>
    <row r="556" spans="13:13">
      <c r="M556" s="19"/>
    </row>
    <row r="557" spans="13:13">
      <c r="M557" s="19"/>
    </row>
    <row r="558" spans="13:13">
      <c r="M558" s="19"/>
    </row>
    <row r="559" spans="13:13">
      <c r="M559" s="19"/>
    </row>
    <row r="560" spans="13:13">
      <c r="M560" s="19"/>
    </row>
    <row r="561" spans="13:13">
      <c r="M561" s="19"/>
    </row>
    <row r="562" spans="13:13">
      <c r="M562" s="19"/>
    </row>
    <row r="563" spans="13:13">
      <c r="M563" s="19"/>
    </row>
    <row r="564" spans="13:13">
      <c r="M564" s="19"/>
    </row>
    <row r="565" spans="13:13">
      <c r="M565" s="19"/>
    </row>
    <row r="566" spans="13:13">
      <c r="M566" s="19"/>
    </row>
    <row r="567" spans="13:13">
      <c r="M567" s="19"/>
    </row>
    <row r="568" spans="13:13">
      <c r="M568" s="19"/>
    </row>
    <row r="569" spans="13:13">
      <c r="M569" s="19"/>
    </row>
    <row r="570" spans="13:13">
      <c r="M570" s="19"/>
    </row>
    <row r="571" spans="13:13">
      <c r="M571" s="19"/>
    </row>
    <row r="572" spans="13:13">
      <c r="M572" s="19"/>
    </row>
    <row r="573" spans="13:13">
      <c r="M573" s="19"/>
    </row>
    <row r="574" spans="13:13">
      <c r="M574" s="19"/>
    </row>
    <row r="575" spans="13:13">
      <c r="M575" s="19"/>
    </row>
    <row r="576" spans="13:13">
      <c r="M576" s="19"/>
    </row>
    <row r="577" spans="13:13">
      <c r="M577" s="19"/>
    </row>
    <row r="578" spans="13:13">
      <c r="M578" s="19"/>
    </row>
    <row r="579" spans="13:13">
      <c r="M579" s="19"/>
    </row>
    <row r="580" spans="13:13">
      <c r="M580" s="19"/>
    </row>
    <row r="581" spans="13:13">
      <c r="M581" s="19"/>
    </row>
    <row r="582" spans="13:13">
      <c r="M582" s="19"/>
    </row>
    <row r="583" spans="13:13">
      <c r="M583" s="19"/>
    </row>
    <row r="584" spans="13:13">
      <c r="M584" s="19"/>
    </row>
    <row r="585" spans="13:13">
      <c r="M585" s="19"/>
    </row>
    <row r="586" spans="13:13">
      <c r="M586" s="19"/>
    </row>
    <row r="587" spans="13:13">
      <c r="M587" s="19"/>
    </row>
    <row r="588" spans="13:13">
      <c r="M588" s="19"/>
    </row>
    <row r="589" spans="13:13">
      <c r="M589" s="19"/>
    </row>
    <row r="590" spans="13:13">
      <c r="M590" s="19"/>
    </row>
    <row r="591" spans="13:13">
      <c r="M591" s="19"/>
    </row>
    <row r="592" spans="13:13">
      <c r="M592" s="19"/>
    </row>
    <row r="593" spans="13:13">
      <c r="M593" s="19"/>
    </row>
    <row r="594" spans="13:13">
      <c r="M594" s="19"/>
    </row>
    <row r="595" spans="13:13">
      <c r="M595" s="19"/>
    </row>
    <row r="596" spans="13:13">
      <c r="M596" s="19"/>
    </row>
    <row r="597" spans="13:13">
      <c r="M597" s="19"/>
    </row>
    <row r="598" spans="13:13">
      <c r="M598" s="19"/>
    </row>
    <row r="599" spans="13:13">
      <c r="M599" s="19"/>
    </row>
    <row r="600" spans="13:13">
      <c r="M600" s="19"/>
    </row>
    <row r="601" spans="13:13">
      <c r="M601" s="19"/>
    </row>
    <row r="602" spans="13:13">
      <c r="M602" s="19"/>
    </row>
    <row r="603" spans="13:13">
      <c r="M603" s="19"/>
    </row>
    <row r="604" spans="13:13">
      <c r="M604" s="19"/>
    </row>
    <row r="605" spans="13:13">
      <c r="M605" s="19"/>
    </row>
    <row r="606" spans="13:13">
      <c r="M606" s="19"/>
    </row>
    <row r="607" spans="13:13">
      <c r="M607" s="19"/>
    </row>
    <row r="608" spans="13:13">
      <c r="M608" s="19"/>
    </row>
    <row r="609" spans="13:13">
      <c r="M609" s="19"/>
    </row>
    <row r="610" spans="13:13">
      <c r="M610" s="19"/>
    </row>
    <row r="611" spans="13:13">
      <c r="M611" s="19"/>
    </row>
    <row r="612" spans="13:13">
      <c r="M612" s="19"/>
    </row>
    <row r="613" spans="13:13">
      <c r="M613" s="19"/>
    </row>
    <row r="614" spans="13:13">
      <c r="M614" s="19"/>
    </row>
    <row r="615" spans="13:13">
      <c r="M615" s="19"/>
    </row>
    <row r="616" spans="13:13">
      <c r="M616" s="19"/>
    </row>
    <row r="617" spans="13:13">
      <c r="M617" s="19"/>
    </row>
    <row r="618" spans="13:13">
      <c r="M618" s="19"/>
    </row>
    <row r="619" spans="13:13">
      <c r="M619" s="19"/>
    </row>
    <row r="620" spans="13:13">
      <c r="M620" s="19"/>
    </row>
    <row r="621" spans="13:13">
      <c r="M621" s="19"/>
    </row>
    <row r="622" spans="13:13">
      <c r="M622" s="19"/>
    </row>
    <row r="623" spans="13:13">
      <c r="M623" s="19"/>
    </row>
    <row r="624" spans="13:13">
      <c r="M624" s="19"/>
    </row>
    <row r="625" spans="13:13">
      <c r="M625" s="19"/>
    </row>
    <row r="626" spans="13:13">
      <c r="M626" s="19"/>
    </row>
    <row r="627" spans="13:13">
      <c r="M627" s="19"/>
    </row>
    <row r="628" spans="13:13">
      <c r="M628" s="19"/>
    </row>
    <row r="629" spans="13:13">
      <c r="M629" s="19"/>
    </row>
    <row r="630" spans="13:13">
      <c r="M630" s="19"/>
    </row>
    <row r="631" spans="13:13">
      <c r="M631" s="19"/>
    </row>
    <row r="632" spans="13:13">
      <c r="M632" s="19"/>
    </row>
    <row r="633" spans="13:13">
      <c r="M633" s="19"/>
    </row>
    <row r="634" spans="13:13">
      <c r="M634" s="19"/>
    </row>
    <row r="635" spans="13:13">
      <c r="M635" s="19"/>
    </row>
    <row r="636" spans="13:13">
      <c r="M636" s="19"/>
    </row>
    <row r="637" spans="13:13">
      <c r="M637" s="19"/>
    </row>
    <row r="638" spans="13:13">
      <c r="M638" s="19"/>
    </row>
    <row r="639" spans="13:13">
      <c r="M639" s="19"/>
    </row>
    <row r="640" spans="13:13">
      <c r="M640" s="19"/>
    </row>
    <row r="641" spans="13:13">
      <c r="M641" s="19"/>
    </row>
    <row r="642" spans="13:13">
      <c r="M642" s="19"/>
    </row>
    <row r="643" spans="13:13">
      <c r="M643" s="19"/>
    </row>
    <row r="644" spans="13:13">
      <c r="M644" s="19"/>
    </row>
    <row r="645" spans="13:13">
      <c r="M645" s="19"/>
    </row>
    <row r="646" spans="13:13">
      <c r="M646" s="19"/>
    </row>
    <row r="647" spans="13:13">
      <c r="M647" s="19"/>
    </row>
    <row r="648" spans="13:13">
      <c r="M648" s="19"/>
    </row>
    <row r="649" spans="13:13">
      <c r="M649" s="19"/>
    </row>
    <row r="650" spans="13:13">
      <c r="M650" s="19"/>
    </row>
    <row r="651" spans="13:13">
      <c r="M651" s="19"/>
    </row>
    <row r="652" spans="13:13">
      <c r="M652" s="19"/>
    </row>
    <row r="653" spans="13:13">
      <c r="M653" s="19"/>
    </row>
    <row r="654" spans="13:13">
      <c r="M654" s="19"/>
    </row>
    <row r="655" spans="13:13">
      <c r="M655" s="19"/>
    </row>
    <row r="656" spans="13:13">
      <c r="M656" s="19"/>
    </row>
    <row r="657" spans="13:13">
      <c r="M657" s="19"/>
    </row>
    <row r="658" spans="13:13">
      <c r="M658" s="19"/>
    </row>
    <row r="659" spans="13:13">
      <c r="M659" s="19"/>
    </row>
    <row r="660" spans="13:13">
      <c r="M660" s="19"/>
    </row>
    <row r="661" spans="13:13">
      <c r="M661" s="19"/>
    </row>
    <row r="662" spans="13:13">
      <c r="M662" s="19"/>
    </row>
    <row r="663" spans="13:13">
      <c r="M663" s="19"/>
    </row>
    <row r="664" spans="13:13">
      <c r="M664" s="19"/>
    </row>
    <row r="665" spans="13:13">
      <c r="M665" s="19"/>
    </row>
    <row r="666" spans="13:13">
      <c r="M666" s="19"/>
    </row>
    <row r="667" spans="13:13">
      <c r="M667" s="19"/>
    </row>
    <row r="668" spans="13:13">
      <c r="M668" s="19"/>
    </row>
    <row r="669" spans="13:13">
      <c r="M669" s="19"/>
    </row>
    <row r="670" spans="13:13">
      <c r="M670" s="19"/>
    </row>
    <row r="671" spans="13:13">
      <c r="M671" s="19"/>
    </row>
    <row r="672" spans="13:13">
      <c r="M672" s="19"/>
    </row>
    <row r="673" spans="13:13">
      <c r="M673" s="19"/>
    </row>
    <row r="674" spans="13:13">
      <c r="M674" s="19"/>
    </row>
    <row r="675" spans="13:13">
      <c r="M675" s="19"/>
    </row>
    <row r="676" spans="13:13">
      <c r="M676" s="19"/>
    </row>
    <row r="677" spans="13:13">
      <c r="M677" s="19"/>
    </row>
    <row r="678" spans="13:13">
      <c r="M678" s="19"/>
    </row>
    <row r="679" spans="13:13">
      <c r="M679" s="19"/>
    </row>
    <row r="680" spans="13:13">
      <c r="M680" s="19"/>
    </row>
    <row r="681" spans="13:13">
      <c r="M681" s="19"/>
    </row>
    <row r="682" spans="13:13">
      <c r="M682" s="19"/>
    </row>
    <row r="683" spans="13:13">
      <c r="M683" s="19"/>
    </row>
    <row r="684" spans="13:13">
      <c r="M684" s="19"/>
    </row>
    <row r="685" spans="13:13">
      <c r="M685" s="19"/>
    </row>
    <row r="686" spans="13:13">
      <c r="M686" s="19"/>
    </row>
    <row r="687" spans="13:13">
      <c r="M687" s="19"/>
    </row>
    <row r="688" spans="13:13">
      <c r="M688" s="19"/>
    </row>
    <row r="689" spans="13:13">
      <c r="M689" s="19"/>
    </row>
    <row r="690" spans="13:13">
      <c r="M690" s="19"/>
    </row>
    <row r="691" spans="13:13">
      <c r="M691" s="19"/>
    </row>
    <row r="692" spans="13:13">
      <c r="M692" s="19"/>
    </row>
    <row r="693" spans="13:13">
      <c r="M693" s="19"/>
    </row>
    <row r="694" spans="13:13">
      <c r="M694" s="19"/>
    </row>
    <row r="695" spans="13:13">
      <c r="M695" s="19"/>
    </row>
    <row r="696" spans="13:13">
      <c r="M696" s="19"/>
    </row>
    <row r="697" spans="13:13">
      <c r="M697" s="19"/>
    </row>
    <row r="698" spans="13:13">
      <c r="M698" s="19"/>
    </row>
    <row r="699" spans="13:13">
      <c r="M699" s="19"/>
    </row>
    <row r="700" spans="13:13">
      <c r="M700" s="19"/>
    </row>
    <row r="701" spans="13:13">
      <c r="M701" s="19"/>
    </row>
    <row r="702" spans="13:13">
      <c r="M702" s="19"/>
    </row>
    <row r="703" spans="13:13">
      <c r="M703" s="19"/>
    </row>
    <row r="704" spans="13:13">
      <c r="M704" s="19"/>
    </row>
    <row r="705" spans="13:13">
      <c r="M705" s="19"/>
    </row>
    <row r="706" spans="13:13">
      <c r="M706" s="19"/>
    </row>
    <row r="707" spans="13:13">
      <c r="M707" s="19"/>
    </row>
    <row r="708" spans="13:13">
      <c r="M708" s="19"/>
    </row>
    <row r="709" spans="13:13">
      <c r="M709" s="19"/>
    </row>
    <row r="710" spans="13:13">
      <c r="M710" s="19"/>
    </row>
    <row r="711" spans="13:13">
      <c r="M711" s="19"/>
    </row>
    <row r="712" spans="13:13">
      <c r="M712" s="19"/>
    </row>
    <row r="713" spans="13:13">
      <c r="M713" s="19"/>
    </row>
    <row r="714" spans="13:13">
      <c r="M714" s="19"/>
    </row>
    <row r="715" spans="13:13">
      <c r="M715" s="19"/>
    </row>
    <row r="716" spans="13:13">
      <c r="M716" s="19"/>
    </row>
    <row r="717" spans="13:13">
      <c r="M717" s="19"/>
    </row>
    <row r="718" spans="13:13">
      <c r="M718" s="19"/>
    </row>
    <row r="719" spans="13:13">
      <c r="M719" s="19"/>
    </row>
    <row r="720" spans="13:13">
      <c r="M720" s="19"/>
    </row>
    <row r="721" spans="13:13">
      <c r="M721" s="19"/>
    </row>
    <row r="722" spans="13:13">
      <c r="M722" s="19"/>
    </row>
    <row r="723" spans="13:13">
      <c r="M723" s="19"/>
    </row>
    <row r="724" spans="13:13">
      <c r="M724" s="19"/>
    </row>
    <row r="725" spans="13:13">
      <c r="M725" s="19"/>
    </row>
    <row r="726" spans="13:13">
      <c r="M726" s="19"/>
    </row>
    <row r="727" spans="13:13">
      <c r="M727" s="19"/>
    </row>
    <row r="728" spans="13:13">
      <c r="M728" s="19"/>
    </row>
    <row r="729" spans="13:13">
      <c r="M729" s="19"/>
    </row>
    <row r="730" spans="13:13">
      <c r="M730" s="19"/>
    </row>
    <row r="731" spans="13:13">
      <c r="M731" s="19"/>
    </row>
    <row r="732" spans="13:13">
      <c r="M732" s="19"/>
    </row>
    <row r="733" spans="13:13">
      <c r="M733" s="19"/>
    </row>
    <row r="734" spans="13:13">
      <c r="M734" s="19"/>
    </row>
    <row r="735" spans="13:13">
      <c r="M735" s="19"/>
    </row>
    <row r="736" spans="13:13">
      <c r="M736" s="19"/>
    </row>
    <row r="737" spans="13:13">
      <c r="M737" s="19"/>
    </row>
    <row r="738" spans="13:13">
      <c r="M738" s="19"/>
    </row>
    <row r="739" spans="13:13">
      <c r="M739" s="19"/>
    </row>
    <row r="740" spans="13:13">
      <c r="M740" s="19"/>
    </row>
    <row r="741" spans="13:13">
      <c r="M741" s="19"/>
    </row>
    <row r="742" spans="13:13">
      <c r="M742" s="19"/>
    </row>
    <row r="743" spans="13:13">
      <c r="M743" s="19"/>
    </row>
    <row r="744" spans="13:13">
      <c r="M744" s="19"/>
    </row>
    <row r="745" spans="13:13">
      <c r="M745" s="19"/>
    </row>
    <row r="746" spans="13:13">
      <c r="M746" s="19"/>
    </row>
    <row r="747" spans="13:13">
      <c r="M747" s="19"/>
    </row>
    <row r="748" spans="13:13">
      <c r="M748" s="19"/>
    </row>
    <row r="749" spans="13:13">
      <c r="M749" s="19"/>
    </row>
    <row r="750" spans="13:13">
      <c r="M750" s="19"/>
    </row>
    <row r="751" spans="13:13">
      <c r="M751" s="19"/>
    </row>
    <row r="752" spans="13:13">
      <c r="M752" s="19"/>
    </row>
    <row r="753" spans="13:13">
      <c r="M753" s="19"/>
    </row>
    <row r="754" spans="13:13">
      <c r="M754" s="19"/>
    </row>
    <row r="755" spans="13:13">
      <c r="M755" s="19"/>
    </row>
    <row r="756" spans="13:13">
      <c r="M756" s="19"/>
    </row>
    <row r="757" spans="13:13">
      <c r="M757" s="19"/>
    </row>
    <row r="758" spans="13:13">
      <c r="M758" s="19"/>
    </row>
    <row r="759" spans="13:13">
      <c r="M759" s="19"/>
    </row>
    <row r="760" spans="13:13">
      <c r="M760" s="19"/>
    </row>
    <row r="761" spans="13:13">
      <c r="M761" s="19"/>
    </row>
    <row r="762" spans="13:13">
      <c r="M762" s="19"/>
    </row>
    <row r="763" spans="13:13">
      <c r="M763" s="19"/>
    </row>
    <row r="764" spans="13:13">
      <c r="M764" s="19"/>
    </row>
    <row r="765" spans="13:13">
      <c r="M765" s="19"/>
    </row>
    <row r="766" spans="13:13">
      <c r="M766" s="19"/>
    </row>
    <row r="767" spans="13:13">
      <c r="M767" s="19"/>
    </row>
    <row r="768" spans="13:13">
      <c r="M768" s="19"/>
    </row>
    <row r="769" spans="13:13">
      <c r="M769" s="19"/>
    </row>
    <row r="770" spans="13:13">
      <c r="M770" s="19"/>
    </row>
    <row r="771" spans="13:13">
      <c r="M771" s="19"/>
    </row>
    <row r="772" spans="13:13">
      <c r="M772" s="19"/>
    </row>
    <row r="773" spans="13:13">
      <c r="M773" s="19"/>
    </row>
    <row r="774" spans="13:13">
      <c r="M774" s="19"/>
    </row>
    <row r="775" spans="13:13">
      <c r="M775" s="19"/>
    </row>
    <row r="776" spans="13:13">
      <c r="M776" s="19"/>
    </row>
    <row r="777" spans="13:13">
      <c r="M777" s="19"/>
    </row>
    <row r="778" spans="13:13">
      <c r="M778" s="19"/>
    </row>
    <row r="779" spans="13:13">
      <c r="M779" s="19"/>
    </row>
    <row r="780" spans="13:13">
      <c r="M780" s="19"/>
    </row>
    <row r="781" spans="13:13">
      <c r="M781" s="19"/>
    </row>
    <row r="782" spans="13:13">
      <c r="M782" s="19"/>
    </row>
    <row r="783" spans="13:13">
      <c r="M783" s="19"/>
    </row>
    <row r="784" spans="13:13">
      <c r="M784" s="19"/>
    </row>
    <row r="785" spans="13:13">
      <c r="M785" s="19"/>
    </row>
    <row r="786" spans="13:13">
      <c r="M786" s="19"/>
    </row>
    <row r="787" spans="13:13">
      <c r="M787" s="19"/>
    </row>
    <row r="788" spans="13:13">
      <c r="M788" s="19"/>
    </row>
    <row r="789" spans="13:13">
      <c r="M789" s="19"/>
    </row>
    <row r="790" spans="13:13">
      <c r="M790" s="19"/>
    </row>
    <row r="791" spans="13:13">
      <c r="M791" s="19"/>
    </row>
    <row r="792" spans="13:13">
      <c r="M792" s="19"/>
    </row>
    <row r="793" spans="13:13">
      <c r="M793" s="19"/>
    </row>
    <row r="794" spans="13:13">
      <c r="M794" s="19"/>
    </row>
    <row r="795" spans="13:13">
      <c r="M795" s="19"/>
    </row>
    <row r="796" spans="13:13">
      <c r="M796" s="19"/>
    </row>
    <row r="797" spans="13:13">
      <c r="M797" s="19"/>
    </row>
    <row r="798" spans="13:13">
      <c r="M798" s="19"/>
    </row>
    <row r="799" spans="13:13">
      <c r="M799" s="19"/>
    </row>
    <row r="800" spans="13:13">
      <c r="M800" s="19"/>
    </row>
    <row r="801" spans="13:13">
      <c r="M801" s="19"/>
    </row>
    <row r="802" spans="13:13">
      <c r="M802" s="19"/>
    </row>
    <row r="803" spans="13:13">
      <c r="M803" s="19"/>
    </row>
    <row r="804" spans="13:13">
      <c r="M804" s="19"/>
    </row>
    <row r="805" spans="13:13">
      <c r="M805" s="19"/>
    </row>
    <row r="806" spans="13:13">
      <c r="M806" s="19"/>
    </row>
    <row r="807" spans="13:13">
      <c r="M807" s="19"/>
    </row>
    <row r="808" spans="13:13">
      <c r="M808" s="19"/>
    </row>
    <row r="809" spans="13:13">
      <c r="M809" s="19"/>
    </row>
    <row r="810" spans="13:13">
      <c r="M810" s="19"/>
    </row>
    <row r="811" spans="13:13">
      <c r="M811" s="19"/>
    </row>
    <row r="812" spans="13:13">
      <c r="M812" s="19"/>
    </row>
    <row r="813" spans="13:13">
      <c r="M813" s="19"/>
    </row>
    <row r="814" spans="13:13">
      <c r="M814" s="19"/>
    </row>
    <row r="815" spans="13:13">
      <c r="M815" s="19"/>
    </row>
    <row r="816" spans="13:13">
      <c r="M816" s="19"/>
    </row>
    <row r="817" spans="13:13">
      <c r="M817" s="19"/>
    </row>
    <row r="818" spans="13:13">
      <c r="M818" s="19"/>
    </row>
    <row r="819" spans="13:13">
      <c r="M819" s="19"/>
    </row>
    <row r="820" spans="13:13">
      <c r="M820" s="19"/>
    </row>
    <row r="821" spans="13:13">
      <c r="M821" s="19"/>
    </row>
    <row r="822" spans="13:13">
      <c r="M822" s="19"/>
    </row>
    <row r="823" spans="13:13">
      <c r="M823" s="19"/>
    </row>
    <row r="824" spans="13:13">
      <c r="M824" s="19"/>
    </row>
    <row r="825" spans="13:13">
      <c r="M825" s="19"/>
    </row>
    <row r="826" spans="13:13">
      <c r="M826" s="19"/>
    </row>
    <row r="827" spans="13:13">
      <c r="M827" s="19"/>
    </row>
    <row r="828" spans="13:13">
      <c r="M828" s="19"/>
    </row>
    <row r="829" spans="13:13">
      <c r="M829" s="19"/>
    </row>
    <row r="830" spans="13:13">
      <c r="M830" s="19"/>
    </row>
    <row r="831" spans="13:13">
      <c r="M831" s="19"/>
    </row>
    <row r="832" spans="13:13">
      <c r="M832" s="19"/>
    </row>
    <row r="833" spans="13:13">
      <c r="M833" s="19"/>
    </row>
    <row r="834" spans="13:13">
      <c r="M834" s="19"/>
    </row>
    <row r="835" spans="13:13">
      <c r="M835" s="19"/>
    </row>
    <row r="836" spans="13:13">
      <c r="M836" s="19"/>
    </row>
    <row r="837" spans="13:13">
      <c r="M837" s="19"/>
    </row>
    <row r="838" spans="13:13">
      <c r="M838" s="19"/>
    </row>
    <row r="839" spans="13:13">
      <c r="M839" s="19"/>
    </row>
    <row r="840" spans="13:13">
      <c r="M840" s="19"/>
    </row>
    <row r="841" spans="13:13">
      <c r="M841" s="19"/>
    </row>
    <row r="842" spans="13:13">
      <c r="M842" s="19"/>
    </row>
    <row r="843" spans="13:13">
      <c r="M843" s="19"/>
    </row>
    <row r="844" spans="13:13">
      <c r="M844" s="19"/>
    </row>
    <row r="845" spans="13:13">
      <c r="M845" s="19"/>
    </row>
    <row r="846" spans="13:13">
      <c r="M846" s="19"/>
    </row>
    <row r="847" spans="13:13">
      <c r="M847" s="19"/>
    </row>
    <row r="848" spans="13:13">
      <c r="M848" s="19"/>
    </row>
    <row r="849" spans="13:13">
      <c r="M849" s="19"/>
    </row>
    <row r="850" spans="13:13">
      <c r="M850" s="19"/>
    </row>
    <row r="851" spans="13:13">
      <c r="M851" s="19"/>
    </row>
    <row r="852" spans="13:13">
      <c r="M852" s="19"/>
    </row>
    <row r="853" spans="13:13">
      <c r="M853" s="19"/>
    </row>
    <row r="854" spans="13:13">
      <c r="M854" s="19"/>
    </row>
    <row r="855" spans="13:13">
      <c r="M855" s="19"/>
    </row>
    <row r="856" spans="13:13">
      <c r="M856" s="19"/>
    </row>
    <row r="857" spans="13:13">
      <c r="M857" s="19"/>
    </row>
    <row r="858" spans="13:13">
      <c r="M858" s="19"/>
    </row>
    <row r="859" spans="13:13">
      <c r="M859" s="19"/>
    </row>
    <row r="860" spans="13:13">
      <c r="M860" s="19"/>
    </row>
    <row r="861" spans="13:13">
      <c r="M861" s="19"/>
    </row>
    <row r="862" spans="13:13">
      <c r="M862" s="19"/>
    </row>
    <row r="863" spans="13:13">
      <c r="M863" s="19"/>
    </row>
    <row r="864" spans="13:13">
      <c r="M864" s="19"/>
    </row>
    <row r="865" spans="13:13">
      <c r="M865" s="19"/>
    </row>
    <row r="866" spans="13:13">
      <c r="M866" s="19"/>
    </row>
    <row r="867" spans="13:13">
      <c r="M867" s="19"/>
    </row>
    <row r="868" spans="13:13">
      <c r="M868" s="19"/>
    </row>
    <row r="869" spans="13:13">
      <c r="M869" s="19"/>
    </row>
    <row r="870" spans="13:13">
      <c r="M870" s="19"/>
    </row>
    <row r="871" spans="13:13">
      <c r="M871" s="19"/>
    </row>
    <row r="872" spans="13:13">
      <c r="M872" s="19"/>
    </row>
    <row r="873" spans="13:13">
      <c r="M873" s="19"/>
    </row>
    <row r="874" spans="13:13">
      <c r="M874" s="19"/>
    </row>
    <row r="875" spans="13:13">
      <c r="M875" s="19"/>
    </row>
    <row r="876" spans="13:13">
      <c r="M876" s="19"/>
    </row>
    <row r="877" spans="13:13">
      <c r="M877" s="19"/>
    </row>
    <row r="878" spans="13:13">
      <c r="M878" s="19"/>
    </row>
    <row r="879" spans="13:13">
      <c r="M879" s="19"/>
    </row>
    <row r="880" spans="13:13">
      <c r="M880" s="19"/>
    </row>
    <row r="881" spans="13:13">
      <c r="M881" s="19"/>
    </row>
    <row r="882" spans="13:13">
      <c r="M882" s="19"/>
    </row>
    <row r="883" spans="13:13">
      <c r="M883" s="19"/>
    </row>
    <row r="884" spans="13:13">
      <c r="M884" s="19"/>
    </row>
    <row r="885" spans="13:13">
      <c r="M885" s="19"/>
    </row>
    <row r="886" spans="13:13">
      <c r="M886" s="19"/>
    </row>
    <row r="887" spans="13:13">
      <c r="M887" s="19"/>
    </row>
    <row r="888" spans="13:13">
      <c r="M888" s="19"/>
    </row>
    <row r="889" spans="13:13">
      <c r="M889" s="19"/>
    </row>
    <row r="890" spans="13:13">
      <c r="M890" s="19"/>
    </row>
    <row r="891" spans="13:13">
      <c r="M891" s="19"/>
    </row>
    <row r="892" spans="13:13">
      <c r="M892" s="19"/>
    </row>
    <row r="893" spans="13:13">
      <c r="M893" s="19"/>
    </row>
    <row r="894" spans="13:13">
      <c r="M894" s="19"/>
    </row>
    <row r="895" spans="13:13">
      <c r="M895" s="19"/>
    </row>
    <row r="896" spans="13:13">
      <c r="M896" s="19"/>
    </row>
    <row r="897" spans="13:13">
      <c r="M897" s="19"/>
    </row>
    <row r="898" spans="13:13">
      <c r="M898" s="19"/>
    </row>
    <row r="899" spans="13:13">
      <c r="M899" s="19"/>
    </row>
    <row r="900" spans="13:13">
      <c r="M900" s="19"/>
    </row>
    <row r="901" spans="13:13">
      <c r="M901" s="19"/>
    </row>
    <row r="902" spans="13:13">
      <c r="M902" s="19"/>
    </row>
    <row r="903" spans="13:13">
      <c r="M903" s="19"/>
    </row>
    <row r="904" spans="13:13">
      <c r="M904" s="19"/>
    </row>
    <row r="905" spans="13:13">
      <c r="M905" s="19"/>
    </row>
    <row r="906" spans="13:13">
      <c r="M906" s="19"/>
    </row>
    <row r="907" spans="13:13">
      <c r="M907" s="19"/>
    </row>
    <row r="908" spans="13:13">
      <c r="M908" s="19"/>
    </row>
    <row r="909" spans="13:13">
      <c r="M909" s="19"/>
    </row>
    <row r="910" spans="13:13">
      <c r="M910" s="19"/>
    </row>
    <row r="911" spans="13:13">
      <c r="M911" s="19"/>
    </row>
    <row r="912" spans="13:13">
      <c r="M912" s="19"/>
    </row>
  </sheetData>
  <sheetProtection algorithmName="SHA-512" hashValue="x7izBpY4/7SZuqtvtM6e4HZ1Nqu/ske/K3anJb4bCgkJmXOCi7taKeu6DfEHE6f/jF199t4vnOP5AWgUTHgXEw==" saltValue="Oj1yBgzUs2rdcnAVdpzuAA==" spinCount="100000" sheet="1" objects="1" scenarios="1"/>
  <pageMargins left="0.75" right="0.75" top="1" bottom="1" header="0.5" footer="0.5"/>
  <pageSetup orientation="portrait" horizontalDpi="4294967292" verticalDpi="4294967292"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736"/>
  <sheetViews>
    <sheetView topLeftCell="N1" workbookViewId="0">
      <selection activeCell="W1" sqref="W1"/>
    </sheetView>
  </sheetViews>
  <sheetFormatPr defaultColWidth="11" defaultRowHeight="15.75"/>
  <cols>
    <col min="1" max="1" width="33.375" customWidth="1"/>
    <col min="2" max="9" width="14.125" bestFit="1" customWidth="1"/>
    <col min="10" max="10" width="14.375" bestFit="1" customWidth="1"/>
    <col min="11" max="11" width="14.375" customWidth="1"/>
    <col min="12" max="12" width="13.875" customWidth="1"/>
    <col min="13" max="13" width="13.875" style="190" customWidth="1"/>
  </cols>
  <sheetData>
    <row r="1" spans="1:12" ht="18.75">
      <c r="A1" s="37" t="s">
        <v>167</v>
      </c>
      <c r="J1" s="256" t="s">
        <v>215</v>
      </c>
      <c r="K1" s="256"/>
      <c r="L1" s="256"/>
    </row>
    <row r="2" spans="1:12">
      <c r="A2" s="2"/>
      <c r="B2" s="2"/>
      <c r="C2" s="2"/>
      <c r="D2" s="2"/>
      <c r="E2" s="2"/>
      <c r="F2" s="2"/>
      <c r="G2" s="2"/>
      <c r="H2" s="2"/>
      <c r="I2" s="2"/>
      <c r="J2" s="257"/>
      <c r="K2" s="257"/>
      <c r="L2" s="257"/>
    </row>
    <row r="3" spans="1:12">
      <c r="A3" s="2"/>
      <c r="B3" s="82" t="s">
        <v>61</v>
      </c>
      <c r="C3" s="82" t="s">
        <v>61</v>
      </c>
      <c r="D3" s="82" t="s">
        <v>61</v>
      </c>
      <c r="E3" s="82" t="s">
        <v>61</v>
      </c>
      <c r="F3" s="82" t="s">
        <v>61</v>
      </c>
      <c r="G3" s="82" t="s">
        <v>61</v>
      </c>
      <c r="H3" s="82" t="s">
        <v>61</v>
      </c>
      <c r="I3" s="82" t="s">
        <v>61</v>
      </c>
      <c r="J3" s="82" t="s">
        <v>61</v>
      </c>
      <c r="K3" s="82" t="s">
        <v>61</v>
      </c>
      <c r="L3" s="82" t="s">
        <v>61</v>
      </c>
    </row>
    <row r="4" spans="1:12">
      <c r="A4" s="2"/>
      <c r="B4" s="30" t="s">
        <v>57</v>
      </c>
      <c r="C4" s="30" t="s">
        <v>57</v>
      </c>
      <c r="D4" s="30" t="s">
        <v>57</v>
      </c>
      <c r="E4" s="30" t="s">
        <v>57</v>
      </c>
      <c r="F4" s="30" t="s">
        <v>57</v>
      </c>
      <c r="G4" s="30" t="s">
        <v>57</v>
      </c>
      <c r="H4" s="30" t="s">
        <v>57</v>
      </c>
      <c r="I4" s="30" t="s">
        <v>57</v>
      </c>
      <c r="J4" s="30" t="s">
        <v>57</v>
      </c>
      <c r="K4" s="30" t="s">
        <v>202</v>
      </c>
      <c r="L4" s="30" t="s">
        <v>58</v>
      </c>
    </row>
    <row r="5" spans="1:12" ht="18.75">
      <c r="A5" s="93" t="s">
        <v>98</v>
      </c>
      <c r="B5" s="254">
        <v>2009</v>
      </c>
      <c r="C5" s="254">
        <v>2010</v>
      </c>
      <c r="D5" s="254">
        <v>2011</v>
      </c>
      <c r="E5" s="254">
        <v>2012</v>
      </c>
      <c r="F5" s="254">
        <v>2013</v>
      </c>
      <c r="G5" s="254">
        <v>2014</v>
      </c>
      <c r="H5" s="254">
        <v>2015</v>
      </c>
      <c r="I5" s="254">
        <v>2016</v>
      </c>
      <c r="J5" s="254">
        <v>2017</v>
      </c>
      <c r="K5" s="254">
        <v>2018</v>
      </c>
      <c r="L5" s="254">
        <v>2019</v>
      </c>
    </row>
    <row r="6" spans="1:12">
      <c r="A6" s="9" t="s">
        <v>100</v>
      </c>
      <c r="B6" s="1">
        <v>357276</v>
      </c>
      <c r="C6" s="1">
        <v>339144</v>
      </c>
      <c r="D6" s="1">
        <v>356728</v>
      </c>
      <c r="E6" s="1">
        <v>355556</v>
      </c>
      <c r="F6" s="1">
        <v>398437</v>
      </c>
      <c r="G6" s="1">
        <v>573027</v>
      </c>
      <c r="H6" s="1">
        <v>619609</v>
      </c>
      <c r="I6" s="1">
        <v>638249</v>
      </c>
      <c r="J6" s="1">
        <v>951729</v>
      </c>
      <c r="K6" s="1">
        <v>787600</v>
      </c>
      <c r="L6" s="1">
        <v>808497</v>
      </c>
    </row>
    <row r="7" spans="1:12">
      <c r="A7" s="85" t="s">
        <v>93</v>
      </c>
      <c r="B7" s="1">
        <v>0</v>
      </c>
      <c r="C7" s="1">
        <v>0</v>
      </c>
      <c r="D7" s="1">
        <v>0</v>
      </c>
      <c r="E7" s="1">
        <v>0</v>
      </c>
      <c r="F7" s="1">
        <v>0</v>
      </c>
      <c r="G7" s="1">
        <v>0</v>
      </c>
      <c r="H7" s="1">
        <v>0</v>
      </c>
      <c r="I7" s="1">
        <v>0</v>
      </c>
      <c r="J7" s="1">
        <v>0</v>
      </c>
      <c r="K7" s="1">
        <v>0</v>
      </c>
      <c r="L7" s="1">
        <v>0</v>
      </c>
    </row>
    <row r="8" spans="1:12">
      <c r="A8" s="86" t="s">
        <v>101</v>
      </c>
      <c r="B8" s="1">
        <v>0</v>
      </c>
      <c r="C8" s="1">
        <v>0</v>
      </c>
      <c r="D8" s="1">
        <v>0</v>
      </c>
      <c r="E8" s="1">
        <v>0</v>
      </c>
      <c r="F8" s="1">
        <v>0</v>
      </c>
      <c r="G8" s="1">
        <v>0</v>
      </c>
      <c r="H8" s="1">
        <v>0</v>
      </c>
      <c r="I8" s="1">
        <v>0</v>
      </c>
      <c r="J8" s="1">
        <v>0</v>
      </c>
      <c r="K8" s="1">
        <v>0</v>
      </c>
      <c r="L8" s="1">
        <v>0</v>
      </c>
    </row>
    <row r="9" spans="1:12">
      <c r="A9" s="73" t="s">
        <v>125</v>
      </c>
      <c r="B9" s="119"/>
      <c r="C9" s="119"/>
      <c r="D9" s="119"/>
      <c r="E9" s="119"/>
      <c r="F9" s="119"/>
      <c r="G9" s="119"/>
      <c r="H9" s="119"/>
      <c r="I9" s="1"/>
      <c r="J9" s="1"/>
      <c r="K9" s="1"/>
      <c r="L9" s="1"/>
    </row>
    <row r="10" spans="1:12" ht="16.5" thickBot="1">
      <c r="A10" s="39"/>
      <c r="B10" s="69">
        <v>0</v>
      </c>
      <c r="C10" s="69">
        <v>0</v>
      </c>
      <c r="D10" s="69">
        <v>0</v>
      </c>
      <c r="E10" s="69">
        <v>0</v>
      </c>
      <c r="F10" s="69">
        <v>0</v>
      </c>
      <c r="G10" s="69">
        <v>0</v>
      </c>
      <c r="H10" s="69">
        <v>0</v>
      </c>
      <c r="I10" s="69">
        <v>0</v>
      </c>
      <c r="J10" s="69">
        <v>0</v>
      </c>
      <c r="K10" s="69">
        <v>0</v>
      </c>
      <c r="L10" s="69">
        <v>0</v>
      </c>
    </row>
    <row r="11" spans="1:12">
      <c r="A11" s="95" t="s">
        <v>108</v>
      </c>
      <c r="B11" s="1">
        <f>SUM(B6:B10)</f>
        <v>357276</v>
      </c>
      <c r="C11" s="1">
        <f t="shared" ref="C11:L11" si="0">SUM(C6:C10)</f>
        <v>339144</v>
      </c>
      <c r="D11" s="1">
        <f t="shared" si="0"/>
        <v>356728</v>
      </c>
      <c r="E11" s="1">
        <f t="shared" si="0"/>
        <v>355556</v>
      </c>
      <c r="F11" s="1">
        <f t="shared" si="0"/>
        <v>398437</v>
      </c>
      <c r="G11" s="1">
        <f t="shared" si="0"/>
        <v>573027</v>
      </c>
      <c r="H11" s="1">
        <f t="shared" si="0"/>
        <v>619609</v>
      </c>
      <c r="I11" s="1">
        <f t="shared" si="0"/>
        <v>638249</v>
      </c>
      <c r="J11" s="1">
        <f t="shared" si="0"/>
        <v>951729</v>
      </c>
      <c r="K11" s="1">
        <f t="shared" si="0"/>
        <v>787600</v>
      </c>
      <c r="L11" s="1">
        <f t="shared" si="0"/>
        <v>808497</v>
      </c>
    </row>
    <row r="14" spans="1:12">
      <c r="B14" s="254">
        <v>2009</v>
      </c>
      <c r="C14" s="254">
        <v>2010</v>
      </c>
      <c r="D14" s="254">
        <v>2011</v>
      </c>
      <c r="E14" s="254">
        <v>2012</v>
      </c>
      <c r="F14" s="254">
        <v>2013</v>
      </c>
      <c r="G14" s="254">
        <v>2014</v>
      </c>
      <c r="H14" s="254">
        <v>2015</v>
      </c>
      <c r="I14" s="254">
        <v>2016</v>
      </c>
      <c r="J14" s="254">
        <v>2017</v>
      </c>
      <c r="K14" s="254">
        <v>2018</v>
      </c>
      <c r="L14" s="254">
        <v>2019</v>
      </c>
    </row>
    <row r="15" spans="1:12">
      <c r="A15" s="10" t="s">
        <v>100</v>
      </c>
      <c r="B15" s="117">
        <v>357276</v>
      </c>
      <c r="C15" s="117">
        <v>339144</v>
      </c>
      <c r="D15" s="117">
        <v>356728</v>
      </c>
      <c r="E15" s="117">
        <v>355556</v>
      </c>
      <c r="F15" s="117">
        <v>398437</v>
      </c>
      <c r="G15" s="117">
        <v>573027</v>
      </c>
      <c r="H15" s="117">
        <v>619609</v>
      </c>
      <c r="I15" s="117">
        <v>638249</v>
      </c>
      <c r="J15" s="117">
        <v>743843</v>
      </c>
      <c r="K15" s="117">
        <v>881710</v>
      </c>
      <c r="L15" s="117">
        <v>660575</v>
      </c>
    </row>
    <row r="16" spans="1:12">
      <c r="A16" s="96" t="s">
        <v>93</v>
      </c>
      <c r="B16" s="43">
        <v>0</v>
      </c>
      <c r="C16" s="43">
        <v>0</v>
      </c>
      <c r="D16" s="43">
        <v>0</v>
      </c>
      <c r="E16" s="43">
        <v>0</v>
      </c>
      <c r="F16" s="43">
        <v>0</v>
      </c>
      <c r="G16" s="43">
        <v>0</v>
      </c>
      <c r="H16" s="43">
        <v>0</v>
      </c>
      <c r="I16" s="43">
        <v>0</v>
      </c>
      <c r="J16" s="43">
        <v>0</v>
      </c>
      <c r="K16" s="43">
        <v>0</v>
      </c>
      <c r="L16" s="43">
        <v>0</v>
      </c>
    </row>
    <row r="17" spans="1:12">
      <c r="A17" s="94" t="s">
        <v>101</v>
      </c>
      <c r="B17" s="1">
        <v>0</v>
      </c>
      <c r="C17" s="1">
        <v>0</v>
      </c>
      <c r="D17" s="1">
        <v>0</v>
      </c>
      <c r="E17" s="1">
        <v>0</v>
      </c>
      <c r="F17" s="1">
        <v>0</v>
      </c>
      <c r="G17" s="1">
        <v>0</v>
      </c>
      <c r="H17" s="1">
        <v>0</v>
      </c>
      <c r="I17" s="1">
        <v>0</v>
      </c>
      <c r="J17" s="1">
        <v>0</v>
      </c>
      <c r="K17" s="1">
        <v>0</v>
      </c>
      <c r="L17" s="1">
        <v>0</v>
      </c>
    </row>
    <row r="18" spans="1:12">
      <c r="A18" s="73" t="s">
        <v>83</v>
      </c>
    </row>
    <row r="19" spans="1:12" ht="16.5" thickBot="1">
      <c r="A19" s="153" t="s">
        <v>157</v>
      </c>
      <c r="B19" s="69">
        <v>0</v>
      </c>
      <c r="C19" s="69">
        <v>0</v>
      </c>
      <c r="D19" s="69">
        <v>0</v>
      </c>
      <c r="E19" s="69">
        <v>0</v>
      </c>
      <c r="F19" s="69">
        <v>0</v>
      </c>
      <c r="G19" s="69">
        <v>0</v>
      </c>
      <c r="H19" s="69">
        <v>0</v>
      </c>
      <c r="I19" s="69">
        <v>0</v>
      </c>
      <c r="J19" s="69">
        <v>0</v>
      </c>
      <c r="K19" s="69">
        <v>0</v>
      </c>
      <c r="L19" s="69">
        <v>0</v>
      </c>
    </row>
    <row r="20" spans="1:12">
      <c r="A20" s="95" t="s">
        <v>119</v>
      </c>
      <c r="B20" s="1">
        <f t="shared" ref="B20:L20" si="1">SUM(B15:B19)</f>
        <v>357276</v>
      </c>
      <c r="C20" s="1">
        <f t="shared" si="1"/>
        <v>339144</v>
      </c>
      <c r="D20" s="1">
        <f t="shared" si="1"/>
        <v>356728</v>
      </c>
      <c r="E20" s="1">
        <f t="shared" si="1"/>
        <v>355556</v>
      </c>
      <c r="F20" s="1">
        <f t="shared" si="1"/>
        <v>398437</v>
      </c>
      <c r="G20" s="1">
        <f t="shared" si="1"/>
        <v>573027</v>
      </c>
      <c r="H20" s="1">
        <f t="shared" si="1"/>
        <v>619609</v>
      </c>
      <c r="I20" s="1">
        <f t="shared" si="1"/>
        <v>638249</v>
      </c>
      <c r="J20" s="1">
        <f t="shared" si="1"/>
        <v>743843</v>
      </c>
      <c r="K20" s="1">
        <f t="shared" si="1"/>
        <v>881710</v>
      </c>
      <c r="L20" s="1">
        <f t="shared" si="1"/>
        <v>660575</v>
      </c>
    </row>
    <row r="22" spans="1:12">
      <c r="A22" s="190"/>
      <c r="B22" s="190"/>
      <c r="C22" s="190"/>
      <c r="D22" s="190"/>
      <c r="E22" s="190"/>
      <c r="F22" s="190"/>
      <c r="G22" s="190"/>
      <c r="H22" s="190"/>
      <c r="I22" s="190"/>
      <c r="J22" s="190"/>
      <c r="K22" s="190"/>
      <c r="L22" s="190"/>
    </row>
    <row r="25" spans="1:12">
      <c r="B25" s="254">
        <v>2009</v>
      </c>
      <c r="C25" s="254">
        <v>2010</v>
      </c>
      <c r="D25" s="254">
        <v>2011</v>
      </c>
      <c r="E25" s="254">
        <v>2012</v>
      </c>
      <c r="F25" s="254">
        <v>2013</v>
      </c>
      <c r="G25" s="254">
        <v>2014</v>
      </c>
      <c r="H25" s="254">
        <v>2015</v>
      </c>
      <c r="I25" s="254">
        <v>2016</v>
      </c>
      <c r="J25" s="254">
        <v>2017</v>
      </c>
      <c r="K25" s="254">
        <v>2018</v>
      </c>
      <c r="L25" s="254">
        <v>2019</v>
      </c>
    </row>
    <row r="26" spans="1:12">
      <c r="A26" s="2" t="s">
        <v>203</v>
      </c>
      <c r="B26" s="8">
        <f>+B20/B63</f>
        <v>5.656502327348722</v>
      </c>
      <c r="C26" s="8">
        <f>+C20/C63</f>
        <v>5.0064066605650854</v>
      </c>
      <c r="D26" s="8">
        <f t="shared" ref="D26:L26" si="2">+D20/D63</f>
        <v>5.1879408385567398</v>
      </c>
      <c r="E26" s="8">
        <f t="shared" si="2"/>
        <v>5.1276445393057495</v>
      </c>
      <c r="F26" s="8">
        <f t="shared" si="2"/>
        <v>5.6620292738382831</v>
      </c>
      <c r="G26" s="8">
        <f t="shared" si="2"/>
        <v>8.0677348050741262</v>
      </c>
      <c r="H26" s="8">
        <f t="shared" si="2"/>
        <v>8.4392399891037861</v>
      </c>
      <c r="I26" s="8">
        <f t="shared" si="2"/>
        <v>8.5803454997647375</v>
      </c>
      <c r="J26" s="8">
        <f t="shared" si="2"/>
        <v>9.8080564345991554</v>
      </c>
      <c r="K26" s="8">
        <f t="shared" si="2"/>
        <v>11.411948952913463</v>
      </c>
      <c r="L26" s="8">
        <f t="shared" si="2"/>
        <v>8.3638262851354774</v>
      </c>
    </row>
    <row r="28" spans="1:12">
      <c r="B28" s="254">
        <v>2009</v>
      </c>
      <c r="C28" s="254">
        <v>2010</v>
      </c>
      <c r="D28" s="254">
        <v>2011</v>
      </c>
      <c r="E28" s="254">
        <v>2012</v>
      </c>
      <c r="F28" s="254">
        <v>2013</v>
      </c>
      <c r="G28" s="254">
        <v>2014</v>
      </c>
      <c r="H28" s="254">
        <v>2015</v>
      </c>
      <c r="I28" s="254">
        <v>2016</v>
      </c>
      <c r="J28" s="254">
        <v>2017</v>
      </c>
      <c r="K28" s="254">
        <v>2018</v>
      </c>
      <c r="L28" s="254">
        <v>2019</v>
      </c>
    </row>
    <row r="29" spans="1:12">
      <c r="A29" s="253" t="s">
        <v>159</v>
      </c>
      <c r="B29" s="1">
        <f>+B20/B68</f>
        <v>89319</v>
      </c>
      <c r="C29" s="1">
        <f>+C20/C68</f>
        <v>90438.399999999994</v>
      </c>
      <c r="D29" s="1">
        <f t="shared" ref="D29:L29" si="3">+D20/D68</f>
        <v>89182</v>
      </c>
      <c r="E29" s="1">
        <f t="shared" si="3"/>
        <v>88889</v>
      </c>
      <c r="F29" s="1">
        <f t="shared" si="3"/>
        <v>99609.25</v>
      </c>
      <c r="G29" s="1">
        <f t="shared" si="3"/>
        <v>143256.75</v>
      </c>
      <c r="H29" s="1">
        <f t="shared" si="3"/>
        <v>134697.60869565219</v>
      </c>
      <c r="I29" s="1">
        <f t="shared" si="3"/>
        <v>127649.8</v>
      </c>
      <c r="J29" s="1">
        <f t="shared" si="3"/>
        <v>148768.6</v>
      </c>
      <c r="K29" s="1">
        <f t="shared" si="3"/>
        <v>146951.66666666666</v>
      </c>
      <c r="L29" s="1">
        <f t="shared" si="3"/>
        <v>110095.83333333333</v>
      </c>
    </row>
    <row r="31" spans="1:12">
      <c r="A31" s="190"/>
      <c r="B31" s="190"/>
      <c r="C31" s="190"/>
      <c r="D31" s="190"/>
      <c r="E31" s="190"/>
      <c r="F31" s="190"/>
      <c r="G31" s="190"/>
      <c r="H31" s="190"/>
      <c r="I31" s="190"/>
      <c r="J31" s="190"/>
      <c r="K31" s="190"/>
      <c r="L31" s="190"/>
    </row>
    <row r="32" spans="1:12">
      <c r="A32" s="190"/>
      <c r="B32" s="190"/>
      <c r="C32" s="190"/>
      <c r="D32" s="190"/>
      <c r="E32" s="190"/>
      <c r="F32" s="190"/>
      <c r="G32" s="190"/>
      <c r="H32" s="190"/>
      <c r="I32" s="190"/>
      <c r="J32" s="190"/>
      <c r="K32" s="190"/>
      <c r="L32" s="190"/>
    </row>
    <row r="37" spans="1:14">
      <c r="A37" s="88" t="s">
        <v>107</v>
      </c>
      <c r="B37" s="92">
        <v>0</v>
      </c>
      <c r="C37" s="92">
        <v>0</v>
      </c>
      <c r="D37" s="92">
        <v>0</v>
      </c>
      <c r="E37" s="92">
        <v>0</v>
      </c>
      <c r="F37" s="92">
        <v>0</v>
      </c>
      <c r="G37" s="92">
        <v>0</v>
      </c>
      <c r="H37" s="92">
        <v>0</v>
      </c>
      <c r="I37" s="92">
        <v>0</v>
      </c>
      <c r="J37" s="92">
        <v>0</v>
      </c>
      <c r="K37" s="92">
        <v>0</v>
      </c>
      <c r="L37" s="92">
        <v>0</v>
      </c>
    </row>
    <row r="38" spans="1:14">
      <c r="A38" s="88"/>
    </row>
    <row r="39" spans="1:14">
      <c r="A39" s="89" t="s">
        <v>109</v>
      </c>
      <c r="B39" s="91">
        <f t="shared" ref="B39:L39" si="4">B11+B37</f>
        <v>357276</v>
      </c>
      <c r="C39" s="91">
        <f t="shared" si="4"/>
        <v>339144</v>
      </c>
      <c r="D39" s="91">
        <f t="shared" si="4"/>
        <v>356728</v>
      </c>
      <c r="E39" s="91">
        <f t="shared" si="4"/>
        <v>355556</v>
      </c>
      <c r="F39" s="91">
        <f t="shared" si="4"/>
        <v>398437</v>
      </c>
      <c r="G39" s="91">
        <f t="shared" si="4"/>
        <v>573027</v>
      </c>
      <c r="H39" s="91">
        <f t="shared" si="4"/>
        <v>619609</v>
      </c>
      <c r="I39" s="91">
        <f t="shared" si="4"/>
        <v>638249</v>
      </c>
      <c r="J39" s="91">
        <f t="shared" si="4"/>
        <v>951729</v>
      </c>
      <c r="K39" s="91">
        <f t="shared" si="4"/>
        <v>787600</v>
      </c>
      <c r="L39" s="91">
        <f t="shared" si="4"/>
        <v>808497</v>
      </c>
    </row>
    <row r="40" spans="1:14">
      <c r="B40" s="1"/>
      <c r="C40" s="1"/>
      <c r="D40" s="1"/>
      <c r="E40" s="1"/>
      <c r="F40" s="1"/>
      <c r="G40" s="1"/>
      <c r="H40" s="1"/>
      <c r="I40" s="1"/>
      <c r="J40" s="1"/>
      <c r="K40" s="1"/>
      <c r="L40" s="1"/>
    </row>
    <row r="41" spans="1:14">
      <c r="A41" s="113"/>
      <c r="B41" s="114"/>
      <c r="C41" s="114"/>
      <c r="D41" s="114"/>
      <c r="E41" s="114"/>
      <c r="F41" s="114"/>
      <c r="G41" s="114"/>
      <c r="H41" s="114"/>
      <c r="I41" s="114"/>
      <c r="J41" s="114"/>
      <c r="K41" s="114"/>
      <c r="L41" s="114"/>
    </row>
    <row r="42" spans="1:14" ht="18.75">
      <c r="A42" s="93" t="s">
        <v>73</v>
      </c>
      <c r="B42" s="1"/>
      <c r="C42" s="1"/>
      <c r="D42" s="1"/>
      <c r="E42" s="1"/>
      <c r="F42" s="1"/>
      <c r="G42" s="1"/>
      <c r="H42" s="1"/>
      <c r="I42" s="1"/>
      <c r="J42" s="1"/>
      <c r="K42" s="1"/>
      <c r="L42" s="1"/>
    </row>
    <row r="43" spans="1:14">
      <c r="A43" s="10" t="s">
        <v>100</v>
      </c>
      <c r="B43" s="1"/>
      <c r="C43" s="1"/>
      <c r="D43" s="1"/>
      <c r="E43" s="1"/>
      <c r="F43" s="1"/>
      <c r="G43" s="1"/>
      <c r="H43" s="1"/>
      <c r="I43" s="1"/>
      <c r="J43" s="1"/>
      <c r="K43" s="1"/>
      <c r="L43" s="1"/>
    </row>
    <row r="44" spans="1:14" ht="16.5" thickBot="1">
      <c r="A44" s="64" t="s">
        <v>56</v>
      </c>
      <c r="B44" s="65">
        <v>357276</v>
      </c>
      <c r="C44" s="65">
        <v>339144</v>
      </c>
      <c r="D44" s="65">
        <v>356728</v>
      </c>
      <c r="E44" s="65">
        <v>355556</v>
      </c>
      <c r="F44" s="65">
        <v>398437</v>
      </c>
      <c r="G44" s="65">
        <v>573027</v>
      </c>
      <c r="H44" s="65">
        <v>619609</v>
      </c>
      <c r="I44" s="65">
        <v>638249</v>
      </c>
      <c r="J44" s="65">
        <v>743843</v>
      </c>
      <c r="K44" s="65">
        <v>881710</v>
      </c>
      <c r="L44" s="65">
        <v>662339</v>
      </c>
    </row>
    <row r="45" spans="1:14">
      <c r="A45" s="45" t="s">
        <v>115</v>
      </c>
      <c r="B45" s="1">
        <f t="shared" ref="B45:L46" si="5">SUM(B44:B44)</f>
        <v>357276</v>
      </c>
      <c r="C45" s="1">
        <f t="shared" si="5"/>
        <v>339144</v>
      </c>
      <c r="D45" s="1">
        <f t="shared" si="5"/>
        <v>356728</v>
      </c>
      <c r="E45" s="1">
        <f t="shared" si="5"/>
        <v>355556</v>
      </c>
      <c r="F45" s="1">
        <f t="shared" si="5"/>
        <v>398437</v>
      </c>
      <c r="G45" s="27">
        <f t="shared" si="5"/>
        <v>573027</v>
      </c>
      <c r="H45" s="1">
        <f t="shared" si="5"/>
        <v>619609</v>
      </c>
      <c r="I45" s="1">
        <f t="shared" si="5"/>
        <v>638249</v>
      </c>
      <c r="J45" s="27">
        <f t="shared" si="5"/>
        <v>743843</v>
      </c>
      <c r="K45" s="27">
        <f t="shared" si="5"/>
        <v>881710</v>
      </c>
      <c r="L45" s="27">
        <f t="shared" si="5"/>
        <v>662339</v>
      </c>
      <c r="M45" s="173"/>
      <c r="N45" s="1"/>
    </row>
    <row r="46" spans="1:14">
      <c r="A46" s="45" t="s">
        <v>116</v>
      </c>
      <c r="B46" s="1">
        <f t="shared" si="5"/>
        <v>357276</v>
      </c>
      <c r="C46" s="1">
        <f t="shared" si="5"/>
        <v>339144</v>
      </c>
      <c r="D46" s="1">
        <f t="shared" si="5"/>
        <v>356728</v>
      </c>
      <c r="E46" s="1">
        <f t="shared" si="5"/>
        <v>355556</v>
      </c>
      <c r="F46" s="1">
        <f t="shared" si="5"/>
        <v>398437</v>
      </c>
      <c r="G46" s="5">
        <f t="shared" si="5"/>
        <v>573027</v>
      </c>
      <c r="H46" s="1">
        <f t="shared" si="5"/>
        <v>619609</v>
      </c>
      <c r="I46" s="1">
        <f t="shared" si="5"/>
        <v>638249</v>
      </c>
      <c r="J46" s="1">
        <f t="shared" si="5"/>
        <v>743843</v>
      </c>
      <c r="K46" s="1">
        <f t="shared" si="5"/>
        <v>881710</v>
      </c>
      <c r="L46" s="5">
        <f t="shared" si="5"/>
        <v>662339</v>
      </c>
      <c r="M46" s="173"/>
      <c r="N46" s="1"/>
    </row>
    <row r="47" spans="1:14">
      <c r="A47" s="45" t="s">
        <v>72</v>
      </c>
      <c r="B47" s="1"/>
      <c r="C47" s="7">
        <f t="shared" ref="C47:L47" si="6">(C45/B45)-1</f>
        <v>-5.0750680146441352E-2</v>
      </c>
      <c r="D47" s="7">
        <f t="shared" si="6"/>
        <v>5.1848182482957084E-2</v>
      </c>
      <c r="E47" s="7">
        <f t="shared" si="6"/>
        <v>-3.2854163396200953E-3</v>
      </c>
      <c r="F47" s="7">
        <f t="shared" si="6"/>
        <v>0.12060266174667289</v>
      </c>
      <c r="G47" s="7">
        <f t="shared" si="6"/>
        <v>0.43818721654866399</v>
      </c>
      <c r="H47" s="7">
        <f t="shared" si="6"/>
        <v>8.129110844689702E-2</v>
      </c>
      <c r="I47" s="7">
        <f t="shared" si="6"/>
        <v>3.0083488135259406E-2</v>
      </c>
      <c r="J47" s="7">
        <f t="shared" si="6"/>
        <v>0.16544326743951032</v>
      </c>
      <c r="K47" s="7">
        <f t="shared" si="6"/>
        <v>0.18534421914301813</v>
      </c>
      <c r="L47" s="7">
        <f t="shared" si="6"/>
        <v>-0.24880176021594402</v>
      </c>
      <c r="M47" s="173"/>
      <c r="N47" s="1"/>
    </row>
    <row r="48" spans="1:14">
      <c r="A48" s="47" t="s">
        <v>74</v>
      </c>
      <c r="B48" s="1"/>
      <c r="C48" s="1"/>
      <c r="D48" s="1"/>
      <c r="E48" s="1"/>
      <c r="F48" s="1"/>
      <c r="G48" s="1"/>
      <c r="H48" s="1"/>
      <c r="I48" s="1"/>
      <c r="J48" s="1"/>
      <c r="K48" s="1"/>
      <c r="L48" s="23">
        <f>(L46/G46)-1</f>
        <v>0.15586002055749559</v>
      </c>
      <c r="M48" s="173"/>
      <c r="N48" s="1"/>
    </row>
    <row r="49" spans="1:14" s="19" customFormat="1">
      <c r="A49"/>
      <c r="B49" s="1"/>
      <c r="C49" s="1"/>
      <c r="D49" s="1"/>
      <c r="E49" s="1"/>
      <c r="F49" s="1"/>
      <c r="G49" s="1"/>
      <c r="H49" s="1"/>
      <c r="I49" s="1"/>
      <c r="J49" s="1"/>
      <c r="K49" s="1"/>
      <c r="L49" s="1"/>
      <c r="M49" s="190"/>
    </row>
    <row r="50" spans="1:14">
      <c r="A50" s="112" t="s">
        <v>120</v>
      </c>
      <c r="B50" s="70"/>
      <c r="C50" s="70"/>
      <c r="D50" s="70"/>
      <c r="E50" s="70"/>
      <c r="F50" s="70"/>
      <c r="G50" s="70"/>
      <c r="H50" s="70"/>
      <c r="I50" s="70"/>
      <c r="J50" s="70"/>
      <c r="K50" s="70"/>
      <c r="L50" s="70"/>
    </row>
    <row r="51" spans="1:14">
      <c r="A51" s="10" t="s">
        <v>100</v>
      </c>
      <c r="B51" s="1">
        <f t="shared" ref="B51:L51" si="7">B46</f>
        <v>357276</v>
      </c>
      <c r="C51" s="1">
        <f t="shared" si="7"/>
        <v>339144</v>
      </c>
      <c r="D51" s="1">
        <f t="shared" si="7"/>
        <v>356728</v>
      </c>
      <c r="E51" s="1">
        <f t="shared" si="7"/>
        <v>355556</v>
      </c>
      <c r="F51" s="1">
        <f t="shared" si="7"/>
        <v>398437</v>
      </c>
      <c r="G51" s="1">
        <f t="shared" si="7"/>
        <v>573027</v>
      </c>
      <c r="H51" s="1">
        <f t="shared" si="7"/>
        <v>619609</v>
      </c>
      <c r="I51" s="1">
        <f t="shared" si="7"/>
        <v>638249</v>
      </c>
      <c r="J51" s="1">
        <f t="shared" si="7"/>
        <v>743843</v>
      </c>
      <c r="K51" s="1">
        <f t="shared" si="7"/>
        <v>881710</v>
      </c>
      <c r="L51" s="1">
        <f t="shared" si="7"/>
        <v>662339</v>
      </c>
    </row>
    <row r="52" spans="1:14" ht="16.5" thickBot="1">
      <c r="A52" s="73"/>
      <c r="B52" s="69">
        <v>0</v>
      </c>
      <c r="C52" s="69">
        <v>0</v>
      </c>
      <c r="D52" s="69">
        <v>0</v>
      </c>
      <c r="E52" s="69">
        <v>0</v>
      </c>
      <c r="F52" s="69">
        <v>0</v>
      </c>
      <c r="G52" s="69">
        <v>0</v>
      </c>
      <c r="H52" s="69">
        <v>0</v>
      </c>
      <c r="I52" s="69">
        <v>0</v>
      </c>
      <c r="J52" s="69">
        <v>0</v>
      </c>
      <c r="K52" s="69">
        <v>0</v>
      </c>
      <c r="L52" s="69">
        <v>0</v>
      </c>
    </row>
    <row r="53" spans="1:14">
      <c r="A53" s="95" t="s">
        <v>119</v>
      </c>
      <c r="B53" s="1">
        <f t="shared" ref="B53:L53" si="8">SUM(B51:B52)</f>
        <v>357276</v>
      </c>
      <c r="C53" s="1">
        <f t="shared" si="8"/>
        <v>339144</v>
      </c>
      <c r="D53" s="1">
        <f t="shared" si="8"/>
        <v>356728</v>
      </c>
      <c r="E53" s="1">
        <f t="shared" si="8"/>
        <v>355556</v>
      </c>
      <c r="F53" s="1">
        <f t="shared" si="8"/>
        <v>398437</v>
      </c>
      <c r="G53" s="1">
        <f t="shared" si="8"/>
        <v>573027</v>
      </c>
      <c r="H53" s="1">
        <f t="shared" si="8"/>
        <v>619609</v>
      </c>
      <c r="I53" s="1">
        <f t="shared" si="8"/>
        <v>638249</v>
      </c>
      <c r="J53" s="1">
        <f t="shared" si="8"/>
        <v>743843</v>
      </c>
      <c r="K53" s="1">
        <f t="shared" si="8"/>
        <v>881710</v>
      </c>
      <c r="L53" s="1">
        <f t="shared" si="8"/>
        <v>662339</v>
      </c>
    </row>
    <row r="54" spans="1:14" s="9" customFormat="1">
      <c r="A54"/>
      <c r="B54"/>
      <c r="C54"/>
      <c r="D54"/>
      <c r="E54"/>
      <c r="F54"/>
      <c r="G54"/>
      <c r="H54"/>
      <c r="I54"/>
      <c r="J54"/>
      <c r="K54"/>
      <c r="L54"/>
      <c r="M54" s="198"/>
    </row>
    <row r="55" spans="1:14">
      <c r="A55" s="89" t="s">
        <v>121</v>
      </c>
      <c r="B55" s="121">
        <f t="shared" ref="B55:L55" si="9">B11-B53</f>
        <v>0</v>
      </c>
      <c r="C55" s="121">
        <f t="shared" si="9"/>
        <v>0</v>
      </c>
      <c r="D55" s="121">
        <f t="shared" si="9"/>
        <v>0</v>
      </c>
      <c r="E55" s="121">
        <f t="shared" si="9"/>
        <v>0</v>
      </c>
      <c r="F55" s="121">
        <f t="shared" si="9"/>
        <v>0</v>
      </c>
      <c r="G55" s="121">
        <f t="shared" si="9"/>
        <v>0</v>
      </c>
      <c r="H55" s="121">
        <f t="shared" si="9"/>
        <v>0</v>
      </c>
      <c r="I55" s="121">
        <f t="shared" si="9"/>
        <v>0</v>
      </c>
      <c r="J55" s="121">
        <f t="shared" si="9"/>
        <v>207886</v>
      </c>
      <c r="K55" s="121">
        <f t="shared" si="9"/>
        <v>-94110</v>
      </c>
      <c r="L55" s="122">
        <f t="shared" si="9"/>
        <v>146158</v>
      </c>
    </row>
    <row r="57" spans="1:14">
      <c r="A57" s="88" t="s">
        <v>107</v>
      </c>
      <c r="B57" s="92">
        <v>0</v>
      </c>
      <c r="C57" s="92">
        <v>0</v>
      </c>
      <c r="D57" s="92">
        <v>0</v>
      </c>
      <c r="E57" s="92">
        <v>0</v>
      </c>
      <c r="F57" s="92">
        <v>0</v>
      </c>
      <c r="G57" s="92">
        <v>0</v>
      </c>
      <c r="H57" s="92">
        <v>0</v>
      </c>
      <c r="I57" s="92">
        <v>0</v>
      </c>
      <c r="J57" s="92">
        <v>0</v>
      </c>
      <c r="K57" s="92">
        <v>0</v>
      </c>
      <c r="L57" s="92">
        <v>0</v>
      </c>
      <c r="M57" s="173"/>
      <c r="N57" s="1"/>
    </row>
    <row r="58" spans="1:14">
      <c r="A58" s="88"/>
      <c r="B58" s="254">
        <v>2009</v>
      </c>
      <c r="C58" s="254">
        <v>2010</v>
      </c>
      <c r="D58" s="254">
        <v>2011</v>
      </c>
      <c r="E58" s="254">
        <v>2012</v>
      </c>
      <c r="F58" s="254">
        <v>2013</v>
      </c>
      <c r="G58" s="254">
        <v>2014</v>
      </c>
      <c r="H58" s="254">
        <v>2015</v>
      </c>
      <c r="I58" s="254">
        <v>2016</v>
      </c>
      <c r="J58" s="254">
        <v>2017</v>
      </c>
      <c r="K58" s="254">
        <v>2018</v>
      </c>
      <c r="L58" s="254">
        <v>2019</v>
      </c>
      <c r="M58" s="173"/>
      <c r="N58" s="1"/>
    </row>
    <row r="59" spans="1:14">
      <c r="A59" s="88" t="s">
        <v>160</v>
      </c>
      <c r="B59" s="27">
        <v>13804</v>
      </c>
      <c r="C59" s="27">
        <v>0</v>
      </c>
      <c r="D59" s="27">
        <v>0</v>
      </c>
      <c r="E59" s="27">
        <v>0</v>
      </c>
      <c r="F59" s="27">
        <v>0</v>
      </c>
      <c r="G59" s="27">
        <v>0</v>
      </c>
      <c r="H59" s="27">
        <v>0</v>
      </c>
      <c r="I59" s="27">
        <v>0</v>
      </c>
      <c r="J59" s="27">
        <v>0</v>
      </c>
      <c r="K59" s="27">
        <v>0</v>
      </c>
      <c r="L59" s="27">
        <v>0</v>
      </c>
      <c r="M59" s="173"/>
      <c r="N59" s="1"/>
    </row>
    <row r="60" spans="1:14">
      <c r="A60" s="88" t="s">
        <v>161</v>
      </c>
      <c r="B60" s="27">
        <f t="shared" ref="B60:G60" si="10">B53-B59</f>
        <v>343472</v>
      </c>
      <c r="C60" s="27">
        <f t="shared" si="10"/>
        <v>339144</v>
      </c>
      <c r="D60" s="27">
        <f t="shared" si="10"/>
        <v>356728</v>
      </c>
      <c r="E60" s="27">
        <f t="shared" si="10"/>
        <v>355556</v>
      </c>
      <c r="F60" s="27">
        <f t="shared" si="10"/>
        <v>398437</v>
      </c>
      <c r="G60" s="27">
        <f t="shared" si="10"/>
        <v>573027</v>
      </c>
      <c r="H60" s="27">
        <f>H53-H59</f>
        <v>619609</v>
      </c>
      <c r="I60" s="27">
        <f>I53-I59</f>
        <v>638249</v>
      </c>
      <c r="J60" s="27">
        <f>J53-J59</f>
        <v>743843</v>
      </c>
      <c r="K60" s="27">
        <f>K53-K59</f>
        <v>881710</v>
      </c>
      <c r="L60" s="27">
        <f>L53-L59</f>
        <v>662339</v>
      </c>
      <c r="M60" s="173"/>
      <c r="N60" s="1"/>
    </row>
    <row r="61" spans="1:14">
      <c r="B61" s="1"/>
      <c r="C61" s="1"/>
      <c r="D61" s="1"/>
      <c r="E61" s="1"/>
      <c r="F61" s="1"/>
      <c r="G61" s="1"/>
      <c r="H61" s="1"/>
      <c r="I61" s="1"/>
      <c r="J61" s="1"/>
      <c r="K61" s="1"/>
      <c r="L61" s="1"/>
      <c r="M61" s="173"/>
      <c r="N61" s="1"/>
    </row>
    <row r="62" spans="1:14">
      <c r="A62" s="113"/>
      <c r="B62" s="114"/>
      <c r="C62" s="114"/>
      <c r="D62" s="114"/>
      <c r="E62" s="114"/>
      <c r="F62" s="114"/>
      <c r="G62" s="114"/>
      <c r="H62" s="114"/>
      <c r="I62" s="114"/>
      <c r="J62" s="114"/>
      <c r="K62" s="114"/>
      <c r="L62" s="114"/>
      <c r="M62" s="173"/>
      <c r="N62" s="1"/>
    </row>
    <row r="63" spans="1:14">
      <c r="A63" s="9" t="s">
        <v>21</v>
      </c>
      <c r="B63" s="12">
        <f>Stats!D4</f>
        <v>63162</v>
      </c>
      <c r="C63" s="12">
        <f>Stats!E4</f>
        <v>67742</v>
      </c>
      <c r="D63" s="12">
        <f>Stats!F4</f>
        <v>68761</v>
      </c>
      <c r="E63" s="12">
        <f>Stats!G4</f>
        <v>69341</v>
      </c>
      <c r="F63" s="12">
        <f>Stats!H4</f>
        <v>70370</v>
      </c>
      <c r="G63" s="12">
        <f>Stats!I4</f>
        <v>71027</v>
      </c>
      <c r="H63" s="12">
        <f>Stats!J4</f>
        <v>73420</v>
      </c>
      <c r="I63" s="12">
        <f>Stats!K4</f>
        <v>74385</v>
      </c>
      <c r="J63" s="12">
        <f>Stats!L4</f>
        <v>75840</v>
      </c>
      <c r="K63" s="12">
        <f>Stats!M4</f>
        <v>77262</v>
      </c>
      <c r="L63" s="12">
        <f>Stats!N4</f>
        <v>78980</v>
      </c>
      <c r="M63" s="27"/>
      <c r="N63" s="1"/>
    </row>
    <row r="64" spans="1:14">
      <c r="A64" s="9" t="s">
        <v>23</v>
      </c>
      <c r="M64" s="27"/>
      <c r="N64" s="1"/>
    </row>
    <row r="65" spans="1:14">
      <c r="A65" s="9" t="s">
        <v>22</v>
      </c>
      <c r="B65" s="1"/>
      <c r="C65" s="1"/>
      <c r="D65" s="1"/>
      <c r="E65" s="1"/>
      <c r="F65" s="1"/>
      <c r="G65" s="1"/>
      <c r="H65" s="1"/>
      <c r="I65" s="1"/>
      <c r="J65" s="1"/>
      <c r="K65" s="1"/>
      <c r="L65" s="1"/>
      <c r="M65" s="27"/>
      <c r="N65" s="1"/>
    </row>
    <row r="66" spans="1:14">
      <c r="A66" s="9" t="s">
        <v>63</v>
      </c>
      <c r="B66" s="15"/>
      <c r="C66" s="15"/>
      <c r="D66" s="15"/>
      <c r="E66" s="15"/>
      <c r="F66" s="15"/>
      <c r="G66" s="15"/>
      <c r="H66" s="15"/>
      <c r="I66" s="15"/>
      <c r="J66" s="15"/>
      <c r="K66" s="15"/>
      <c r="L66" s="15"/>
      <c r="M66" s="27"/>
      <c r="N66" s="1"/>
    </row>
    <row r="67" spans="1:14" ht="16.5" thickBot="1">
      <c r="A67" s="40" t="s">
        <v>56</v>
      </c>
      <c r="B67" s="35">
        <v>4</v>
      </c>
      <c r="C67" s="35">
        <v>3.75</v>
      </c>
      <c r="D67" s="35">
        <v>4</v>
      </c>
      <c r="E67" s="35">
        <v>4</v>
      </c>
      <c r="F67" s="35">
        <v>4</v>
      </c>
      <c r="G67" s="35">
        <v>4</v>
      </c>
      <c r="H67" s="35">
        <v>4.5999999999999996</v>
      </c>
      <c r="I67" s="35">
        <v>5</v>
      </c>
      <c r="J67" s="35">
        <v>5</v>
      </c>
      <c r="K67" s="35">
        <v>6</v>
      </c>
      <c r="L67" s="35">
        <v>6</v>
      </c>
      <c r="M67" s="27"/>
      <c r="N67" s="1"/>
    </row>
    <row r="68" spans="1:14">
      <c r="A68" s="46" t="s">
        <v>64</v>
      </c>
      <c r="B68" s="41">
        <f t="shared" ref="B68:L68" si="11">SUM(B67:B67)</f>
        <v>4</v>
      </c>
      <c r="C68" s="41">
        <f t="shared" si="11"/>
        <v>3.75</v>
      </c>
      <c r="D68" s="41">
        <f t="shared" si="11"/>
        <v>4</v>
      </c>
      <c r="E68" s="41">
        <f t="shared" si="11"/>
        <v>4</v>
      </c>
      <c r="F68" s="41">
        <f t="shared" si="11"/>
        <v>4</v>
      </c>
      <c r="G68" s="41">
        <f t="shared" si="11"/>
        <v>4</v>
      </c>
      <c r="H68" s="41">
        <f t="shared" si="11"/>
        <v>4.5999999999999996</v>
      </c>
      <c r="I68" s="41">
        <f t="shared" si="11"/>
        <v>5</v>
      </c>
      <c r="J68" s="41">
        <f t="shared" si="11"/>
        <v>5</v>
      </c>
      <c r="K68" s="41">
        <f t="shared" si="11"/>
        <v>6</v>
      </c>
      <c r="L68" s="41">
        <f t="shared" si="11"/>
        <v>6</v>
      </c>
      <c r="M68" s="27"/>
      <c r="N68" s="1"/>
    </row>
    <row r="69" spans="1:14">
      <c r="A69" s="45" t="s">
        <v>72</v>
      </c>
      <c r="B69" s="15"/>
      <c r="C69" s="36">
        <f>C68/B68</f>
        <v>0.9375</v>
      </c>
      <c r="D69" s="36">
        <f t="shared" ref="D69:L69" si="12">D68/C68</f>
        <v>1.0666666666666667</v>
      </c>
      <c r="E69" s="36">
        <f t="shared" si="12"/>
        <v>1</v>
      </c>
      <c r="F69" s="36">
        <f t="shared" si="12"/>
        <v>1</v>
      </c>
      <c r="G69" s="36">
        <f t="shared" si="12"/>
        <v>1</v>
      </c>
      <c r="H69" s="36">
        <f t="shared" si="12"/>
        <v>1.1499999999999999</v>
      </c>
      <c r="I69" s="36">
        <f t="shared" si="12"/>
        <v>1.0869565217391306</v>
      </c>
      <c r="J69" s="36">
        <f t="shared" si="12"/>
        <v>1</v>
      </c>
      <c r="K69" s="36">
        <f t="shared" si="12"/>
        <v>1.2</v>
      </c>
      <c r="L69" s="36">
        <f t="shared" si="12"/>
        <v>1</v>
      </c>
      <c r="M69" s="19"/>
    </row>
    <row r="70" spans="1:14">
      <c r="A70" s="258"/>
      <c r="B70" s="15"/>
      <c r="C70" s="36"/>
      <c r="D70" s="36"/>
      <c r="E70" s="36"/>
      <c r="F70" s="36"/>
      <c r="G70" s="36"/>
      <c r="H70" s="36"/>
      <c r="I70" s="36"/>
      <c r="J70" s="36"/>
      <c r="K70" s="36"/>
      <c r="L70" s="36"/>
      <c r="M70" s="27"/>
      <c r="N70" s="1"/>
    </row>
    <row r="71" spans="1:14">
      <c r="B71" s="1"/>
      <c r="C71" s="1"/>
      <c r="D71" s="1"/>
      <c r="E71" s="1"/>
      <c r="F71" s="1"/>
      <c r="G71" s="1"/>
      <c r="H71" s="1"/>
      <c r="I71" s="1"/>
      <c r="J71" s="1"/>
      <c r="K71" s="1"/>
      <c r="L71" s="1"/>
      <c r="M71" s="19"/>
    </row>
    <row r="72" spans="1:14" ht="18.75">
      <c r="A72" s="37" t="s">
        <v>26</v>
      </c>
      <c r="B72" s="254">
        <v>2009</v>
      </c>
      <c r="C72" s="254">
        <v>2010</v>
      </c>
      <c r="D72" s="254">
        <v>2011</v>
      </c>
      <c r="E72" s="254">
        <v>2012</v>
      </c>
      <c r="F72" s="254">
        <v>2013</v>
      </c>
      <c r="G72" s="254">
        <v>2014</v>
      </c>
      <c r="H72" s="254">
        <v>2015</v>
      </c>
      <c r="I72" s="254">
        <v>2016</v>
      </c>
      <c r="J72" s="254">
        <v>2017</v>
      </c>
      <c r="K72" s="254">
        <v>2018</v>
      </c>
      <c r="L72" s="254">
        <v>2019</v>
      </c>
      <c r="M72" s="27"/>
      <c r="N72" s="1"/>
    </row>
    <row r="73" spans="1:14">
      <c r="A73" s="2" t="s">
        <v>65</v>
      </c>
      <c r="B73" s="8">
        <f t="shared" ref="B73:L73" si="13">B45/B63</f>
        <v>5.656502327348722</v>
      </c>
      <c r="C73" s="8">
        <f t="shared" si="13"/>
        <v>5.0064066605650854</v>
      </c>
      <c r="D73" s="8">
        <f t="shared" si="13"/>
        <v>5.1879408385567398</v>
      </c>
      <c r="E73" s="8">
        <f t="shared" si="13"/>
        <v>5.1276445393057495</v>
      </c>
      <c r="F73" s="8">
        <f t="shared" si="13"/>
        <v>5.6620292738382831</v>
      </c>
      <c r="G73" s="8">
        <f t="shared" si="13"/>
        <v>8.0677348050741262</v>
      </c>
      <c r="H73" s="8">
        <f t="shared" si="13"/>
        <v>8.4392399891037861</v>
      </c>
      <c r="I73" s="8">
        <f t="shared" si="13"/>
        <v>8.5803454997647375</v>
      </c>
      <c r="J73" s="8">
        <f t="shared" si="13"/>
        <v>9.8080564345991554</v>
      </c>
      <c r="K73" s="8">
        <f t="shared" si="13"/>
        <v>11.411948952913463</v>
      </c>
      <c r="L73" s="8">
        <f t="shared" si="13"/>
        <v>8.3861610534312483</v>
      </c>
      <c r="M73" s="27"/>
      <c r="N73" s="1"/>
    </row>
    <row r="74" spans="1:14">
      <c r="B74" s="1"/>
      <c r="C74" s="1"/>
      <c r="D74" s="1"/>
      <c r="E74" s="1"/>
      <c r="F74" s="1"/>
      <c r="G74" s="1"/>
      <c r="H74" s="1"/>
      <c r="I74" s="1"/>
      <c r="J74" s="1"/>
      <c r="K74" s="1"/>
      <c r="L74" s="1"/>
      <c r="M74" s="27"/>
      <c r="N74" s="1"/>
    </row>
    <row r="75" spans="1:14">
      <c r="A75" t="s">
        <v>75</v>
      </c>
      <c r="B75" s="1"/>
      <c r="C75" s="1"/>
      <c r="D75" s="1"/>
      <c r="E75" s="1"/>
      <c r="F75" s="1"/>
      <c r="G75" s="1"/>
      <c r="H75" s="1"/>
      <c r="I75" s="1"/>
      <c r="J75" s="1"/>
      <c r="K75" s="1"/>
      <c r="L75" s="1"/>
      <c r="M75" s="27"/>
      <c r="N75" s="1"/>
    </row>
    <row r="76" spans="1:14" ht="16.5" thickBot="1">
      <c r="A76" s="40" t="s">
        <v>56</v>
      </c>
      <c r="B76" s="38">
        <f>B53/B67</f>
        <v>89319</v>
      </c>
      <c r="C76" s="38">
        <f t="shared" ref="C76:L76" si="14">C53/C67</f>
        <v>90438.399999999994</v>
      </c>
      <c r="D76" s="38">
        <f t="shared" si="14"/>
        <v>89182</v>
      </c>
      <c r="E76" s="38">
        <f t="shared" si="14"/>
        <v>88889</v>
      </c>
      <c r="F76" s="38">
        <f t="shared" si="14"/>
        <v>99609.25</v>
      </c>
      <c r="G76" s="38">
        <f t="shared" si="14"/>
        <v>143256.75</v>
      </c>
      <c r="H76" s="38">
        <f t="shared" si="14"/>
        <v>134697.60869565219</v>
      </c>
      <c r="I76" s="38">
        <f t="shared" si="14"/>
        <v>127649.8</v>
      </c>
      <c r="J76" s="38">
        <f t="shared" si="14"/>
        <v>148768.6</v>
      </c>
      <c r="K76" s="38">
        <f t="shared" si="14"/>
        <v>146951.66666666666</v>
      </c>
      <c r="L76" s="38">
        <f t="shared" si="14"/>
        <v>110389.83333333333</v>
      </c>
      <c r="M76" s="27"/>
      <c r="N76" s="1"/>
    </row>
    <row r="77" spans="1:14">
      <c r="A77" s="9" t="s">
        <v>66</v>
      </c>
      <c r="B77" s="1">
        <f t="shared" ref="B77:L77" si="15">B45/B68</f>
        <v>89319</v>
      </c>
      <c r="C77" s="1">
        <f t="shared" si="15"/>
        <v>90438.399999999994</v>
      </c>
      <c r="D77" s="1">
        <f t="shared" si="15"/>
        <v>89182</v>
      </c>
      <c r="E77" s="1">
        <f t="shared" si="15"/>
        <v>88889</v>
      </c>
      <c r="F77" s="1">
        <f t="shared" si="15"/>
        <v>99609.25</v>
      </c>
      <c r="G77" s="1">
        <f t="shared" si="15"/>
        <v>143256.75</v>
      </c>
      <c r="H77" s="1">
        <f t="shared" si="15"/>
        <v>134697.60869565219</v>
      </c>
      <c r="I77" s="1">
        <f t="shared" si="15"/>
        <v>127649.8</v>
      </c>
      <c r="J77" s="1">
        <f t="shared" si="15"/>
        <v>148768.6</v>
      </c>
      <c r="K77" s="1">
        <f t="shared" si="15"/>
        <v>146951.66666666666</v>
      </c>
      <c r="L77" s="1">
        <f t="shared" si="15"/>
        <v>110389.83333333333</v>
      </c>
      <c r="M77" s="27"/>
      <c r="N77" s="1"/>
    </row>
    <row r="78" spans="1:14">
      <c r="B78" s="1"/>
      <c r="C78" s="1"/>
      <c r="D78" s="1"/>
      <c r="E78" s="1"/>
      <c r="F78" s="1"/>
      <c r="G78" s="1"/>
      <c r="H78" s="1"/>
      <c r="I78" s="1"/>
      <c r="J78" s="1"/>
      <c r="K78" s="1"/>
      <c r="L78" s="1"/>
      <c r="M78" s="27"/>
      <c r="N78" s="1"/>
    </row>
    <row r="79" spans="1:14">
      <c r="B79" s="254">
        <v>2009</v>
      </c>
      <c r="C79" s="254">
        <v>2010</v>
      </c>
      <c r="D79" s="254">
        <v>2011</v>
      </c>
      <c r="E79" s="254">
        <v>2012</v>
      </c>
      <c r="F79" s="254">
        <v>2013</v>
      </c>
      <c r="G79" s="254">
        <v>2014</v>
      </c>
      <c r="H79" s="254">
        <v>2015</v>
      </c>
      <c r="I79" s="254">
        <v>2016</v>
      </c>
      <c r="J79" s="254">
        <v>2017</v>
      </c>
      <c r="K79" s="254">
        <v>2018</v>
      </c>
      <c r="L79" s="254">
        <v>2019</v>
      </c>
      <c r="M79" s="19"/>
    </row>
    <row r="80" spans="1:14">
      <c r="A80" t="s">
        <v>69</v>
      </c>
      <c r="B80" s="14">
        <f>B67/(B63/1000)</f>
        <v>6.3329216934232616E-2</v>
      </c>
      <c r="C80" s="14">
        <f t="shared" ref="C80:L80" si="16">C67/(C63/1000)</f>
        <v>5.5357090136104625E-2</v>
      </c>
      <c r="D80" s="14">
        <f t="shared" si="16"/>
        <v>5.8172510580125368E-2</v>
      </c>
      <c r="E80" s="14">
        <f t="shared" si="16"/>
        <v>5.768592895977849E-2</v>
      </c>
      <c r="F80" s="14">
        <f t="shared" si="16"/>
        <v>5.6842404433707541E-2</v>
      </c>
      <c r="G80" s="14">
        <f t="shared" si="16"/>
        <v>5.6316611992622521E-2</v>
      </c>
      <c r="H80" s="14">
        <f t="shared" si="16"/>
        <v>6.2653228003268863E-2</v>
      </c>
      <c r="I80" s="14">
        <f t="shared" si="16"/>
        <v>6.7217853061773206E-2</v>
      </c>
      <c r="J80" s="14">
        <f t="shared" si="16"/>
        <v>6.5928270042194093E-2</v>
      </c>
      <c r="K80" s="14">
        <f t="shared" si="16"/>
        <v>7.7657839558903471E-2</v>
      </c>
      <c r="L80" s="14">
        <f t="shared" si="16"/>
        <v>7.5968599645479862E-2</v>
      </c>
      <c r="M80" s="27"/>
      <c r="N80" s="1"/>
    </row>
    <row r="81" spans="1:14">
      <c r="A81" t="s">
        <v>67</v>
      </c>
      <c r="B81" s="14">
        <f t="shared" ref="B81:L81" si="17">B68/(B63/1000)</f>
        <v>6.3329216934232616E-2</v>
      </c>
      <c r="C81" s="14">
        <f t="shared" si="17"/>
        <v>5.5357090136104625E-2</v>
      </c>
      <c r="D81" s="14">
        <f t="shared" si="17"/>
        <v>5.8172510580125368E-2</v>
      </c>
      <c r="E81" s="14">
        <f t="shared" si="17"/>
        <v>5.768592895977849E-2</v>
      </c>
      <c r="F81" s="14">
        <f t="shared" si="17"/>
        <v>5.6842404433707541E-2</v>
      </c>
      <c r="G81" s="14">
        <f t="shared" si="17"/>
        <v>5.6316611992622521E-2</v>
      </c>
      <c r="H81" s="14">
        <f t="shared" si="17"/>
        <v>6.2653228003268863E-2</v>
      </c>
      <c r="I81" s="14">
        <f t="shared" si="17"/>
        <v>6.7217853061773206E-2</v>
      </c>
      <c r="J81" s="14">
        <f t="shared" si="17"/>
        <v>6.5928270042194093E-2</v>
      </c>
      <c r="K81" s="14">
        <f t="shared" si="17"/>
        <v>7.7657839558903471E-2</v>
      </c>
      <c r="L81" s="14">
        <f t="shared" si="17"/>
        <v>7.5968599645479862E-2</v>
      </c>
      <c r="M81" s="27"/>
      <c r="N81" s="1"/>
    </row>
    <row r="82" spans="1:14">
      <c r="M82" s="27"/>
      <c r="N82" s="1"/>
    </row>
    <row r="83" spans="1:14" s="17" customFormat="1">
      <c r="A83"/>
      <c r="B83"/>
      <c r="C83"/>
      <c r="D83"/>
      <c r="E83"/>
      <c r="F83"/>
      <c r="G83"/>
      <c r="H83"/>
      <c r="I83"/>
      <c r="J83"/>
      <c r="K83"/>
      <c r="L83"/>
      <c r="M83" s="79"/>
      <c r="N83" s="33"/>
    </row>
    <row r="84" spans="1:14">
      <c r="M84" s="27"/>
      <c r="N84" s="1"/>
    </row>
    <row r="85" spans="1:14">
      <c r="M85" s="27"/>
      <c r="N85" s="1"/>
    </row>
    <row r="86" spans="1:14">
      <c r="M86" s="27"/>
      <c r="N86" s="1"/>
    </row>
    <row r="87" spans="1:14">
      <c r="M87" s="27"/>
      <c r="N87" s="1"/>
    </row>
    <row r="88" spans="1:14">
      <c r="M88" s="27"/>
      <c r="N88" s="1"/>
    </row>
    <row r="89" spans="1:14">
      <c r="M89" s="27"/>
      <c r="N89" s="1"/>
    </row>
    <row r="90" spans="1:14">
      <c r="M90" s="27"/>
      <c r="N90" s="1"/>
    </row>
    <row r="91" spans="1:14">
      <c r="M91" s="27"/>
      <c r="N91" s="1"/>
    </row>
    <row r="92" spans="1:14">
      <c r="M92" s="27"/>
      <c r="N92" s="1"/>
    </row>
    <row r="93" spans="1:14">
      <c r="M93" s="27"/>
      <c r="N93" s="1"/>
    </row>
    <row r="94" spans="1:14">
      <c r="M94" s="27"/>
      <c r="N94" s="1"/>
    </row>
    <row r="95" spans="1:14">
      <c r="M95" s="27"/>
      <c r="N95" s="1"/>
    </row>
    <row r="96" spans="1:14">
      <c r="M96" s="27"/>
      <c r="N96" s="1"/>
    </row>
    <row r="97" spans="13:13">
      <c r="M97" s="19"/>
    </row>
    <row r="98" spans="13:13">
      <c r="M98" s="19"/>
    </row>
    <row r="99" spans="13:13">
      <c r="M99" s="19"/>
    </row>
    <row r="100" spans="13:13">
      <c r="M100" s="19"/>
    </row>
    <row r="101" spans="13:13">
      <c r="M101" s="19"/>
    </row>
    <row r="102" spans="13:13">
      <c r="M102" s="19"/>
    </row>
    <row r="103" spans="13:13">
      <c r="M103" s="19"/>
    </row>
    <row r="104" spans="13:13">
      <c r="M104" s="19"/>
    </row>
    <row r="105" spans="13:13">
      <c r="M105" s="19"/>
    </row>
    <row r="106" spans="13:13">
      <c r="M106" s="19"/>
    </row>
    <row r="107" spans="13:13">
      <c r="M107" s="19"/>
    </row>
    <row r="108" spans="13:13">
      <c r="M108" s="19"/>
    </row>
    <row r="109" spans="13:13">
      <c r="M109" s="19"/>
    </row>
    <row r="110" spans="13:13">
      <c r="M110" s="19"/>
    </row>
    <row r="111" spans="13:13">
      <c r="M111" s="19"/>
    </row>
    <row r="112" spans="13:13">
      <c r="M112" s="19"/>
    </row>
    <row r="113" spans="13:13">
      <c r="M113" s="19"/>
    </row>
    <row r="114" spans="13:13">
      <c r="M114" s="19"/>
    </row>
    <row r="115" spans="13:13">
      <c r="M115" s="19"/>
    </row>
    <row r="116" spans="13:13">
      <c r="M116" s="19"/>
    </row>
    <row r="117" spans="13:13">
      <c r="M117" s="19"/>
    </row>
    <row r="118" spans="13:13">
      <c r="M118" s="19"/>
    </row>
    <row r="119" spans="13:13">
      <c r="M119" s="19"/>
    </row>
    <row r="120" spans="13:13">
      <c r="M120" s="19"/>
    </row>
    <row r="121" spans="13:13">
      <c r="M121" s="19"/>
    </row>
    <row r="122" spans="13:13">
      <c r="M122" s="19"/>
    </row>
    <row r="123" spans="13:13">
      <c r="M123" s="19"/>
    </row>
    <row r="124" spans="13:13">
      <c r="M124" s="19"/>
    </row>
    <row r="125" spans="13:13">
      <c r="M125" s="19"/>
    </row>
    <row r="126" spans="13:13">
      <c r="M126" s="19"/>
    </row>
    <row r="127" spans="13:13">
      <c r="M127" s="19"/>
    </row>
    <row r="128" spans="13:13">
      <c r="M128" s="19"/>
    </row>
    <row r="129" spans="13:13">
      <c r="M129" s="19"/>
    </row>
    <row r="130" spans="13:13">
      <c r="M130" s="19"/>
    </row>
    <row r="131" spans="13:13">
      <c r="M131" s="19"/>
    </row>
    <row r="132" spans="13:13">
      <c r="M132" s="19"/>
    </row>
    <row r="133" spans="13:13">
      <c r="M133" s="19"/>
    </row>
    <row r="134" spans="13:13">
      <c r="M134" s="19"/>
    </row>
    <row r="135" spans="13:13">
      <c r="M135" s="19"/>
    </row>
    <row r="136" spans="13:13">
      <c r="M136" s="19"/>
    </row>
    <row r="137" spans="13:13">
      <c r="M137" s="19"/>
    </row>
    <row r="138" spans="13:13">
      <c r="M138" s="19"/>
    </row>
    <row r="139" spans="13:13">
      <c r="M139" s="19"/>
    </row>
    <row r="140" spans="13:13">
      <c r="M140" s="19"/>
    </row>
    <row r="141" spans="13:13">
      <c r="M141" s="19"/>
    </row>
    <row r="142" spans="13:13">
      <c r="M142" s="19"/>
    </row>
    <row r="143" spans="13:13">
      <c r="M143" s="19"/>
    </row>
    <row r="144" spans="13:13">
      <c r="M144" s="19"/>
    </row>
    <row r="145" spans="13:13">
      <c r="M145" s="19"/>
    </row>
    <row r="146" spans="13:13">
      <c r="M146" s="19"/>
    </row>
    <row r="147" spans="13:13">
      <c r="M147" s="19"/>
    </row>
    <row r="148" spans="13:13">
      <c r="M148" s="19"/>
    </row>
    <row r="149" spans="13:13">
      <c r="M149" s="19"/>
    </row>
    <row r="150" spans="13:13">
      <c r="M150" s="19"/>
    </row>
    <row r="151" spans="13:13">
      <c r="M151" s="19"/>
    </row>
    <row r="152" spans="13:13">
      <c r="M152" s="19"/>
    </row>
    <row r="153" spans="13:13">
      <c r="M153" s="19"/>
    </row>
    <row r="154" spans="13:13">
      <c r="M154" s="19"/>
    </row>
    <row r="155" spans="13:13">
      <c r="M155" s="19"/>
    </row>
    <row r="156" spans="13:13">
      <c r="M156" s="19"/>
    </row>
    <row r="157" spans="13:13">
      <c r="M157" s="19"/>
    </row>
    <row r="158" spans="13:13">
      <c r="M158" s="19"/>
    </row>
    <row r="159" spans="13:13">
      <c r="M159" s="19"/>
    </row>
    <row r="160" spans="13:13">
      <c r="M160" s="19"/>
    </row>
    <row r="161" spans="13:13">
      <c r="M161" s="19"/>
    </row>
    <row r="162" spans="13:13">
      <c r="M162" s="19"/>
    </row>
    <row r="163" spans="13:13">
      <c r="M163" s="19"/>
    </row>
    <row r="164" spans="13:13">
      <c r="M164" s="19"/>
    </row>
    <row r="165" spans="13:13">
      <c r="M165" s="19"/>
    </row>
    <row r="166" spans="13:13">
      <c r="M166" s="19"/>
    </row>
    <row r="167" spans="13:13">
      <c r="M167" s="19"/>
    </row>
    <row r="168" spans="13:13">
      <c r="M168" s="19"/>
    </row>
    <row r="169" spans="13:13">
      <c r="M169" s="19"/>
    </row>
    <row r="170" spans="13:13">
      <c r="M170" s="19"/>
    </row>
    <row r="171" spans="13:13">
      <c r="M171" s="19"/>
    </row>
    <row r="172" spans="13:13">
      <c r="M172" s="19"/>
    </row>
    <row r="173" spans="13:13">
      <c r="M173" s="19"/>
    </row>
    <row r="174" spans="13:13">
      <c r="M174" s="19"/>
    </row>
    <row r="175" spans="13:13">
      <c r="M175" s="19"/>
    </row>
    <row r="176" spans="13:13">
      <c r="M176" s="19"/>
    </row>
    <row r="177" spans="13:13">
      <c r="M177" s="19"/>
    </row>
    <row r="178" spans="13:13">
      <c r="M178" s="19"/>
    </row>
    <row r="179" spans="13:13">
      <c r="M179" s="19"/>
    </row>
    <row r="180" spans="13:13">
      <c r="M180" s="19"/>
    </row>
    <row r="181" spans="13:13">
      <c r="M181" s="19"/>
    </row>
    <row r="182" spans="13:13">
      <c r="M182" s="19"/>
    </row>
    <row r="183" spans="13:13">
      <c r="M183" s="19"/>
    </row>
    <row r="184" spans="13:13">
      <c r="M184" s="19"/>
    </row>
    <row r="185" spans="13:13">
      <c r="M185" s="19"/>
    </row>
    <row r="186" spans="13:13">
      <c r="M186" s="19"/>
    </row>
    <row r="187" spans="13:13">
      <c r="M187" s="19"/>
    </row>
    <row r="188" spans="13:13">
      <c r="M188" s="19"/>
    </row>
    <row r="189" spans="13:13">
      <c r="M189" s="19"/>
    </row>
    <row r="190" spans="13:13">
      <c r="M190" s="19"/>
    </row>
    <row r="191" spans="13:13">
      <c r="M191" s="19"/>
    </row>
    <row r="192" spans="13:13">
      <c r="M192" s="19"/>
    </row>
    <row r="193" spans="13:13">
      <c r="M193" s="19"/>
    </row>
    <row r="194" spans="13:13">
      <c r="M194" s="19"/>
    </row>
    <row r="195" spans="13:13">
      <c r="M195" s="19"/>
    </row>
    <row r="196" spans="13:13">
      <c r="M196" s="19"/>
    </row>
    <row r="197" spans="13:13">
      <c r="M197" s="19"/>
    </row>
    <row r="198" spans="13:13">
      <c r="M198" s="19"/>
    </row>
    <row r="199" spans="13:13">
      <c r="M199" s="19"/>
    </row>
    <row r="200" spans="13:13">
      <c r="M200" s="19"/>
    </row>
    <row r="201" spans="13:13">
      <c r="M201" s="19"/>
    </row>
    <row r="202" spans="13:13">
      <c r="M202" s="19"/>
    </row>
    <row r="203" spans="13:13">
      <c r="M203" s="19"/>
    </row>
    <row r="204" spans="13:13">
      <c r="M204" s="19"/>
    </row>
    <row r="205" spans="13:13">
      <c r="M205" s="19"/>
    </row>
    <row r="206" spans="13:13">
      <c r="M206" s="19"/>
    </row>
    <row r="207" spans="13:13">
      <c r="M207" s="19"/>
    </row>
    <row r="208" spans="13:13">
      <c r="M208" s="19"/>
    </row>
    <row r="209" spans="13:13">
      <c r="M209" s="19"/>
    </row>
    <row r="210" spans="13:13">
      <c r="M210" s="19"/>
    </row>
    <row r="211" spans="13:13">
      <c r="M211" s="19"/>
    </row>
    <row r="212" spans="13:13">
      <c r="M212" s="19"/>
    </row>
    <row r="213" spans="13:13">
      <c r="M213" s="19"/>
    </row>
    <row r="214" spans="13:13">
      <c r="M214" s="19"/>
    </row>
    <row r="215" spans="13:13">
      <c r="M215" s="19"/>
    </row>
    <row r="216" spans="13:13">
      <c r="M216" s="19"/>
    </row>
    <row r="217" spans="13:13">
      <c r="M217" s="19"/>
    </row>
    <row r="218" spans="13:13">
      <c r="M218" s="19"/>
    </row>
    <row r="219" spans="13:13">
      <c r="M219" s="19"/>
    </row>
    <row r="220" spans="13:13">
      <c r="M220" s="19"/>
    </row>
    <row r="221" spans="13:13">
      <c r="M221" s="19"/>
    </row>
    <row r="222" spans="13:13">
      <c r="M222" s="19"/>
    </row>
    <row r="223" spans="13:13">
      <c r="M223" s="19"/>
    </row>
    <row r="224" spans="13:13">
      <c r="M224" s="19"/>
    </row>
    <row r="225" spans="13:13">
      <c r="M225" s="19"/>
    </row>
    <row r="226" spans="13:13">
      <c r="M226" s="19"/>
    </row>
    <row r="227" spans="13:13">
      <c r="M227" s="19"/>
    </row>
    <row r="228" spans="13:13">
      <c r="M228" s="19"/>
    </row>
    <row r="229" spans="13:13">
      <c r="M229" s="19"/>
    </row>
    <row r="230" spans="13:13">
      <c r="M230" s="19"/>
    </row>
    <row r="231" spans="13:13">
      <c r="M231" s="19"/>
    </row>
    <row r="232" spans="13:13">
      <c r="M232" s="19"/>
    </row>
    <row r="233" spans="13:13">
      <c r="M233" s="19"/>
    </row>
    <row r="234" spans="13:13">
      <c r="M234" s="19"/>
    </row>
    <row r="235" spans="13:13">
      <c r="M235" s="19"/>
    </row>
    <row r="236" spans="13:13">
      <c r="M236" s="19"/>
    </row>
    <row r="237" spans="13:13">
      <c r="M237" s="19"/>
    </row>
    <row r="238" spans="13:13">
      <c r="M238" s="19"/>
    </row>
    <row r="239" spans="13:13">
      <c r="M239" s="19"/>
    </row>
    <row r="240" spans="13:13">
      <c r="M240" s="19"/>
    </row>
    <row r="241" spans="13:13">
      <c r="M241" s="19"/>
    </row>
    <row r="242" spans="13:13">
      <c r="M242" s="19"/>
    </row>
    <row r="243" spans="13:13">
      <c r="M243" s="19"/>
    </row>
    <row r="244" spans="13:13">
      <c r="M244" s="19"/>
    </row>
    <row r="245" spans="13:13">
      <c r="M245" s="19"/>
    </row>
    <row r="246" spans="13:13">
      <c r="M246" s="19"/>
    </row>
    <row r="247" spans="13:13">
      <c r="M247" s="19"/>
    </row>
    <row r="248" spans="13:13">
      <c r="M248" s="19"/>
    </row>
    <row r="249" spans="13:13">
      <c r="M249" s="19"/>
    </row>
    <row r="250" spans="13:13">
      <c r="M250" s="19"/>
    </row>
    <row r="251" spans="13:13">
      <c r="M251" s="19"/>
    </row>
    <row r="252" spans="13:13">
      <c r="M252" s="19"/>
    </row>
    <row r="253" spans="13:13">
      <c r="M253" s="19"/>
    </row>
    <row r="254" spans="13:13">
      <c r="M254" s="19"/>
    </row>
    <row r="255" spans="13:13">
      <c r="M255" s="19"/>
    </row>
    <row r="256" spans="13:13">
      <c r="M256" s="19"/>
    </row>
    <row r="257" spans="13:13">
      <c r="M257" s="19"/>
    </row>
    <row r="258" spans="13:13">
      <c r="M258" s="19"/>
    </row>
    <row r="259" spans="13:13">
      <c r="M259" s="19"/>
    </row>
    <row r="260" spans="13:13">
      <c r="M260" s="19"/>
    </row>
    <row r="261" spans="13:13">
      <c r="M261" s="19"/>
    </row>
    <row r="262" spans="13:13">
      <c r="M262" s="19"/>
    </row>
    <row r="263" spans="13:13">
      <c r="M263" s="19"/>
    </row>
    <row r="264" spans="13:13">
      <c r="M264" s="19"/>
    </row>
    <row r="265" spans="13:13">
      <c r="M265" s="19"/>
    </row>
    <row r="266" spans="13:13">
      <c r="M266" s="19"/>
    </row>
    <row r="267" spans="13:13">
      <c r="M267" s="19"/>
    </row>
    <row r="268" spans="13:13">
      <c r="M268" s="19"/>
    </row>
    <row r="269" spans="13:13">
      <c r="M269" s="19"/>
    </row>
    <row r="270" spans="13:13">
      <c r="M270" s="19"/>
    </row>
    <row r="271" spans="13:13">
      <c r="M271" s="19"/>
    </row>
    <row r="272" spans="13:13">
      <c r="M272" s="19"/>
    </row>
    <row r="273" spans="13:13">
      <c r="M273" s="19"/>
    </row>
    <row r="274" spans="13:13">
      <c r="M274" s="19"/>
    </row>
    <row r="275" spans="13:13">
      <c r="M275" s="19"/>
    </row>
    <row r="276" spans="13:13">
      <c r="M276" s="19"/>
    </row>
    <row r="277" spans="13:13">
      <c r="M277" s="19"/>
    </row>
    <row r="278" spans="13:13">
      <c r="M278" s="19"/>
    </row>
    <row r="279" spans="13:13">
      <c r="M279" s="19"/>
    </row>
    <row r="280" spans="13:13">
      <c r="M280" s="19"/>
    </row>
    <row r="281" spans="13:13">
      <c r="M281" s="19"/>
    </row>
    <row r="282" spans="13:13">
      <c r="M282" s="19"/>
    </row>
    <row r="283" spans="13:13">
      <c r="M283" s="19"/>
    </row>
    <row r="284" spans="13:13">
      <c r="M284" s="19"/>
    </row>
    <row r="285" spans="13:13">
      <c r="M285" s="19"/>
    </row>
    <row r="286" spans="13:13">
      <c r="M286" s="19"/>
    </row>
    <row r="287" spans="13:13">
      <c r="M287" s="19"/>
    </row>
    <row r="288" spans="13:13">
      <c r="M288" s="19"/>
    </row>
    <row r="289" spans="13:13">
      <c r="M289" s="19"/>
    </row>
    <row r="290" spans="13:13">
      <c r="M290" s="19"/>
    </row>
    <row r="291" spans="13:13">
      <c r="M291" s="19"/>
    </row>
    <row r="292" spans="13:13">
      <c r="M292" s="19"/>
    </row>
    <row r="293" spans="13:13">
      <c r="M293" s="19"/>
    </row>
    <row r="294" spans="13:13">
      <c r="M294" s="19"/>
    </row>
    <row r="295" spans="13:13">
      <c r="M295" s="19"/>
    </row>
    <row r="296" spans="13:13">
      <c r="M296" s="19"/>
    </row>
    <row r="297" spans="13:13">
      <c r="M297" s="19"/>
    </row>
    <row r="298" spans="13:13">
      <c r="M298" s="19"/>
    </row>
    <row r="299" spans="13:13">
      <c r="M299" s="19"/>
    </row>
    <row r="300" spans="13:13">
      <c r="M300" s="19"/>
    </row>
    <row r="301" spans="13:13">
      <c r="M301" s="19"/>
    </row>
    <row r="302" spans="13:13">
      <c r="M302" s="19"/>
    </row>
    <row r="303" spans="13:13">
      <c r="M303" s="19"/>
    </row>
    <row r="304" spans="13:13">
      <c r="M304" s="19"/>
    </row>
    <row r="305" spans="13:13">
      <c r="M305" s="19"/>
    </row>
    <row r="306" spans="13:13">
      <c r="M306" s="19"/>
    </row>
    <row r="307" spans="13:13">
      <c r="M307" s="19"/>
    </row>
    <row r="308" spans="13:13">
      <c r="M308" s="19"/>
    </row>
    <row r="309" spans="13:13">
      <c r="M309" s="19"/>
    </row>
    <row r="310" spans="13:13">
      <c r="M310" s="19"/>
    </row>
    <row r="311" spans="13:13">
      <c r="M311" s="19"/>
    </row>
    <row r="312" spans="13:13">
      <c r="M312" s="19"/>
    </row>
    <row r="313" spans="13:13">
      <c r="M313" s="19"/>
    </row>
    <row r="314" spans="13:13">
      <c r="M314" s="19"/>
    </row>
    <row r="315" spans="13:13">
      <c r="M315" s="19"/>
    </row>
    <row r="316" spans="13:13">
      <c r="M316" s="19"/>
    </row>
    <row r="317" spans="13:13">
      <c r="M317" s="19"/>
    </row>
    <row r="318" spans="13:13">
      <c r="M318" s="19"/>
    </row>
    <row r="319" spans="13:13">
      <c r="M319" s="19"/>
    </row>
    <row r="320" spans="13:13">
      <c r="M320" s="19"/>
    </row>
    <row r="321" spans="13:13">
      <c r="M321" s="19"/>
    </row>
    <row r="322" spans="13:13">
      <c r="M322" s="19"/>
    </row>
    <row r="323" spans="13:13">
      <c r="M323" s="19"/>
    </row>
    <row r="324" spans="13:13">
      <c r="M324" s="19"/>
    </row>
    <row r="325" spans="13:13">
      <c r="M325" s="19"/>
    </row>
    <row r="326" spans="13:13">
      <c r="M326" s="19"/>
    </row>
    <row r="327" spans="13:13">
      <c r="M327" s="19"/>
    </row>
    <row r="328" spans="13:13">
      <c r="M328" s="19"/>
    </row>
    <row r="329" spans="13:13">
      <c r="M329" s="19"/>
    </row>
    <row r="330" spans="13:13">
      <c r="M330" s="19"/>
    </row>
    <row r="331" spans="13:13">
      <c r="M331" s="19"/>
    </row>
    <row r="332" spans="13:13">
      <c r="M332" s="19"/>
    </row>
    <row r="333" spans="13:13">
      <c r="M333" s="19"/>
    </row>
    <row r="334" spans="13:13">
      <c r="M334" s="19"/>
    </row>
    <row r="335" spans="13:13">
      <c r="M335" s="19"/>
    </row>
    <row r="336" spans="13:13">
      <c r="M336" s="19"/>
    </row>
    <row r="337" spans="13:13">
      <c r="M337" s="19"/>
    </row>
    <row r="338" spans="13:13">
      <c r="M338" s="19"/>
    </row>
    <row r="339" spans="13:13">
      <c r="M339" s="19"/>
    </row>
    <row r="340" spans="13:13">
      <c r="M340" s="19"/>
    </row>
    <row r="341" spans="13:13">
      <c r="M341" s="19"/>
    </row>
    <row r="342" spans="13:13">
      <c r="M342" s="19"/>
    </row>
    <row r="343" spans="13:13">
      <c r="M343" s="19"/>
    </row>
    <row r="344" spans="13:13">
      <c r="M344" s="19"/>
    </row>
    <row r="345" spans="13:13">
      <c r="M345" s="19"/>
    </row>
    <row r="346" spans="13:13">
      <c r="M346" s="19"/>
    </row>
    <row r="347" spans="13:13">
      <c r="M347" s="19"/>
    </row>
    <row r="348" spans="13:13">
      <c r="M348" s="19"/>
    </row>
    <row r="349" spans="13:13">
      <c r="M349" s="19"/>
    </row>
    <row r="350" spans="13:13">
      <c r="M350" s="19"/>
    </row>
    <row r="351" spans="13:13">
      <c r="M351" s="19"/>
    </row>
    <row r="352" spans="13:13">
      <c r="M352" s="19"/>
    </row>
    <row r="353" spans="13:13">
      <c r="M353" s="19"/>
    </row>
    <row r="354" spans="13:13">
      <c r="M354" s="19"/>
    </row>
    <row r="355" spans="13:13">
      <c r="M355" s="19"/>
    </row>
    <row r="356" spans="13:13">
      <c r="M356" s="19"/>
    </row>
    <row r="357" spans="13:13">
      <c r="M357" s="19"/>
    </row>
    <row r="358" spans="13:13">
      <c r="M358" s="19"/>
    </row>
    <row r="359" spans="13:13">
      <c r="M359" s="19"/>
    </row>
    <row r="360" spans="13:13">
      <c r="M360" s="19"/>
    </row>
    <row r="361" spans="13:13">
      <c r="M361" s="19"/>
    </row>
    <row r="362" spans="13:13">
      <c r="M362" s="19"/>
    </row>
    <row r="363" spans="13:13">
      <c r="M363" s="19"/>
    </row>
    <row r="364" spans="13:13">
      <c r="M364" s="19"/>
    </row>
    <row r="365" spans="13:13">
      <c r="M365" s="19"/>
    </row>
    <row r="366" spans="13:13">
      <c r="M366" s="19"/>
    </row>
    <row r="367" spans="13:13">
      <c r="M367" s="19"/>
    </row>
    <row r="368" spans="13:13">
      <c r="M368" s="19"/>
    </row>
    <row r="369" spans="13:13">
      <c r="M369" s="19"/>
    </row>
    <row r="370" spans="13:13">
      <c r="M370" s="19"/>
    </row>
    <row r="371" spans="13:13">
      <c r="M371" s="19"/>
    </row>
    <row r="372" spans="13:13">
      <c r="M372" s="19"/>
    </row>
    <row r="373" spans="13:13">
      <c r="M373" s="19"/>
    </row>
    <row r="374" spans="13:13">
      <c r="M374" s="19"/>
    </row>
    <row r="375" spans="13:13">
      <c r="M375" s="19"/>
    </row>
    <row r="376" spans="13:13">
      <c r="M376" s="19"/>
    </row>
    <row r="377" spans="13:13">
      <c r="M377" s="19"/>
    </row>
    <row r="378" spans="13:13">
      <c r="M378" s="19"/>
    </row>
    <row r="379" spans="13:13">
      <c r="M379" s="19"/>
    </row>
    <row r="380" spans="13:13">
      <c r="M380" s="19"/>
    </row>
    <row r="381" spans="13:13">
      <c r="M381" s="19"/>
    </row>
    <row r="382" spans="13:13">
      <c r="M382" s="19"/>
    </row>
    <row r="383" spans="13:13">
      <c r="M383" s="19"/>
    </row>
    <row r="384" spans="13:13">
      <c r="M384" s="19"/>
    </row>
    <row r="385" spans="13:13">
      <c r="M385" s="19"/>
    </row>
    <row r="386" spans="13:13">
      <c r="M386" s="19"/>
    </row>
    <row r="387" spans="13:13">
      <c r="M387" s="19"/>
    </row>
    <row r="388" spans="13:13">
      <c r="M388" s="19"/>
    </row>
    <row r="389" spans="13:13">
      <c r="M389" s="19"/>
    </row>
    <row r="390" spans="13:13">
      <c r="M390" s="19"/>
    </row>
    <row r="391" spans="13:13">
      <c r="M391" s="19"/>
    </row>
    <row r="392" spans="13:13">
      <c r="M392" s="19"/>
    </row>
    <row r="393" spans="13:13">
      <c r="M393" s="19"/>
    </row>
    <row r="394" spans="13:13">
      <c r="M394" s="19"/>
    </row>
    <row r="395" spans="13:13">
      <c r="M395" s="19"/>
    </row>
    <row r="396" spans="13:13">
      <c r="M396" s="19"/>
    </row>
    <row r="397" spans="13:13">
      <c r="M397" s="19"/>
    </row>
    <row r="398" spans="13:13">
      <c r="M398" s="19"/>
    </row>
    <row r="399" spans="13:13">
      <c r="M399" s="19"/>
    </row>
    <row r="400" spans="13:13">
      <c r="M400" s="19"/>
    </row>
    <row r="401" spans="13:13">
      <c r="M401" s="19"/>
    </row>
    <row r="402" spans="13:13">
      <c r="M402" s="19"/>
    </row>
    <row r="403" spans="13:13">
      <c r="M403" s="19"/>
    </row>
    <row r="404" spans="13:13">
      <c r="M404" s="19"/>
    </row>
    <row r="405" spans="13:13">
      <c r="M405" s="19"/>
    </row>
    <row r="406" spans="13:13">
      <c r="M406" s="19"/>
    </row>
    <row r="407" spans="13:13">
      <c r="M407" s="19"/>
    </row>
    <row r="408" spans="13:13">
      <c r="M408" s="19"/>
    </row>
    <row r="409" spans="13:13">
      <c r="M409" s="19"/>
    </row>
    <row r="410" spans="13:13">
      <c r="M410" s="19"/>
    </row>
    <row r="411" spans="13:13">
      <c r="M411" s="19"/>
    </row>
    <row r="412" spans="13:13">
      <c r="M412" s="19"/>
    </row>
    <row r="413" spans="13:13">
      <c r="M413" s="19"/>
    </row>
    <row r="414" spans="13:13">
      <c r="M414" s="19"/>
    </row>
    <row r="415" spans="13:13">
      <c r="M415" s="19"/>
    </row>
    <row r="416" spans="13:13">
      <c r="M416" s="19"/>
    </row>
    <row r="417" spans="13:13">
      <c r="M417" s="19"/>
    </row>
    <row r="418" spans="13:13">
      <c r="M418" s="19"/>
    </row>
    <row r="419" spans="13:13">
      <c r="M419" s="19"/>
    </row>
    <row r="420" spans="13:13">
      <c r="M420" s="19"/>
    </row>
    <row r="421" spans="13:13">
      <c r="M421" s="19"/>
    </row>
    <row r="422" spans="13:13">
      <c r="M422" s="19"/>
    </row>
    <row r="423" spans="13:13">
      <c r="M423" s="19"/>
    </row>
    <row r="424" spans="13:13">
      <c r="M424" s="19"/>
    </row>
    <row r="425" spans="13:13">
      <c r="M425" s="19"/>
    </row>
    <row r="426" spans="13:13">
      <c r="M426" s="19"/>
    </row>
    <row r="427" spans="13:13">
      <c r="M427" s="19"/>
    </row>
    <row r="428" spans="13:13">
      <c r="M428" s="19"/>
    </row>
    <row r="429" spans="13:13">
      <c r="M429" s="19"/>
    </row>
    <row r="430" spans="13:13">
      <c r="M430" s="19"/>
    </row>
    <row r="431" spans="13:13">
      <c r="M431" s="19"/>
    </row>
    <row r="432" spans="13:13">
      <c r="M432" s="19"/>
    </row>
    <row r="433" spans="13:13">
      <c r="M433" s="19"/>
    </row>
    <row r="434" spans="13:13">
      <c r="M434" s="19"/>
    </row>
    <row r="435" spans="13:13">
      <c r="M435" s="19"/>
    </row>
    <row r="436" spans="13:13">
      <c r="M436" s="19"/>
    </row>
    <row r="437" spans="13:13">
      <c r="M437" s="19"/>
    </row>
    <row r="438" spans="13:13">
      <c r="M438" s="19"/>
    </row>
    <row r="439" spans="13:13">
      <c r="M439" s="19"/>
    </row>
    <row r="440" spans="13:13">
      <c r="M440" s="19"/>
    </row>
    <row r="441" spans="13:13">
      <c r="M441" s="19"/>
    </row>
    <row r="442" spans="13:13">
      <c r="M442" s="19"/>
    </row>
    <row r="443" spans="13:13">
      <c r="M443" s="19"/>
    </row>
    <row r="444" spans="13:13">
      <c r="M444" s="19"/>
    </row>
    <row r="445" spans="13:13">
      <c r="M445" s="19"/>
    </row>
    <row r="446" spans="13:13">
      <c r="M446" s="19"/>
    </row>
    <row r="447" spans="13:13">
      <c r="M447" s="19"/>
    </row>
    <row r="448" spans="13:13">
      <c r="M448" s="19"/>
    </row>
    <row r="449" spans="13:13">
      <c r="M449" s="19"/>
    </row>
    <row r="450" spans="13:13">
      <c r="M450" s="19"/>
    </row>
    <row r="451" spans="13:13">
      <c r="M451" s="19"/>
    </row>
    <row r="452" spans="13:13">
      <c r="M452" s="19"/>
    </row>
    <row r="453" spans="13:13">
      <c r="M453" s="19"/>
    </row>
    <row r="454" spans="13:13">
      <c r="M454" s="19"/>
    </row>
    <row r="455" spans="13:13">
      <c r="M455" s="19"/>
    </row>
    <row r="456" spans="13:13">
      <c r="M456" s="19"/>
    </row>
    <row r="457" spans="13:13">
      <c r="M457" s="19"/>
    </row>
    <row r="458" spans="13:13">
      <c r="M458" s="19"/>
    </row>
    <row r="459" spans="13:13">
      <c r="M459" s="19"/>
    </row>
    <row r="460" spans="13:13">
      <c r="M460" s="19"/>
    </row>
    <row r="461" spans="13:13">
      <c r="M461" s="19"/>
    </row>
    <row r="462" spans="13:13">
      <c r="M462" s="19"/>
    </row>
    <row r="463" spans="13:13">
      <c r="M463" s="19"/>
    </row>
    <row r="464" spans="13:13">
      <c r="M464" s="19"/>
    </row>
    <row r="465" spans="13:13">
      <c r="M465" s="19"/>
    </row>
    <row r="466" spans="13:13">
      <c r="M466" s="19"/>
    </row>
    <row r="467" spans="13:13">
      <c r="M467" s="19"/>
    </row>
    <row r="468" spans="13:13">
      <c r="M468" s="19"/>
    </row>
    <row r="469" spans="13:13">
      <c r="M469" s="19"/>
    </row>
    <row r="470" spans="13:13">
      <c r="M470" s="19"/>
    </row>
    <row r="471" spans="13:13">
      <c r="M471" s="19"/>
    </row>
    <row r="472" spans="13:13">
      <c r="M472" s="19"/>
    </row>
    <row r="473" spans="13:13">
      <c r="M473" s="19"/>
    </row>
    <row r="474" spans="13:13">
      <c r="M474" s="19"/>
    </row>
    <row r="475" spans="13:13">
      <c r="M475" s="19"/>
    </row>
    <row r="476" spans="13:13">
      <c r="M476" s="19"/>
    </row>
    <row r="477" spans="13:13">
      <c r="M477" s="19"/>
    </row>
    <row r="478" spans="13:13">
      <c r="M478" s="19"/>
    </row>
    <row r="479" spans="13:13">
      <c r="M479" s="19"/>
    </row>
    <row r="480" spans="13:13">
      <c r="M480" s="19"/>
    </row>
    <row r="481" spans="13:13">
      <c r="M481" s="19"/>
    </row>
    <row r="482" spans="13:13">
      <c r="M482" s="19"/>
    </row>
    <row r="483" spans="13:13">
      <c r="M483" s="19"/>
    </row>
    <row r="484" spans="13:13">
      <c r="M484" s="19"/>
    </row>
    <row r="485" spans="13:13">
      <c r="M485" s="19"/>
    </row>
    <row r="486" spans="13:13">
      <c r="M486" s="19"/>
    </row>
    <row r="487" spans="13:13">
      <c r="M487" s="19"/>
    </row>
    <row r="488" spans="13:13">
      <c r="M488" s="19"/>
    </row>
    <row r="489" spans="13:13">
      <c r="M489" s="19"/>
    </row>
    <row r="490" spans="13:13">
      <c r="M490" s="19"/>
    </row>
    <row r="491" spans="13:13">
      <c r="M491" s="19"/>
    </row>
    <row r="492" spans="13:13">
      <c r="M492" s="19"/>
    </row>
    <row r="493" spans="13:13">
      <c r="M493" s="19"/>
    </row>
    <row r="494" spans="13:13">
      <c r="M494" s="19"/>
    </row>
    <row r="495" spans="13:13">
      <c r="M495" s="19"/>
    </row>
    <row r="496" spans="13:13">
      <c r="M496" s="19"/>
    </row>
    <row r="497" spans="13:13">
      <c r="M497" s="19"/>
    </row>
    <row r="498" spans="13:13">
      <c r="M498" s="19"/>
    </row>
    <row r="499" spans="13:13">
      <c r="M499" s="19"/>
    </row>
    <row r="500" spans="13:13">
      <c r="M500" s="19"/>
    </row>
    <row r="501" spans="13:13">
      <c r="M501" s="19"/>
    </row>
    <row r="502" spans="13:13">
      <c r="M502" s="19"/>
    </row>
    <row r="503" spans="13:13">
      <c r="M503" s="19"/>
    </row>
    <row r="504" spans="13:13">
      <c r="M504" s="19"/>
    </row>
    <row r="505" spans="13:13">
      <c r="M505" s="19"/>
    </row>
    <row r="506" spans="13:13">
      <c r="M506" s="19"/>
    </row>
    <row r="507" spans="13:13">
      <c r="M507" s="19"/>
    </row>
    <row r="508" spans="13:13">
      <c r="M508" s="19"/>
    </row>
    <row r="509" spans="13:13">
      <c r="M509" s="19"/>
    </row>
    <row r="510" spans="13:13">
      <c r="M510" s="19"/>
    </row>
    <row r="511" spans="13:13">
      <c r="M511" s="19"/>
    </row>
    <row r="512" spans="13:13">
      <c r="M512" s="19"/>
    </row>
    <row r="513" spans="13:13">
      <c r="M513" s="19"/>
    </row>
    <row r="514" spans="13:13">
      <c r="M514" s="19"/>
    </row>
    <row r="515" spans="13:13">
      <c r="M515" s="19"/>
    </row>
    <row r="516" spans="13:13">
      <c r="M516" s="19"/>
    </row>
    <row r="517" spans="13:13">
      <c r="M517" s="19"/>
    </row>
    <row r="518" spans="13:13">
      <c r="M518" s="19"/>
    </row>
    <row r="519" spans="13:13">
      <c r="M519" s="19"/>
    </row>
    <row r="520" spans="13:13">
      <c r="M520" s="19"/>
    </row>
    <row r="521" spans="13:13">
      <c r="M521" s="19"/>
    </row>
    <row r="522" spans="13:13">
      <c r="M522" s="19"/>
    </row>
    <row r="523" spans="13:13">
      <c r="M523" s="19"/>
    </row>
    <row r="524" spans="13:13">
      <c r="M524" s="19"/>
    </row>
    <row r="525" spans="13:13">
      <c r="M525" s="19"/>
    </row>
    <row r="526" spans="13:13">
      <c r="M526" s="19"/>
    </row>
    <row r="527" spans="13:13">
      <c r="M527" s="19"/>
    </row>
    <row r="528" spans="13:13">
      <c r="M528" s="19"/>
    </row>
    <row r="529" spans="13:13">
      <c r="M529" s="19"/>
    </row>
    <row r="530" spans="13:13">
      <c r="M530" s="19"/>
    </row>
    <row r="531" spans="13:13">
      <c r="M531" s="19"/>
    </row>
    <row r="532" spans="13:13">
      <c r="M532" s="19"/>
    </row>
    <row r="533" spans="13:13">
      <c r="M533" s="19"/>
    </row>
    <row r="534" spans="13:13">
      <c r="M534" s="19"/>
    </row>
    <row r="535" spans="13:13">
      <c r="M535" s="19"/>
    </row>
    <row r="536" spans="13:13">
      <c r="M536" s="19"/>
    </row>
    <row r="537" spans="13:13">
      <c r="M537" s="19"/>
    </row>
    <row r="538" spans="13:13">
      <c r="M538" s="19"/>
    </row>
    <row r="539" spans="13:13">
      <c r="M539" s="19"/>
    </row>
    <row r="540" spans="13:13">
      <c r="M540" s="19"/>
    </row>
    <row r="541" spans="13:13">
      <c r="M541" s="19"/>
    </row>
    <row r="542" spans="13:13">
      <c r="M542" s="19"/>
    </row>
    <row r="543" spans="13:13">
      <c r="M543" s="19"/>
    </row>
    <row r="544" spans="13:13">
      <c r="M544" s="19"/>
    </row>
    <row r="545" spans="13:13">
      <c r="M545" s="19"/>
    </row>
    <row r="546" spans="13:13">
      <c r="M546" s="19"/>
    </row>
    <row r="547" spans="13:13">
      <c r="M547" s="19"/>
    </row>
    <row r="548" spans="13:13">
      <c r="M548" s="19"/>
    </row>
    <row r="549" spans="13:13">
      <c r="M549" s="19"/>
    </row>
    <row r="550" spans="13:13">
      <c r="M550" s="19"/>
    </row>
    <row r="551" spans="13:13">
      <c r="M551" s="19"/>
    </row>
    <row r="552" spans="13:13">
      <c r="M552" s="19"/>
    </row>
    <row r="553" spans="13:13">
      <c r="M553" s="19"/>
    </row>
    <row r="554" spans="13:13">
      <c r="M554" s="19"/>
    </row>
    <row r="555" spans="13:13">
      <c r="M555" s="19"/>
    </row>
    <row r="556" spans="13:13">
      <c r="M556" s="19"/>
    </row>
    <row r="557" spans="13:13">
      <c r="M557" s="19"/>
    </row>
    <row r="558" spans="13:13">
      <c r="M558" s="19"/>
    </row>
    <row r="559" spans="13:13">
      <c r="M559" s="19"/>
    </row>
    <row r="560" spans="13:13">
      <c r="M560" s="19"/>
    </row>
    <row r="561" spans="13:13">
      <c r="M561" s="19"/>
    </row>
    <row r="562" spans="13:13">
      <c r="M562" s="19"/>
    </row>
    <row r="563" spans="13:13">
      <c r="M563" s="19"/>
    </row>
    <row r="564" spans="13:13">
      <c r="M564" s="19"/>
    </row>
    <row r="565" spans="13:13">
      <c r="M565" s="19"/>
    </row>
    <row r="566" spans="13:13">
      <c r="M566" s="19"/>
    </row>
    <row r="567" spans="13:13">
      <c r="M567" s="19"/>
    </row>
    <row r="568" spans="13:13">
      <c r="M568" s="19"/>
    </row>
    <row r="569" spans="13:13">
      <c r="M569" s="19"/>
    </row>
    <row r="570" spans="13:13">
      <c r="M570" s="19"/>
    </row>
    <row r="571" spans="13:13">
      <c r="M571" s="19"/>
    </row>
    <row r="572" spans="13:13">
      <c r="M572" s="19"/>
    </row>
    <row r="573" spans="13:13">
      <c r="M573" s="19"/>
    </row>
    <row r="574" spans="13:13">
      <c r="M574" s="19"/>
    </row>
    <row r="575" spans="13:13">
      <c r="M575" s="19"/>
    </row>
    <row r="576" spans="13:13">
      <c r="M576" s="19"/>
    </row>
    <row r="577" spans="13:13">
      <c r="M577" s="19"/>
    </row>
    <row r="578" spans="13:13">
      <c r="M578" s="19"/>
    </row>
    <row r="579" spans="13:13">
      <c r="M579" s="19"/>
    </row>
    <row r="580" spans="13:13">
      <c r="M580" s="19"/>
    </row>
    <row r="581" spans="13:13">
      <c r="M581" s="19"/>
    </row>
    <row r="582" spans="13:13">
      <c r="M582" s="19"/>
    </row>
    <row r="583" spans="13:13">
      <c r="M583" s="19"/>
    </row>
    <row r="584" spans="13:13">
      <c r="M584" s="19"/>
    </row>
    <row r="585" spans="13:13">
      <c r="M585" s="19"/>
    </row>
    <row r="586" spans="13:13">
      <c r="M586" s="19"/>
    </row>
    <row r="587" spans="13:13">
      <c r="M587" s="19"/>
    </row>
    <row r="588" spans="13:13">
      <c r="M588" s="19"/>
    </row>
    <row r="589" spans="13:13">
      <c r="M589" s="19"/>
    </row>
    <row r="590" spans="13:13">
      <c r="M590" s="19"/>
    </row>
    <row r="591" spans="13:13">
      <c r="M591" s="19"/>
    </row>
    <row r="592" spans="13:13">
      <c r="M592" s="19"/>
    </row>
    <row r="593" spans="13:13">
      <c r="M593" s="19"/>
    </row>
    <row r="594" spans="13:13">
      <c r="M594" s="19"/>
    </row>
    <row r="595" spans="13:13">
      <c r="M595" s="19"/>
    </row>
    <row r="596" spans="13:13">
      <c r="M596" s="19"/>
    </row>
    <row r="597" spans="13:13">
      <c r="M597" s="19"/>
    </row>
    <row r="598" spans="13:13">
      <c r="M598" s="19"/>
    </row>
    <row r="599" spans="13:13">
      <c r="M599" s="19"/>
    </row>
    <row r="600" spans="13:13">
      <c r="M600" s="19"/>
    </row>
    <row r="601" spans="13:13">
      <c r="M601" s="19"/>
    </row>
    <row r="602" spans="13:13">
      <c r="M602" s="19"/>
    </row>
    <row r="603" spans="13:13">
      <c r="M603" s="19"/>
    </row>
    <row r="604" spans="13:13">
      <c r="M604" s="19"/>
    </row>
    <row r="605" spans="13:13">
      <c r="M605" s="19"/>
    </row>
    <row r="606" spans="13:13">
      <c r="M606" s="19"/>
    </row>
    <row r="607" spans="13:13">
      <c r="M607" s="19"/>
    </row>
    <row r="608" spans="13:13">
      <c r="M608" s="19"/>
    </row>
    <row r="609" spans="13:13">
      <c r="M609" s="19"/>
    </row>
    <row r="610" spans="13:13">
      <c r="M610" s="19"/>
    </row>
    <row r="611" spans="13:13">
      <c r="M611" s="19"/>
    </row>
    <row r="612" spans="13:13">
      <c r="M612" s="19"/>
    </row>
    <row r="613" spans="13:13">
      <c r="M613" s="19"/>
    </row>
    <row r="614" spans="13:13">
      <c r="M614" s="19"/>
    </row>
    <row r="615" spans="13:13">
      <c r="M615" s="19"/>
    </row>
    <row r="616" spans="13:13">
      <c r="M616" s="19"/>
    </row>
    <row r="617" spans="13:13">
      <c r="M617" s="19"/>
    </row>
    <row r="618" spans="13:13">
      <c r="M618" s="19"/>
    </row>
    <row r="619" spans="13:13">
      <c r="M619" s="19"/>
    </row>
    <row r="620" spans="13:13">
      <c r="M620" s="19"/>
    </row>
    <row r="621" spans="13:13">
      <c r="M621" s="19"/>
    </row>
    <row r="622" spans="13:13">
      <c r="M622" s="19"/>
    </row>
    <row r="623" spans="13:13">
      <c r="M623" s="19"/>
    </row>
    <row r="624" spans="13:13">
      <c r="M624" s="19"/>
    </row>
    <row r="625" spans="13:13">
      <c r="M625" s="19"/>
    </row>
    <row r="626" spans="13:13">
      <c r="M626" s="19"/>
    </row>
    <row r="627" spans="13:13">
      <c r="M627" s="19"/>
    </row>
    <row r="628" spans="13:13">
      <c r="M628" s="19"/>
    </row>
    <row r="629" spans="13:13">
      <c r="M629" s="19"/>
    </row>
    <row r="630" spans="13:13">
      <c r="M630" s="19"/>
    </row>
    <row r="631" spans="13:13">
      <c r="M631" s="19"/>
    </row>
    <row r="632" spans="13:13">
      <c r="M632" s="19"/>
    </row>
    <row r="633" spans="13:13">
      <c r="M633" s="19"/>
    </row>
    <row r="634" spans="13:13">
      <c r="M634" s="19"/>
    </row>
    <row r="635" spans="13:13">
      <c r="M635" s="19"/>
    </row>
    <row r="636" spans="13:13">
      <c r="M636" s="19"/>
    </row>
    <row r="637" spans="13:13">
      <c r="M637" s="19"/>
    </row>
    <row r="638" spans="13:13">
      <c r="M638" s="19"/>
    </row>
    <row r="639" spans="13:13">
      <c r="M639" s="19"/>
    </row>
    <row r="640" spans="13:13">
      <c r="M640" s="19"/>
    </row>
    <row r="641" spans="13:13">
      <c r="M641" s="19"/>
    </row>
    <row r="642" spans="13:13">
      <c r="M642" s="19"/>
    </row>
    <row r="643" spans="13:13">
      <c r="M643" s="19"/>
    </row>
    <row r="644" spans="13:13">
      <c r="M644" s="19"/>
    </row>
    <row r="645" spans="13:13">
      <c r="M645" s="19"/>
    </row>
    <row r="646" spans="13:13">
      <c r="M646" s="19"/>
    </row>
    <row r="647" spans="13:13">
      <c r="M647" s="19"/>
    </row>
    <row r="648" spans="13:13">
      <c r="M648" s="19"/>
    </row>
    <row r="649" spans="13:13">
      <c r="M649" s="19"/>
    </row>
    <row r="650" spans="13:13">
      <c r="M650" s="19"/>
    </row>
    <row r="651" spans="13:13">
      <c r="M651" s="19"/>
    </row>
    <row r="652" spans="13:13">
      <c r="M652" s="19"/>
    </row>
    <row r="653" spans="13:13">
      <c r="M653" s="19"/>
    </row>
    <row r="654" spans="13:13">
      <c r="M654" s="19"/>
    </row>
    <row r="655" spans="13:13">
      <c r="M655" s="19"/>
    </row>
    <row r="656" spans="13:13">
      <c r="M656" s="19"/>
    </row>
    <row r="657" spans="13:13">
      <c r="M657" s="19"/>
    </row>
    <row r="658" spans="13:13">
      <c r="M658" s="19"/>
    </row>
    <row r="659" spans="13:13">
      <c r="M659" s="19"/>
    </row>
    <row r="660" spans="13:13">
      <c r="M660" s="19"/>
    </row>
    <row r="661" spans="13:13">
      <c r="M661" s="19"/>
    </row>
    <row r="662" spans="13:13">
      <c r="M662" s="19"/>
    </row>
    <row r="663" spans="13:13">
      <c r="M663" s="19"/>
    </row>
    <row r="664" spans="13:13">
      <c r="M664" s="19"/>
    </row>
    <row r="665" spans="13:13">
      <c r="M665" s="19"/>
    </row>
    <row r="666" spans="13:13">
      <c r="M666" s="19"/>
    </row>
    <row r="667" spans="13:13">
      <c r="M667" s="19"/>
    </row>
    <row r="668" spans="13:13">
      <c r="M668" s="19"/>
    </row>
    <row r="669" spans="13:13">
      <c r="M669" s="19"/>
    </row>
    <row r="670" spans="13:13">
      <c r="M670" s="19"/>
    </row>
    <row r="671" spans="13:13">
      <c r="M671" s="19"/>
    </row>
    <row r="672" spans="13:13">
      <c r="M672" s="19"/>
    </row>
    <row r="673" spans="13:13">
      <c r="M673" s="19"/>
    </row>
    <row r="674" spans="13:13">
      <c r="M674" s="19"/>
    </row>
    <row r="675" spans="13:13">
      <c r="M675" s="19"/>
    </row>
    <row r="676" spans="13:13">
      <c r="M676" s="19"/>
    </row>
    <row r="677" spans="13:13">
      <c r="M677" s="19"/>
    </row>
    <row r="678" spans="13:13">
      <c r="M678" s="19"/>
    </row>
    <row r="679" spans="13:13">
      <c r="M679" s="19"/>
    </row>
    <row r="680" spans="13:13">
      <c r="M680" s="19"/>
    </row>
    <row r="681" spans="13:13">
      <c r="M681" s="19"/>
    </row>
    <row r="682" spans="13:13">
      <c r="M682" s="19"/>
    </row>
    <row r="683" spans="13:13">
      <c r="M683" s="19"/>
    </row>
    <row r="684" spans="13:13">
      <c r="M684" s="19"/>
    </row>
    <row r="685" spans="13:13">
      <c r="M685" s="19"/>
    </row>
    <row r="686" spans="13:13">
      <c r="M686" s="19"/>
    </row>
    <row r="687" spans="13:13">
      <c r="M687" s="19"/>
    </row>
    <row r="688" spans="13:13">
      <c r="M688" s="19"/>
    </row>
    <row r="689" spans="13:13">
      <c r="M689" s="19"/>
    </row>
    <row r="690" spans="13:13">
      <c r="M690" s="19"/>
    </row>
    <row r="691" spans="13:13">
      <c r="M691" s="19"/>
    </row>
    <row r="692" spans="13:13">
      <c r="M692" s="19"/>
    </row>
    <row r="693" spans="13:13">
      <c r="M693" s="19"/>
    </row>
    <row r="694" spans="13:13">
      <c r="M694" s="19"/>
    </row>
    <row r="695" spans="13:13">
      <c r="M695" s="19"/>
    </row>
    <row r="696" spans="13:13">
      <c r="M696" s="19"/>
    </row>
    <row r="697" spans="13:13">
      <c r="M697" s="19"/>
    </row>
    <row r="698" spans="13:13">
      <c r="M698" s="19"/>
    </row>
    <row r="699" spans="13:13">
      <c r="M699" s="19"/>
    </row>
    <row r="700" spans="13:13">
      <c r="M700" s="19"/>
    </row>
    <row r="701" spans="13:13">
      <c r="M701" s="19"/>
    </row>
    <row r="702" spans="13:13">
      <c r="M702" s="19"/>
    </row>
    <row r="703" spans="13:13">
      <c r="M703" s="19"/>
    </row>
    <row r="704" spans="13:13">
      <c r="M704" s="19"/>
    </row>
    <row r="705" spans="13:13">
      <c r="M705" s="19"/>
    </row>
    <row r="706" spans="13:13">
      <c r="M706" s="19"/>
    </row>
    <row r="707" spans="13:13">
      <c r="M707" s="19"/>
    </row>
    <row r="708" spans="13:13">
      <c r="M708" s="19"/>
    </row>
    <row r="709" spans="13:13">
      <c r="M709" s="19"/>
    </row>
    <row r="710" spans="13:13">
      <c r="M710" s="19"/>
    </row>
    <row r="711" spans="13:13">
      <c r="M711" s="19"/>
    </row>
    <row r="712" spans="13:13">
      <c r="M712" s="19"/>
    </row>
    <row r="713" spans="13:13">
      <c r="M713" s="19"/>
    </row>
    <row r="714" spans="13:13">
      <c r="M714" s="19"/>
    </row>
    <row r="715" spans="13:13">
      <c r="M715" s="19"/>
    </row>
    <row r="716" spans="13:13">
      <c r="M716" s="19"/>
    </row>
    <row r="717" spans="13:13">
      <c r="M717" s="19"/>
    </row>
    <row r="718" spans="13:13">
      <c r="M718" s="19"/>
    </row>
    <row r="719" spans="13:13">
      <c r="M719" s="19"/>
    </row>
    <row r="720" spans="13:13">
      <c r="M720" s="19"/>
    </row>
    <row r="721" spans="13:13">
      <c r="M721" s="19"/>
    </row>
    <row r="722" spans="13:13">
      <c r="M722" s="19"/>
    </row>
    <row r="723" spans="13:13">
      <c r="M723" s="19"/>
    </row>
    <row r="724" spans="13:13">
      <c r="M724" s="19"/>
    </row>
    <row r="725" spans="13:13">
      <c r="M725" s="19"/>
    </row>
    <row r="726" spans="13:13">
      <c r="M726" s="19"/>
    </row>
    <row r="727" spans="13:13">
      <c r="M727" s="19"/>
    </row>
    <row r="728" spans="13:13">
      <c r="M728" s="19"/>
    </row>
    <row r="729" spans="13:13">
      <c r="M729" s="19"/>
    </row>
    <row r="730" spans="13:13">
      <c r="M730" s="19"/>
    </row>
    <row r="731" spans="13:13">
      <c r="M731" s="19"/>
    </row>
    <row r="732" spans="13:13">
      <c r="M732" s="19"/>
    </row>
    <row r="733" spans="13:13">
      <c r="M733" s="19"/>
    </row>
    <row r="734" spans="13:13">
      <c r="M734" s="19"/>
    </row>
    <row r="735" spans="13:13">
      <c r="M735" s="19"/>
    </row>
    <row r="736" spans="13:13">
      <c r="M736" s="19"/>
    </row>
  </sheetData>
  <sheetProtection algorithmName="SHA-512" hashValue="luQ9L9MWrJLVzggXgRVvDHSAzTPt7+2rIov/WYXLPPi5JIG6YdNmtYWtIhFUx9qKHNAen8ijJevJLUpZIMD3MQ==" saltValue="LP3H6iCYAjgIG8S/am30YQ==" spinCount="100000" sheet="1" objects="1" scenarios="1"/>
  <pageMargins left="0.75" right="0.75" top="1" bottom="1" header="0.5" footer="0.5"/>
  <pageSetup orientation="portrait" horizontalDpi="4294967292" verticalDpi="4294967292"/>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Z1071"/>
  <sheetViews>
    <sheetView topLeftCell="O1" workbookViewId="0">
      <selection activeCell="V1" sqref="V1"/>
    </sheetView>
  </sheetViews>
  <sheetFormatPr defaultColWidth="11" defaultRowHeight="15.75"/>
  <cols>
    <col min="1" max="1" width="25.625" customWidth="1"/>
    <col min="2" max="2" width="15.125" bestFit="1" customWidth="1"/>
    <col min="3" max="9" width="12.5" bestFit="1" customWidth="1"/>
    <col min="10" max="12" width="13.875" customWidth="1"/>
    <col min="14" max="14" width="11" style="190"/>
    <col min="22" max="22" width="52.375" customWidth="1"/>
    <col min="27" max="27" width="23.25" customWidth="1"/>
  </cols>
  <sheetData>
    <row r="1" spans="1:26" ht="18.75">
      <c r="A1" s="37" t="s">
        <v>47</v>
      </c>
      <c r="J1" s="494" t="s">
        <v>215</v>
      </c>
      <c r="K1" s="494"/>
      <c r="L1" s="494"/>
    </row>
    <row r="2" spans="1:26">
      <c r="A2" s="2"/>
    </row>
    <row r="3" spans="1:26">
      <c r="A3" s="2"/>
      <c r="B3" s="82" t="s">
        <v>61</v>
      </c>
      <c r="C3" s="82" t="s">
        <v>61</v>
      </c>
      <c r="D3" s="82" t="s">
        <v>61</v>
      </c>
      <c r="E3" s="82" t="s">
        <v>61</v>
      </c>
      <c r="F3" s="82" t="s">
        <v>61</v>
      </c>
      <c r="G3" s="82" t="s">
        <v>61</v>
      </c>
      <c r="H3" s="82" t="s">
        <v>61</v>
      </c>
      <c r="I3" s="82" t="s">
        <v>61</v>
      </c>
      <c r="J3" s="82" t="s">
        <v>61</v>
      </c>
      <c r="K3" s="82" t="s">
        <v>61</v>
      </c>
      <c r="L3" s="82" t="s">
        <v>61</v>
      </c>
      <c r="M3" s="19"/>
    </row>
    <row r="4" spans="1:26">
      <c r="A4" s="2"/>
      <c r="B4" s="30" t="s">
        <v>57</v>
      </c>
      <c r="C4" s="30" t="s">
        <v>57</v>
      </c>
      <c r="D4" s="30" t="s">
        <v>57</v>
      </c>
      <c r="E4" s="30" t="s">
        <v>57</v>
      </c>
      <c r="F4" s="30" t="s">
        <v>57</v>
      </c>
      <c r="G4" s="30" t="s">
        <v>57</v>
      </c>
      <c r="H4" s="30" t="s">
        <v>57</v>
      </c>
      <c r="I4" s="30" t="s">
        <v>57</v>
      </c>
      <c r="J4" s="30" t="s">
        <v>57</v>
      </c>
      <c r="K4" s="30" t="s">
        <v>202</v>
      </c>
      <c r="L4" s="30" t="s">
        <v>58</v>
      </c>
      <c r="M4" s="19"/>
    </row>
    <row r="5" spans="1:26" ht="18.75">
      <c r="A5" s="93" t="s">
        <v>98</v>
      </c>
      <c r="B5" s="17">
        <v>2009</v>
      </c>
      <c r="C5" s="17">
        <v>2010</v>
      </c>
      <c r="D5" s="17">
        <v>2011</v>
      </c>
      <c r="E5" s="17">
        <v>2012</v>
      </c>
      <c r="F5" s="17">
        <v>2013</v>
      </c>
      <c r="G5" s="17">
        <v>2014</v>
      </c>
      <c r="H5" s="17">
        <v>2015</v>
      </c>
      <c r="I5" s="17">
        <v>2016</v>
      </c>
      <c r="J5" s="17">
        <v>2017</v>
      </c>
      <c r="K5" s="17">
        <v>2018</v>
      </c>
      <c r="L5" s="17">
        <v>2019</v>
      </c>
      <c r="M5" s="19"/>
    </row>
    <row r="6" spans="1:26" ht="19.5" customHeight="1">
      <c r="A6" s="9" t="s">
        <v>100</v>
      </c>
      <c r="B6" s="27">
        <v>359189</v>
      </c>
      <c r="C6" s="27">
        <v>492843</v>
      </c>
      <c r="D6" s="27">
        <v>438062</v>
      </c>
      <c r="E6" s="27">
        <v>441233</v>
      </c>
      <c r="F6" s="27">
        <v>454431</v>
      </c>
      <c r="G6" s="27">
        <v>599214</v>
      </c>
      <c r="H6" s="27">
        <v>585051</v>
      </c>
      <c r="I6" s="27">
        <v>586611</v>
      </c>
      <c r="J6" s="27">
        <v>272128</v>
      </c>
      <c r="K6" s="27">
        <v>520348</v>
      </c>
      <c r="L6" s="27">
        <v>151000</v>
      </c>
      <c r="M6" s="27"/>
      <c r="N6" s="173"/>
      <c r="V6" s="249"/>
    </row>
    <row r="7" spans="1:26">
      <c r="A7" s="85" t="s">
        <v>93</v>
      </c>
      <c r="B7" s="27">
        <v>0</v>
      </c>
      <c r="C7" s="27">
        <v>0</v>
      </c>
      <c r="D7" s="27">
        <v>0</v>
      </c>
      <c r="E7" s="27">
        <v>0</v>
      </c>
      <c r="F7" s="27">
        <v>0</v>
      </c>
      <c r="G7" s="27">
        <v>0</v>
      </c>
      <c r="H7" s="27">
        <v>0</v>
      </c>
      <c r="I7" s="27">
        <v>0</v>
      </c>
      <c r="J7" s="27">
        <v>0</v>
      </c>
      <c r="K7" s="27">
        <v>0</v>
      </c>
      <c r="L7" s="27">
        <v>0</v>
      </c>
      <c r="M7" s="27"/>
      <c r="N7" s="173"/>
    </row>
    <row r="8" spans="1:26">
      <c r="A8" s="86" t="s">
        <v>101</v>
      </c>
      <c r="B8" s="27">
        <v>0</v>
      </c>
      <c r="C8" s="27">
        <v>0</v>
      </c>
      <c r="D8" s="27">
        <v>0</v>
      </c>
      <c r="E8" s="27">
        <v>0</v>
      </c>
      <c r="F8" s="27">
        <v>0</v>
      </c>
      <c r="G8" s="27">
        <v>0</v>
      </c>
      <c r="H8" s="27">
        <v>0</v>
      </c>
      <c r="I8" s="27">
        <v>0</v>
      </c>
      <c r="J8" s="27">
        <v>0</v>
      </c>
      <c r="K8" s="27">
        <v>0</v>
      </c>
      <c r="L8" s="27">
        <v>0</v>
      </c>
      <c r="M8" s="27"/>
      <c r="N8" s="173"/>
    </row>
    <row r="9" spans="1:26">
      <c r="A9" s="73" t="s">
        <v>83</v>
      </c>
      <c r="B9" s="27">
        <v>0</v>
      </c>
      <c r="C9" s="27">
        <v>0</v>
      </c>
      <c r="D9" s="27">
        <v>0</v>
      </c>
      <c r="E9" s="27">
        <v>0</v>
      </c>
      <c r="F9" s="27">
        <v>0</v>
      </c>
      <c r="G9" s="27">
        <v>0</v>
      </c>
      <c r="H9" s="27">
        <v>0</v>
      </c>
      <c r="I9" s="27">
        <v>0</v>
      </c>
      <c r="J9" s="27">
        <v>0</v>
      </c>
      <c r="K9" s="27">
        <v>0</v>
      </c>
      <c r="L9" s="27">
        <v>0</v>
      </c>
      <c r="M9" s="27"/>
      <c r="N9" s="173"/>
    </row>
    <row r="10" spans="1:26" s="19" customFormat="1" ht="16.5" thickBot="1">
      <c r="A10" s="39"/>
      <c r="B10" s="69">
        <v>0</v>
      </c>
      <c r="C10" s="69">
        <v>0</v>
      </c>
      <c r="D10" s="69">
        <v>0</v>
      </c>
      <c r="E10" s="69">
        <v>0</v>
      </c>
      <c r="F10" s="69">
        <v>0</v>
      </c>
      <c r="G10" s="69">
        <v>0</v>
      </c>
      <c r="H10" s="69">
        <v>0</v>
      </c>
      <c r="I10" s="69">
        <v>0</v>
      </c>
      <c r="J10" s="69">
        <v>0</v>
      </c>
      <c r="K10" s="69">
        <v>0</v>
      </c>
      <c r="L10" s="69">
        <v>0</v>
      </c>
      <c r="N10" s="190"/>
    </row>
    <row r="11" spans="1:26">
      <c r="A11" s="95" t="s">
        <v>108</v>
      </c>
      <c r="B11" s="27">
        <f>SUM(B6:B10)</f>
        <v>359189</v>
      </c>
      <c r="C11" s="27">
        <f t="shared" ref="C11:L11" si="0">SUM(C6:C10)</f>
        <v>492843</v>
      </c>
      <c r="D11" s="27">
        <f t="shared" si="0"/>
        <v>438062</v>
      </c>
      <c r="E11" s="27">
        <f t="shared" si="0"/>
        <v>441233</v>
      </c>
      <c r="F11" s="27">
        <f t="shared" si="0"/>
        <v>454431</v>
      </c>
      <c r="G11" s="27">
        <f t="shared" si="0"/>
        <v>599214</v>
      </c>
      <c r="H11" s="27">
        <f t="shared" si="0"/>
        <v>585051</v>
      </c>
      <c r="I11" s="27">
        <f t="shared" si="0"/>
        <v>586611</v>
      </c>
      <c r="J11" s="27">
        <f t="shared" si="0"/>
        <v>272128</v>
      </c>
      <c r="K11" s="27">
        <f t="shared" si="0"/>
        <v>520348</v>
      </c>
      <c r="L11" s="27">
        <f t="shared" si="0"/>
        <v>151000</v>
      </c>
      <c r="M11" s="19"/>
    </row>
    <row r="12" spans="1:26">
      <c r="B12" s="19"/>
      <c r="C12" s="19"/>
      <c r="D12" s="19"/>
      <c r="E12" s="19"/>
      <c r="F12" s="19"/>
      <c r="G12" s="19"/>
      <c r="H12" s="19"/>
      <c r="I12" s="19"/>
      <c r="J12" s="19"/>
      <c r="K12" s="19"/>
      <c r="L12" s="19"/>
      <c r="M12" s="19"/>
    </row>
    <row r="13" spans="1:26">
      <c r="A13" s="88" t="s">
        <v>107</v>
      </c>
      <c r="B13" s="27">
        <v>0</v>
      </c>
      <c r="C13" s="27">
        <v>0</v>
      </c>
      <c r="D13" s="27">
        <v>0</v>
      </c>
      <c r="E13" s="27">
        <v>0</v>
      </c>
      <c r="F13" s="27">
        <v>0</v>
      </c>
      <c r="G13" s="27">
        <v>0</v>
      </c>
      <c r="H13" s="27">
        <v>0</v>
      </c>
      <c r="I13" s="27">
        <v>0</v>
      </c>
      <c r="J13" s="27">
        <v>0</v>
      </c>
      <c r="K13" s="27">
        <v>0</v>
      </c>
      <c r="L13" s="27">
        <v>0</v>
      </c>
      <c r="M13" s="19"/>
    </row>
    <row r="14" spans="1:26">
      <c r="A14" s="88"/>
      <c r="B14" s="19"/>
      <c r="C14" s="19"/>
      <c r="D14" s="19"/>
      <c r="E14" s="19"/>
      <c r="F14" s="19"/>
      <c r="G14" s="19"/>
      <c r="H14" s="19"/>
      <c r="I14" s="19"/>
      <c r="J14" s="19"/>
      <c r="K14" s="19"/>
      <c r="L14" s="19"/>
      <c r="M14" s="19"/>
    </row>
    <row r="15" spans="1:26" s="9" customFormat="1">
      <c r="A15" s="89"/>
      <c r="B15" s="27"/>
      <c r="C15" s="27"/>
      <c r="D15" s="27"/>
      <c r="E15" s="27"/>
      <c r="F15" s="27"/>
      <c r="G15" s="27"/>
      <c r="H15" s="27"/>
      <c r="I15" s="27"/>
      <c r="J15" s="27"/>
      <c r="K15" s="27"/>
      <c r="L15" s="27"/>
      <c r="M15" s="116"/>
      <c r="N15" s="198"/>
      <c r="Z15" s="116"/>
    </row>
    <row r="16" spans="1:26" ht="18.75">
      <c r="A16" s="93" t="s">
        <v>73</v>
      </c>
      <c r="B16" s="17">
        <v>2009</v>
      </c>
      <c r="C16" s="17">
        <v>2010</v>
      </c>
      <c r="D16" s="17">
        <v>2011</v>
      </c>
      <c r="E16" s="17">
        <v>2012</v>
      </c>
      <c r="F16" s="17">
        <v>2013</v>
      </c>
      <c r="G16" s="17">
        <v>2014</v>
      </c>
      <c r="H16" s="17">
        <v>2015</v>
      </c>
      <c r="I16" s="17">
        <v>2016</v>
      </c>
      <c r="J16" s="17">
        <v>2017</v>
      </c>
      <c r="K16" s="17">
        <v>2018</v>
      </c>
      <c r="L16" s="17">
        <v>2019</v>
      </c>
      <c r="M16" s="27"/>
    </row>
    <row r="17" spans="1:22">
      <c r="A17" s="10" t="s">
        <v>100</v>
      </c>
      <c r="B17" s="27">
        <v>359189</v>
      </c>
      <c r="C17" s="27">
        <v>492843</v>
      </c>
      <c r="D17" s="27">
        <v>438062</v>
      </c>
      <c r="E17" s="27">
        <v>441233</v>
      </c>
      <c r="F17" s="27">
        <v>454431</v>
      </c>
      <c r="G17" s="27">
        <v>599214</v>
      </c>
      <c r="H17" s="27">
        <v>585051</v>
      </c>
      <c r="I17" s="27">
        <v>586611</v>
      </c>
      <c r="J17" s="27">
        <v>745450</v>
      </c>
      <c r="K17" s="27">
        <v>949562</v>
      </c>
      <c r="L17" s="27">
        <v>719859</v>
      </c>
      <c r="M17" s="27"/>
    </row>
    <row r="18" spans="1:22">
      <c r="A18" s="96" t="s">
        <v>93</v>
      </c>
      <c r="B18" s="27">
        <v>0</v>
      </c>
      <c r="C18" s="27">
        <v>0</v>
      </c>
      <c r="D18" s="27">
        <v>0</v>
      </c>
      <c r="E18" s="27">
        <v>0</v>
      </c>
      <c r="F18" s="27">
        <v>0</v>
      </c>
      <c r="G18" s="27">
        <v>0</v>
      </c>
      <c r="H18" s="27">
        <v>0</v>
      </c>
      <c r="I18" s="27">
        <v>0</v>
      </c>
      <c r="J18" s="27">
        <v>0</v>
      </c>
      <c r="K18" s="27">
        <v>0</v>
      </c>
      <c r="L18" s="27">
        <v>0</v>
      </c>
      <c r="M18" s="27"/>
      <c r="N18" s="173"/>
    </row>
    <row r="19" spans="1:22">
      <c r="A19" s="94" t="s">
        <v>101</v>
      </c>
      <c r="B19" s="27">
        <v>0</v>
      </c>
      <c r="C19" s="27">
        <v>0</v>
      </c>
      <c r="D19" s="27">
        <v>0</v>
      </c>
      <c r="E19" s="27">
        <v>0</v>
      </c>
      <c r="F19" s="27">
        <v>0</v>
      </c>
      <c r="G19" s="27">
        <v>0</v>
      </c>
      <c r="H19" s="27">
        <v>0</v>
      </c>
      <c r="I19" s="27">
        <v>0</v>
      </c>
      <c r="J19" s="27">
        <v>0</v>
      </c>
      <c r="K19" s="27">
        <v>0</v>
      </c>
      <c r="L19" s="27">
        <v>0</v>
      </c>
      <c r="M19" s="27"/>
      <c r="N19" s="173"/>
    </row>
    <row r="20" spans="1:22">
      <c r="A20" s="73" t="s">
        <v>83</v>
      </c>
      <c r="B20" s="27">
        <v>0</v>
      </c>
      <c r="C20" s="27">
        <v>0</v>
      </c>
      <c r="D20" s="27">
        <v>0</v>
      </c>
      <c r="E20" s="27">
        <v>0</v>
      </c>
      <c r="F20" s="27">
        <v>0</v>
      </c>
      <c r="G20" s="27">
        <v>0</v>
      </c>
      <c r="H20" s="27">
        <v>0</v>
      </c>
      <c r="I20" s="27">
        <v>0</v>
      </c>
      <c r="J20" s="27">
        <v>0</v>
      </c>
      <c r="K20" s="27">
        <v>0</v>
      </c>
      <c r="L20" s="27">
        <v>0</v>
      </c>
      <c r="M20" s="27"/>
      <c r="N20" s="173"/>
    </row>
    <row r="21" spans="1:22" ht="16.5" thickBot="1">
      <c r="A21" s="153" t="s">
        <v>157</v>
      </c>
      <c r="B21" s="69">
        <v>0</v>
      </c>
      <c r="C21" s="69">
        <v>0</v>
      </c>
      <c r="D21" s="69">
        <v>0</v>
      </c>
      <c r="E21" s="69">
        <v>0</v>
      </c>
      <c r="F21" s="69">
        <v>0</v>
      </c>
      <c r="G21" s="69">
        <v>0</v>
      </c>
      <c r="H21" s="69">
        <v>0</v>
      </c>
      <c r="I21" s="69">
        <v>0</v>
      </c>
      <c r="J21" s="69">
        <v>0</v>
      </c>
      <c r="K21" s="69">
        <v>0</v>
      </c>
      <c r="L21" s="69">
        <v>0</v>
      </c>
      <c r="M21" s="27"/>
      <c r="N21" s="173"/>
    </row>
    <row r="22" spans="1:22">
      <c r="A22" s="95" t="s">
        <v>119</v>
      </c>
      <c r="B22" s="1">
        <f t="shared" ref="B22:L22" si="1">SUM(B17:B21)</f>
        <v>359189</v>
      </c>
      <c r="C22" s="1">
        <f t="shared" si="1"/>
        <v>492843</v>
      </c>
      <c r="D22" s="1">
        <f t="shared" si="1"/>
        <v>438062</v>
      </c>
      <c r="E22" s="1">
        <f t="shared" si="1"/>
        <v>441233</v>
      </c>
      <c r="F22" s="1">
        <f t="shared" si="1"/>
        <v>454431</v>
      </c>
      <c r="G22" s="1">
        <f t="shared" si="1"/>
        <v>599214</v>
      </c>
      <c r="H22" s="1">
        <f t="shared" si="1"/>
        <v>585051</v>
      </c>
      <c r="I22" s="1">
        <f t="shared" si="1"/>
        <v>586611</v>
      </c>
      <c r="J22" s="1">
        <f t="shared" si="1"/>
        <v>745450</v>
      </c>
      <c r="K22" s="1">
        <f t="shared" si="1"/>
        <v>949562</v>
      </c>
      <c r="L22" s="1">
        <f t="shared" si="1"/>
        <v>719859</v>
      </c>
      <c r="M22" s="1"/>
      <c r="N22" s="173"/>
    </row>
    <row r="23" spans="1:22" ht="18.75">
      <c r="A23" s="223"/>
      <c r="B23" s="173"/>
      <c r="C23" s="173"/>
      <c r="D23" s="173"/>
      <c r="E23" s="173"/>
      <c r="F23" s="173"/>
      <c r="G23" s="173"/>
      <c r="H23" s="173"/>
      <c r="I23" s="173"/>
      <c r="J23" s="173"/>
      <c r="K23" s="173"/>
      <c r="L23" s="173"/>
      <c r="M23" s="173"/>
      <c r="N23" s="173"/>
    </row>
    <row r="24" spans="1:22">
      <c r="M24" s="1"/>
      <c r="N24" s="173"/>
    </row>
    <row r="25" spans="1:22">
      <c r="B25" s="17">
        <v>2009</v>
      </c>
      <c r="C25" s="17">
        <v>2010</v>
      </c>
      <c r="D25" s="17">
        <v>2011</v>
      </c>
      <c r="E25" s="17">
        <v>2012</v>
      </c>
      <c r="F25" s="17">
        <v>2013</v>
      </c>
      <c r="G25" s="17">
        <v>2014</v>
      </c>
      <c r="H25" s="17">
        <v>2015</v>
      </c>
      <c r="I25" s="17">
        <v>2016</v>
      </c>
      <c r="J25" s="17">
        <v>2017</v>
      </c>
      <c r="K25" s="17">
        <v>2018</v>
      </c>
      <c r="L25" s="17">
        <v>2019</v>
      </c>
      <c r="N25" s="173"/>
    </row>
    <row r="26" spans="1:22">
      <c r="A26" s="2" t="s">
        <v>203</v>
      </c>
      <c r="B26" s="8">
        <f>+B22/B27</f>
        <v>5.6867895253475194</v>
      </c>
      <c r="C26" s="8">
        <f t="shared" ref="C26:L26" si="2">+C22/C27</f>
        <v>7.2752944997195241</v>
      </c>
      <c r="D26" s="8">
        <f t="shared" si="2"/>
        <v>6.370791582437719</v>
      </c>
      <c r="E26" s="8">
        <f t="shared" si="2"/>
        <v>6.3632338731774851</v>
      </c>
      <c r="F26" s="8">
        <f t="shared" si="2"/>
        <v>6.457737672303538</v>
      </c>
      <c r="G26" s="8">
        <f t="shared" si="2"/>
        <v>8.4364255846368277</v>
      </c>
      <c r="H26" s="8">
        <f t="shared" si="2"/>
        <v>7.9685508035957504</v>
      </c>
      <c r="I26" s="8">
        <f t="shared" si="2"/>
        <v>7.8861464004839688</v>
      </c>
      <c r="J26" s="8">
        <f t="shared" si="2"/>
        <v>9.8292457805907176</v>
      </c>
      <c r="K26" s="8">
        <f t="shared" si="2"/>
        <v>12.290155574538582</v>
      </c>
      <c r="L26" s="8">
        <f t="shared" si="2"/>
        <v>9.1144466953659151</v>
      </c>
      <c r="N26" s="173"/>
    </row>
    <row r="27" spans="1:22">
      <c r="A27" s="45" t="s">
        <v>21</v>
      </c>
      <c r="B27" s="16">
        <v>63162</v>
      </c>
      <c r="C27" s="16">
        <v>67742</v>
      </c>
      <c r="D27" s="16">
        <v>68761</v>
      </c>
      <c r="E27" s="16">
        <v>69341</v>
      </c>
      <c r="F27" s="16">
        <v>70370</v>
      </c>
      <c r="G27" s="16">
        <v>71027</v>
      </c>
      <c r="H27" s="16">
        <v>73420</v>
      </c>
      <c r="I27" s="16">
        <v>74385</v>
      </c>
      <c r="J27" s="16">
        <v>75840</v>
      </c>
      <c r="K27" s="16">
        <v>77262</v>
      </c>
      <c r="L27" s="16">
        <v>78980</v>
      </c>
      <c r="M27" s="1"/>
      <c r="N27" s="173"/>
    </row>
    <row r="28" spans="1:22">
      <c r="B28" s="17"/>
      <c r="C28" s="17"/>
      <c r="D28" s="17"/>
      <c r="E28" s="17"/>
      <c r="F28" s="17"/>
      <c r="G28" s="17"/>
      <c r="H28" s="17"/>
      <c r="I28" s="17"/>
      <c r="J28" s="17"/>
      <c r="K28" s="17"/>
      <c r="L28" s="17"/>
      <c r="M28" s="1"/>
      <c r="N28" s="173"/>
    </row>
    <row r="29" spans="1:22">
      <c r="A29" s="253" t="s">
        <v>159</v>
      </c>
      <c r="B29" s="1">
        <f>+B22/B30</f>
        <v>71837.8</v>
      </c>
      <c r="C29" s="1">
        <f t="shared" ref="C29:L29" si="3">+C22/C30</f>
        <v>123210.75</v>
      </c>
      <c r="D29" s="1">
        <f t="shared" si="3"/>
        <v>116816.53333333334</v>
      </c>
      <c r="E29" s="1">
        <f t="shared" si="3"/>
        <v>117662.13333333333</v>
      </c>
      <c r="F29" s="1">
        <f t="shared" si="3"/>
        <v>110031.71912832931</v>
      </c>
      <c r="G29" s="1">
        <f t="shared" si="3"/>
        <v>145088.13559322033</v>
      </c>
      <c r="H29" s="1">
        <f t="shared" si="3"/>
        <v>141658.83777239709</v>
      </c>
      <c r="I29" s="1">
        <f t="shared" si="3"/>
        <v>142036.56174334142</v>
      </c>
      <c r="J29" s="1">
        <f t="shared" si="3"/>
        <v>138688.37209302327</v>
      </c>
      <c r="K29" s="1">
        <f t="shared" si="3"/>
        <v>189912.4</v>
      </c>
      <c r="L29" s="1">
        <f t="shared" si="3"/>
        <v>143971.79999999999</v>
      </c>
      <c r="M29" s="1"/>
    </row>
    <row r="30" spans="1:22">
      <c r="A30" s="45" t="s">
        <v>64</v>
      </c>
      <c r="B30" s="451">
        <f>+B37</f>
        <v>5</v>
      </c>
      <c r="C30" s="451">
        <f t="shared" ref="C30:L30" si="4">+C37</f>
        <v>4</v>
      </c>
      <c r="D30" s="451">
        <f t="shared" si="4"/>
        <v>3.75</v>
      </c>
      <c r="E30" s="451">
        <f t="shared" si="4"/>
        <v>3.75</v>
      </c>
      <c r="F30" s="451">
        <f t="shared" si="4"/>
        <v>4.13</v>
      </c>
      <c r="G30" s="451">
        <f t="shared" si="4"/>
        <v>4.13</v>
      </c>
      <c r="H30" s="451">
        <f t="shared" si="4"/>
        <v>4.13</v>
      </c>
      <c r="I30" s="451">
        <f t="shared" si="4"/>
        <v>4.13</v>
      </c>
      <c r="J30" s="451">
        <f t="shared" si="4"/>
        <v>5.375</v>
      </c>
      <c r="K30" s="451">
        <f t="shared" si="4"/>
        <v>5</v>
      </c>
      <c r="L30" s="451">
        <f t="shared" si="4"/>
        <v>5</v>
      </c>
      <c r="V30" s="19"/>
    </row>
    <row r="31" spans="1:22">
      <c r="A31" s="190"/>
      <c r="B31" s="190"/>
      <c r="C31" s="190"/>
      <c r="D31" s="190"/>
      <c r="E31" s="190"/>
      <c r="F31" s="190"/>
      <c r="G31" s="190"/>
      <c r="H31" s="190"/>
      <c r="I31" s="190"/>
      <c r="J31" s="190"/>
      <c r="K31" s="190"/>
      <c r="L31" s="190"/>
      <c r="M31" s="190"/>
      <c r="N31" s="173"/>
    </row>
    <row r="32" spans="1:22">
      <c r="A32" s="190"/>
      <c r="B32" s="190"/>
      <c r="C32" s="190"/>
      <c r="D32" s="190"/>
      <c r="E32" s="190"/>
      <c r="F32" s="190"/>
      <c r="G32" s="190"/>
      <c r="H32" s="190"/>
      <c r="I32" s="190"/>
      <c r="J32" s="190"/>
      <c r="K32" s="190"/>
      <c r="L32" s="190"/>
      <c r="M32" s="190"/>
      <c r="N32" s="173"/>
    </row>
    <row r="33" spans="1:14">
      <c r="A33" s="366"/>
      <c r="B33" s="375"/>
      <c r="C33" s="375"/>
      <c r="D33" s="375"/>
      <c r="E33" s="375"/>
      <c r="F33" s="375"/>
      <c r="G33" s="375"/>
      <c r="H33" s="375"/>
      <c r="I33" s="375"/>
      <c r="J33" s="375"/>
      <c r="K33" s="375"/>
      <c r="L33" s="375"/>
      <c r="N33" s="173"/>
    </row>
    <row r="34" spans="1:14">
      <c r="A34" s="9" t="s">
        <v>63</v>
      </c>
      <c r="B34" s="15"/>
      <c r="C34" s="15"/>
      <c r="D34" s="15"/>
      <c r="E34" s="15"/>
      <c r="F34" s="15"/>
      <c r="G34" s="15"/>
      <c r="H34" s="15"/>
      <c r="I34" s="15"/>
      <c r="J34" s="15"/>
      <c r="K34" s="15"/>
      <c r="L34" s="15"/>
      <c r="M34" s="1"/>
      <c r="N34" s="173"/>
    </row>
    <row r="35" spans="1:14">
      <c r="A35" s="40" t="s">
        <v>47</v>
      </c>
      <c r="B35" s="22">
        <v>5</v>
      </c>
      <c r="C35" s="22">
        <v>4</v>
      </c>
      <c r="D35" s="22">
        <v>3.75</v>
      </c>
      <c r="E35" s="22">
        <v>3.75</v>
      </c>
      <c r="F35" s="22">
        <v>4.13</v>
      </c>
      <c r="G35" s="22">
        <v>4.13</v>
      </c>
      <c r="H35" s="22">
        <v>4.13</v>
      </c>
      <c r="I35" s="22">
        <v>4.13</v>
      </c>
      <c r="J35" s="22">
        <v>5.375</v>
      </c>
      <c r="K35" s="22">
        <v>5</v>
      </c>
      <c r="L35" s="22">
        <v>5</v>
      </c>
      <c r="M35" s="1"/>
      <c r="N35" s="173"/>
    </row>
    <row r="36" spans="1:14" ht="16.5" thickBot="1">
      <c r="A36" s="353"/>
      <c r="B36" s="35">
        <v>0</v>
      </c>
      <c r="C36" s="35">
        <v>0</v>
      </c>
      <c r="D36" s="35">
        <v>0</v>
      </c>
      <c r="E36" s="35">
        <v>0</v>
      </c>
      <c r="F36" s="35">
        <v>0</v>
      </c>
      <c r="G36" s="35">
        <v>0</v>
      </c>
      <c r="H36" s="35">
        <v>0</v>
      </c>
      <c r="I36" s="35">
        <v>0</v>
      </c>
      <c r="J36" s="35">
        <v>0</v>
      </c>
      <c r="K36" s="35">
        <v>0</v>
      </c>
      <c r="L36" s="35">
        <v>0</v>
      </c>
      <c r="M36" s="1"/>
      <c r="N36" s="173"/>
    </row>
    <row r="37" spans="1:14">
      <c r="A37" s="46" t="s">
        <v>64</v>
      </c>
      <c r="B37" s="34">
        <f t="shared" ref="B37:L37" si="5">SUM(B35:B36)</f>
        <v>5</v>
      </c>
      <c r="C37" s="34">
        <f t="shared" si="5"/>
        <v>4</v>
      </c>
      <c r="D37" s="34">
        <f t="shared" si="5"/>
        <v>3.75</v>
      </c>
      <c r="E37" s="34">
        <f t="shared" si="5"/>
        <v>3.75</v>
      </c>
      <c r="F37" s="34">
        <f t="shared" si="5"/>
        <v>4.13</v>
      </c>
      <c r="G37" s="34">
        <f t="shared" si="5"/>
        <v>4.13</v>
      </c>
      <c r="H37" s="34">
        <f t="shared" si="5"/>
        <v>4.13</v>
      </c>
      <c r="I37" s="34">
        <f t="shared" si="5"/>
        <v>4.13</v>
      </c>
      <c r="J37" s="34">
        <f t="shared" si="5"/>
        <v>5.375</v>
      </c>
      <c r="K37" s="34">
        <f t="shared" si="5"/>
        <v>5</v>
      </c>
      <c r="L37" s="34">
        <f t="shared" si="5"/>
        <v>5</v>
      </c>
      <c r="M37" s="3"/>
      <c r="N37" s="174"/>
    </row>
    <row r="38" spans="1:14">
      <c r="A38" s="45" t="s">
        <v>72</v>
      </c>
      <c r="B38" s="15"/>
      <c r="C38" s="36">
        <f>C37/B37</f>
        <v>0.8</v>
      </c>
      <c r="D38" s="36">
        <f t="shared" ref="D38:L38" si="6">D37/C37</f>
        <v>0.9375</v>
      </c>
      <c r="E38" s="36">
        <f t="shared" si="6"/>
        <v>1</v>
      </c>
      <c r="F38" s="36">
        <f t="shared" si="6"/>
        <v>1.1013333333333333</v>
      </c>
      <c r="G38" s="36">
        <f t="shared" si="6"/>
        <v>1</v>
      </c>
      <c r="H38" s="36">
        <f t="shared" si="6"/>
        <v>1</v>
      </c>
      <c r="I38" s="36">
        <f t="shared" si="6"/>
        <v>1</v>
      </c>
      <c r="J38" s="36">
        <f>J37/I37</f>
        <v>1.3014527845036319</v>
      </c>
      <c r="K38" s="36">
        <f>K37/J37</f>
        <v>0.93023255813953487</v>
      </c>
      <c r="L38" s="36">
        <f t="shared" si="6"/>
        <v>1</v>
      </c>
      <c r="M38" s="3"/>
      <c r="N38" s="174"/>
    </row>
    <row r="39" spans="1:14">
      <c r="A39" s="363"/>
      <c r="B39" s="117"/>
      <c r="C39" s="339"/>
      <c r="D39" s="339"/>
      <c r="E39" s="339"/>
      <c r="F39" s="339"/>
      <c r="G39" s="339"/>
      <c r="H39" s="339"/>
      <c r="I39" s="339"/>
      <c r="J39" s="339"/>
      <c r="K39" s="339"/>
      <c r="L39" s="339"/>
      <c r="M39" s="3"/>
      <c r="N39" s="174"/>
    </row>
    <row r="40" spans="1:14">
      <c r="A40" s="368"/>
      <c r="B40" s="117"/>
      <c r="C40" s="117"/>
      <c r="D40" s="117"/>
      <c r="E40" s="117"/>
      <c r="F40" s="117"/>
      <c r="G40" s="117"/>
      <c r="H40" s="117"/>
      <c r="I40" s="117"/>
      <c r="J40" s="117"/>
      <c r="K40" s="117"/>
      <c r="L40" s="339"/>
      <c r="M40" s="3"/>
      <c r="N40" s="174"/>
    </row>
    <row r="41" spans="1:14">
      <c r="A41" s="163"/>
      <c r="B41" s="117"/>
      <c r="C41" s="117"/>
      <c r="D41" s="117"/>
      <c r="E41" s="117"/>
      <c r="F41" s="117"/>
      <c r="G41" s="117"/>
      <c r="H41" s="117"/>
      <c r="I41" s="117"/>
      <c r="J41" s="117"/>
      <c r="K41" s="117"/>
      <c r="L41" s="117"/>
      <c r="M41" s="3"/>
      <c r="N41" s="174"/>
    </row>
    <row r="42" spans="1:14">
      <c r="A42" s="366"/>
      <c r="B42" s="145"/>
      <c r="C42" s="145"/>
      <c r="D42" s="145"/>
      <c r="E42" s="145"/>
      <c r="F42" s="145"/>
      <c r="G42" s="145"/>
      <c r="H42" s="145"/>
      <c r="I42" s="145"/>
      <c r="J42" s="145"/>
      <c r="K42" s="145"/>
      <c r="L42" s="145"/>
      <c r="M42" s="3"/>
      <c r="N42" s="174"/>
    </row>
    <row r="43" spans="1:14">
      <c r="A43" s="165"/>
      <c r="B43" s="145"/>
      <c r="C43" s="145"/>
      <c r="D43" s="145"/>
      <c r="E43" s="145"/>
      <c r="F43" s="145"/>
      <c r="G43" s="145"/>
      <c r="H43" s="145"/>
      <c r="I43" s="145"/>
      <c r="J43" s="145"/>
      <c r="K43" s="145"/>
      <c r="L43" s="145"/>
      <c r="M43" s="3"/>
      <c r="N43" s="174"/>
    </row>
    <row r="44" spans="1:14">
      <c r="A44" s="376"/>
      <c r="B44" s="145"/>
      <c r="C44" s="145"/>
      <c r="D44" s="145"/>
      <c r="E44" s="145"/>
      <c r="F44" s="145"/>
      <c r="G44" s="145"/>
      <c r="H44" s="145"/>
      <c r="I44" s="145"/>
      <c r="J44" s="145"/>
      <c r="K44" s="145"/>
      <c r="L44" s="145"/>
      <c r="M44" s="3"/>
      <c r="N44" s="174"/>
    </row>
    <row r="45" spans="1:14">
      <c r="A45" s="377"/>
      <c r="B45" s="145"/>
      <c r="C45" s="145"/>
      <c r="D45" s="145"/>
      <c r="E45" s="145"/>
      <c r="F45" s="145"/>
      <c r="G45" s="145"/>
      <c r="H45" s="145"/>
      <c r="I45" s="145"/>
      <c r="J45" s="145"/>
      <c r="K45" s="145"/>
      <c r="L45" s="145"/>
      <c r="M45" s="3"/>
      <c r="N45" s="174"/>
    </row>
    <row r="46" spans="1:14">
      <c r="A46" s="165"/>
      <c r="B46" s="145"/>
      <c r="C46" s="145"/>
      <c r="D46" s="145"/>
      <c r="E46" s="145"/>
      <c r="F46" s="145"/>
      <c r="G46" s="145"/>
      <c r="H46" s="145"/>
      <c r="I46" s="145"/>
      <c r="J46" s="145"/>
      <c r="K46" s="145"/>
      <c r="L46" s="145"/>
      <c r="M46" s="3"/>
      <c r="N46" s="174"/>
    </row>
    <row r="47" spans="1:14">
      <c r="A47" s="165"/>
      <c r="B47" s="163"/>
      <c r="C47" s="163"/>
      <c r="D47" s="163"/>
      <c r="E47" s="163"/>
      <c r="F47" s="163"/>
      <c r="G47" s="163"/>
      <c r="H47" s="163"/>
      <c r="I47" s="163"/>
      <c r="J47" s="163"/>
      <c r="K47" s="163"/>
      <c r="L47" s="163"/>
      <c r="M47" s="3"/>
      <c r="N47" s="174"/>
    </row>
    <row r="48" spans="1:14">
      <c r="A48" s="371"/>
      <c r="B48" s="372"/>
      <c r="C48" s="372"/>
      <c r="D48" s="372"/>
      <c r="E48" s="372"/>
      <c r="F48" s="372"/>
      <c r="G48" s="372"/>
      <c r="H48" s="372"/>
      <c r="I48" s="372"/>
      <c r="J48" s="372"/>
      <c r="K48" s="372"/>
      <c r="L48" s="372"/>
      <c r="M48" s="3"/>
      <c r="N48" s="174"/>
    </row>
    <row r="49" spans="1:14">
      <c r="A49" s="165"/>
      <c r="B49" s="145"/>
      <c r="C49" s="145"/>
      <c r="D49" s="145"/>
      <c r="E49" s="145"/>
      <c r="F49" s="145"/>
      <c r="G49" s="145"/>
      <c r="H49" s="145"/>
      <c r="I49" s="145"/>
      <c r="J49" s="145"/>
      <c r="K49" s="145"/>
      <c r="L49" s="145"/>
      <c r="M49" s="1"/>
      <c r="N49" s="173"/>
    </row>
    <row r="50" spans="1:14">
      <c r="A50" s="356"/>
      <c r="B50" s="117"/>
      <c r="C50" s="117"/>
      <c r="D50" s="117"/>
      <c r="E50" s="117"/>
      <c r="F50" s="117"/>
      <c r="G50" s="117"/>
      <c r="H50" s="117"/>
      <c r="I50" s="117"/>
      <c r="J50" s="117"/>
      <c r="K50" s="117"/>
      <c r="L50" s="117"/>
      <c r="M50" s="1"/>
      <c r="N50" s="173"/>
    </row>
    <row r="51" spans="1:14">
      <c r="A51" s="356"/>
      <c r="B51" s="375"/>
      <c r="C51" s="375"/>
      <c r="D51" s="375"/>
      <c r="E51" s="375"/>
      <c r="F51" s="375"/>
      <c r="G51" s="375"/>
      <c r="H51" s="375"/>
      <c r="I51" s="375"/>
      <c r="J51" s="375"/>
      <c r="K51" s="375"/>
      <c r="L51" s="375"/>
    </row>
    <row r="52" spans="1:14">
      <c r="A52" s="356"/>
      <c r="B52" s="117"/>
      <c r="C52" s="117"/>
      <c r="D52" s="117"/>
      <c r="E52" s="117"/>
      <c r="F52" s="117"/>
      <c r="G52" s="117"/>
      <c r="H52" s="117"/>
      <c r="I52" s="117"/>
      <c r="J52" s="117"/>
      <c r="K52" s="117"/>
      <c r="L52" s="117"/>
      <c r="M52" s="1"/>
      <c r="N52" s="173"/>
    </row>
    <row r="53" spans="1:14">
      <c r="A53" s="356"/>
      <c r="B53" s="117"/>
      <c r="C53" s="117"/>
      <c r="D53" s="117"/>
      <c r="E53" s="117"/>
      <c r="F53" s="117"/>
      <c r="G53" s="117"/>
      <c r="H53" s="117"/>
      <c r="I53" s="117"/>
      <c r="J53" s="117"/>
      <c r="K53" s="117"/>
      <c r="L53" s="117"/>
      <c r="M53" s="1"/>
      <c r="N53" s="173"/>
    </row>
    <row r="54" spans="1:14">
      <c r="A54" s="163"/>
      <c r="B54" s="117"/>
      <c r="C54" s="117"/>
      <c r="D54" s="117"/>
      <c r="E54" s="117"/>
      <c r="F54" s="117"/>
      <c r="G54" s="117"/>
      <c r="H54" s="117"/>
      <c r="I54" s="117"/>
      <c r="J54" s="117"/>
      <c r="K54" s="117"/>
      <c r="L54" s="117"/>
      <c r="M54" s="1"/>
      <c r="N54" s="173"/>
    </row>
    <row r="55" spans="1:14">
      <c r="A55" s="357"/>
      <c r="B55" s="193"/>
      <c r="C55" s="193"/>
      <c r="D55" s="193"/>
      <c r="E55" s="193"/>
      <c r="F55" s="193"/>
      <c r="G55" s="193"/>
      <c r="H55" s="193"/>
      <c r="I55" s="193"/>
      <c r="J55" s="193"/>
      <c r="K55" s="193"/>
      <c r="L55" s="193"/>
      <c r="M55" s="1"/>
      <c r="N55" s="173"/>
    </row>
    <row r="56" spans="1:14" s="17" customFormat="1">
      <c r="A56" s="357"/>
      <c r="B56" s="163"/>
      <c r="C56" s="163"/>
      <c r="D56" s="163"/>
      <c r="E56" s="163"/>
      <c r="F56" s="163"/>
      <c r="G56" s="163"/>
      <c r="H56" s="163"/>
      <c r="I56" s="163"/>
      <c r="J56" s="163"/>
      <c r="K56" s="163"/>
      <c r="L56" s="163"/>
      <c r="M56" s="33"/>
      <c r="N56" s="197"/>
    </row>
    <row r="57" spans="1:14">
      <c r="A57" s="357"/>
      <c r="B57" s="117"/>
      <c r="C57" s="117"/>
      <c r="D57" s="117"/>
      <c r="E57" s="117"/>
      <c r="F57" s="117"/>
      <c r="G57" s="117"/>
      <c r="H57" s="117"/>
      <c r="I57" s="117"/>
      <c r="J57" s="117"/>
      <c r="K57" s="117"/>
      <c r="L57" s="117"/>
      <c r="M57" s="1"/>
      <c r="N57" s="173"/>
    </row>
    <row r="58" spans="1:14">
      <c r="A58" s="357"/>
      <c r="B58" s="358"/>
      <c r="C58" s="358"/>
      <c r="D58" s="358"/>
      <c r="E58" s="358"/>
      <c r="F58" s="358"/>
      <c r="G58" s="358"/>
      <c r="H58" s="358"/>
      <c r="I58" s="358"/>
      <c r="J58" s="358"/>
      <c r="K58" s="358"/>
      <c r="L58" s="358"/>
      <c r="M58" s="1"/>
      <c r="N58" s="173"/>
    </row>
    <row r="59" spans="1:14">
      <c r="A59" s="359"/>
      <c r="B59" s="360"/>
      <c r="C59" s="360"/>
      <c r="D59" s="360"/>
      <c r="E59" s="360"/>
      <c r="F59" s="360"/>
      <c r="G59" s="360"/>
      <c r="H59" s="360"/>
      <c r="I59" s="360"/>
      <c r="J59" s="360"/>
      <c r="K59" s="360"/>
      <c r="L59" s="360"/>
      <c r="M59" s="1"/>
      <c r="N59" s="173"/>
    </row>
    <row r="60" spans="1:14">
      <c r="A60" s="242"/>
      <c r="B60" s="360"/>
      <c r="C60" s="360"/>
      <c r="D60" s="360"/>
      <c r="E60" s="360"/>
      <c r="F60" s="360"/>
      <c r="G60" s="360"/>
      <c r="H60" s="360"/>
      <c r="I60" s="360"/>
      <c r="J60" s="360"/>
      <c r="K60" s="360"/>
      <c r="L60" s="360"/>
      <c r="M60" s="1"/>
      <c r="N60" s="173"/>
    </row>
    <row r="61" spans="1:14">
      <c r="A61" s="361"/>
      <c r="B61" s="362"/>
      <c r="C61" s="362"/>
      <c r="D61" s="362"/>
      <c r="E61" s="362"/>
      <c r="F61" s="362"/>
      <c r="G61" s="362"/>
      <c r="H61" s="362"/>
      <c r="I61" s="362"/>
      <c r="J61" s="362"/>
      <c r="K61" s="362"/>
      <c r="L61" s="362"/>
      <c r="M61" s="1"/>
      <c r="N61" s="173"/>
    </row>
    <row r="62" spans="1:14">
      <c r="A62" s="363"/>
      <c r="B62" s="358"/>
      <c r="C62" s="237"/>
      <c r="D62" s="237"/>
      <c r="E62" s="237"/>
      <c r="F62" s="237"/>
      <c r="G62" s="237"/>
      <c r="H62" s="237"/>
      <c r="I62" s="237"/>
      <c r="J62" s="237"/>
      <c r="K62" s="237"/>
      <c r="L62" s="237"/>
      <c r="M62" s="1"/>
      <c r="N62" s="173"/>
    </row>
    <row r="63" spans="1:14">
      <c r="A63" s="242"/>
      <c r="B63" s="358"/>
      <c r="C63" s="237"/>
      <c r="D63" s="237"/>
      <c r="E63" s="237"/>
      <c r="F63" s="237"/>
      <c r="G63" s="237"/>
      <c r="H63" s="237"/>
      <c r="I63" s="237"/>
      <c r="J63" s="237"/>
      <c r="K63" s="237"/>
      <c r="L63" s="237"/>
      <c r="M63" s="1"/>
      <c r="N63" s="173"/>
    </row>
    <row r="64" spans="1:14">
      <c r="A64" s="163"/>
      <c r="B64" s="117"/>
      <c r="C64" s="117"/>
      <c r="D64" s="117"/>
      <c r="E64" s="117"/>
      <c r="F64" s="117"/>
      <c r="G64" s="117"/>
      <c r="H64" s="117"/>
      <c r="I64" s="117"/>
      <c r="J64" s="117"/>
      <c r="K64" s="117"/>
      <c r="L64" s="117"/>
      <c r="M64" s="1"/>
      <c r="N64" s="27"/>
    </row>
    <row r="65" spans="1:14" ht="18.75">
      <c r="A65" s="364"/>
      <c r="B65" s="375"/>
      <c r="C65" s="375"/>
      <c r="D65" s="375"/>
      <c r="E65" s="375"/>
      <c r="F65" s="375"/>
      <c r="G65" s="375"/>
      <c r="H65" s="375"/>
      <c r="I65" s="375"/>
      <c r="J65" s="375"/>
      <c r="K65" s="375"/>
      <c r="L65" s="375"/>
      <c r="M65" s="1"/>
      <c r="N65" s="27"/>
    </row>
    <row r="66" spans="1:14">
      <c r="A66" s="165"/>
      <c r="B66" s="365"/>
      <c r="C66" s="365"/>
      <c r="D66" s="365"/>
      <c r="E66" s="365"/>
      <c r="F66" s="365"/>
      <c r="G66" s="365"/>
      <c r="H66" s="365"/>
      <c r="I66" s="365"/>
      <c r="J66" s="365"/>
      <c r="K66" s="365"/>
      <c r="L66" s="365"/>
      <c r="M66" s="1"/>
      <c r="N66" s="27"/>
    </row>
    <row r="67" spans="1:14">
      <c r="A67" s="163"/>
      <c r="B67" s="117"/>
      <c r="C67" s="117"/>
      <c r="D67" s="117"/>
      <c r="E67" s="117"/>
      <c r="F67" s="117"/>
      <c r="G67" s="117"/>
      <c r="H67" s="117"/>
      <c r="I67" s="117"/>
      <c r="J67" s="117"/>
      <c r="K67" s="117"/>
      <c r="L67" s="117"/>
      <c r="M67" s="1"/>
      <c r="N67" s="27"/>
    </row>
    <row r="68" spans="1:14">
      <c r="A68" s="163"/>
      <c r="B68" s="117"/>
      <c r="C68" s="117"/>
      <c r="D68" s="117"/>
      <c r="E68" s="117"/>
      <c r="F68" s="117"/>
      <c r="G68" s="117"/>
      <c r="H68" s="117"/>
      <c r="I68" s="117"/>
      <c r="J68" s="117"/>
      <c r="K68" s="117"/>
      <c r="L68" s="117"/>
      <c r="M68" s="1"/>
      <c r="N68" s="27"/>
    </row>
    <row r="69" spans="1:14">
      <c r="A69" s="359"/>
      <c r="B69" s="117"/>
      <c r="C69" s="117"/>
      <c r="D69" s="117"/>
      <c r="E69" s="117"/>
      <c r="F69" s="117"/>
      <c r="G69" s="117"/>
      <c r="H69" s="117"/>
      <c r="I69" s="117"/>
      <c r="J69" s="117"/>
      <c r="K69" s="117"/>
      <c r="L69" s="117"/>
      <c r="M69" s="1"/>
      <c r="N69" s="27"/>
    </row>
    <row r="70" spans="1:14">
      <c r="A70" s="359"/>
      <c r="B70" s="117"/>
      <c r="C70" s="117"/>
      <c r="D70" s="117"/>
      <c r="E70" s="117"/>
      <c r="F70" s="117"/>
      <c r="G70" s="117"/>
      <c r="H70" s="117"/>
      <c r="I70" s="117"/>
      <c r="J70" s="117"/>
      <c r="K70" s="117"/>
      <c r="L70" s="117"/>
      <c r="M70" s="1"/>
      <c r="N70" s="27"/>
    </row>
    <row r="71" spans="1:14">
      <c r="A71" s="357"/>
      <c r="B71" s="117"/>
      <c r="C71" s="117"/>
      <c r="D71" s="117"/>
      <c r="E71" s="117"/>
      <c r="F71" s="117"/>
      <c r="G71" s="117"/>
      <c r="H71" s="117"/>
      <c r="I71" s="117"/>
      <c r="J71" s="117"/>
      <c r="K71" s="117"/>
      <c r="L71" s="117"/>
      <c r="M71" s="1"/>
      <c r="N71" s="27"/>
    </row>
    <row r="72" spans="1:14">
      <c r="A72" s="163"/>
      <c r="B72" s="117"/>
      <c r="C72" s="117"/>
      <c r="D72" s="117"/>
      <c r="E72" s="117"/>
      <c r="F72" s="117"/>
      <c r="G72" s="117"/>
      <c r="H72" s="117"/>
      <c r="I72" s="117"/>
      <c r="J72" s="117"/>
      <c r="K72" s="117"/>
      <c r="L72" s="117"/>
      <c r="M72" s="1"/>
      <c r="N72" s="27"/>
    </row>
    <row r="73" spans="1:14">
      <c r="A73" s="163"/>
      <c r="B73" s="375"/>
      <c r="C73" s="375"/>
      <c r="D73" s="375"/>
      <c r="E73" s="375"/>
      <c r="F73" s="375"/>
      <c r="G73" s="375"/>
      <c r="H73" s="375"/>
      <c r="I73" s="375"/>
      <c r="J73" s="375"/>
      <c r="K73" s="375"/>
      <c r="L73" s="375"/>
      <c r="M73" s="1"/>
      <c r="N73" s="27"/>
    </row>
    <row r="74" spans="1:14">
      <c r="A74" s="163"/>
      <c r="B74" s="159"/>
      <c r="C74" s="159"/>
      <c r="D74" s="159"/>
      <c r="E74" s="159"/>
      <c r="F74" s="159"/>
      <c r="G74" s="159"/>
      <c r="H74" s="159"/>
      <c r="I74" s="159"/>
      <c r="J74" s="159"/>
      <c r="K74" s="159"/>
      <c r="L74" s="159"/>
      <c r="M74" s="1"/>
      <c r="N74" s="27"/>
    </row>
    <row r="75" spans="1:14">
      <c r="A75" s="163"/>
      <c r="B75" s="117"/>
      <c r="C75" s="117"/>
      <c r="D75" s="117"/>
      <c r="E75" s="117"/>
      <c r="F75" s="117"/>
      <c r="G75" s="117"/>
      <c r="H75" s="117"/>
      <c r="I75" s="117"/>
      <c r="J75" s="117"/>
      <c r="K75" s="117"/>
      <c r="L75" s="117"/>
      <c r="M75" s="1"/>
      <c r="N75" s="27"/>
    </row>
    <row r="76" spans="1:14">
      <c r="A76" s="163"/>
      <c r="B76" s="117"/>
      <c r="C76" s="117"/>
      <c r="D76" s="117"/>
      <c r="E76" s="117"/>
      <c r="F76" s="117"/>
      <c r="G76" s="117"/>
      <c r="H76" s="117"/>
      <c r="I76" s="117"/>
      <c r="J76" s="117"/>
      <c r="K76" s="117"/>
      <c r="L76" s="117"/>
      <c r="M76" s="1"/>
      <c r="N76" s="27"/>
    </row>
    <row r="77" spans="1:14">
      <c r="A77" s="163"/>
      <c r="B77" s="117"/>
      <c r="C77" s="117"/>
      <c r="D77" s="117"/>
      <c r="E77" s="117"/>
      <c r="F77" s="117"/>
      <c r="G77" s="117"/>
      <c r="H77" s="117"/>
      <c r="I77" s="117"/>
      <c r="J77" s="117"/>
      <c r="K77" s="117"/>
      <c r="L77" s="117"/>
      <c r="M77" s="1"/>
      <c r="N77" s="27"/>
    </row>
    <row r="78" spans="1:14">
      <c r="A78" s="163"/>
      <c r="B78" s="117"/>
      <c r="C78" s="117"/>
      <c r="D78" s="117"/>
      <c r="E78" s="117"/>
      <c r="F78" s="117"/>
      <c r="G78" s="117"/>
      <c r="H78" s="117"/>
      <c r="I78" s="117"/>
      <c r="J78" s="117"/>
      <c r="K78" s="117"/>
      <c r="L78" s="117"/>
      <c r="M78" s="1"/>
      <c r="N78" s="27"/>
    </row>
    <row r="79" spans="1:14">
      <c r="A79" s="163"/>
      <c r="B79" s="117"/>
      <c r="C79" s="117"/>
      <c r="D79" s="117"/>
      <c r="E79" s="117"/>
      <c r="F79" s="117"/>
      <c r="G79" s="117"/>
      <c r="H79" s="117"/>
      <c r="I79" s="117"/>
      <c r="J79" s="117"/>
      <c r="K79" s="117"/>
      <c r="L79" s="117"/>
      <c r="M79" s="1"/>
      <c r="N79" s="27"/>
    </row>
    <row r="80" spans="1:14">
      <c r="A80" s="163"/>
      <c r="B80" s="117"/>
      <c r="C80" s="117"/>
      <c r="D80" s="117"/>
      <c r="E80" s="117"/>
      <c r="F80" s="117"/>
      <c r="G80" s="117"/>
      <c r="H80" s="117"/>
      <c r="I80" s="117"/>
      <c r="J80" s="117"/>
      <c r="K80" s="117"/>
      <c r="L80" s="117"/>
      <c r="M80" s="1"/>
      <c r="N80" s="27"/>
    </row>
    <row r="81" spans="1:26">
      <c r="A81" s="163"/>
      <c r="B81" s="117"/>
      <c r="C81" s="117"/>
      <c r="D81" s="117"/>
      <c r="E81" s="117"/>
      <c r="F81" s="117"/>
      <c r="G81" s="117"/>
      <c r="H81" s="117"/>
      <c r="I81" s="117"/>
      <c r="J81" s="117"/>
      <c r="K81" s="117"/>
      <c r="L81" s="117"/>
      <c r="M81" s="1"/>
      <c r="N81" s="27"/>
      <c r="Z81" s="141"/>
    </row>
    <row r="82" spans="1:26">
      <c r="A82" s="163"/>
      <c r="B82" s="117"/>
      <c r="C82" s="117"/>
      <c r="D82" s="117"/>
      <c r="E82" s="117"/>
      <c r="F82" s="117"/>
      <c r="G82" s="117"/>
      <c r="H82" s="117"/>
      <c r="I82" s="117"/>
      <c r="J82" s="117"/>
      <c r="K82" s="117"/>
      <c r="L82" s="117"/>
      <c r="M82" s="1"/>
      <c r="N82" s="27"/>
    </row>
    <row r="83" spans="1:26">
      <c r="A83" s="163"/>
      <c r="B83" s="117"/>
      <c r="C83" s="117"/>
      <c r="D83" s="117"/>
      <c r="E83" s="117"/>
      <c r="F83" s="117"/>
      <c r="G83" s="117"/>
      <c r="H83" s="117"/>
      <c r="I83" s="117"/>
      <c r="J83" s="117"/>
      <c r="K83" s="117"/>
      <c r="L83" s="117"/>
      <c r="M83" s="1"/>
      <c r="N83" s="27"/>
    </row>
    <row r="84" spans="1:26">
      <c r="A84" s="163"/>
      <c r="B84" s="117"/>
      <c r="C84" s="117"/>
      <c r="D84" s="117"/>
      <c r="E84" s="117"/>
      <c r="F84" s="117"/>
      <c r="G84" s="117"/>
      <c r="H84" s="117"/>
      <c r="I84" s="117"/>
      <c r="J84" s="117"/>
      <c r="K84" s="117"/>
      <c r="L84" s="117"/>
      <c r="M84" s="1"/>
      <c r="N84" s="27"/>
    </row>
    <row r="85" spans="1:26">
      <c r="A85" s="163"/>
      <c r="B85" s="117"/>
      <c r="C85" s="117"/>
      <c r="D85" s="117"/>
      <c r="E85" s="117"/>
      <c r="F85" s="117"/>
      <c r="G85" s="117"/>
      <c r="H85" s="117"/>
      <c r="I85" s="117"/>
      <c r="J85" s="117"/>
      <c r="K85" s="117"/>
      <c r="L85" s="117"/>
      <c r="M85" s="1"/>
      <c r="N85" s="27"/>
    </row>
    <row r="86" spans="1:26">
      <c r="A86" s="163"/>
      <c r="B86" s="117"/>
      <c r="C86" s="117"/>
      <c r="D86" s="117"/>
      <c r="E86" s="117"/>
      <c r="F86" s="117"/>
      <c r="G86" s="117"/>
      <c r="H86" s="117"/>
      <c r="I86" s="117"/>
      <c r="J86" s="117"/>
      <c r="K86" s="117"/>
      <c r="L86" s="117"/>
      <c r="M86" s="1"/>
      <c r="N86" s="27"/>
    </row>
    <row r="87" spans="1:26">
      <c r="A87" s="163"/>
      <c r="B87" s="117"/>
      <c r="C87" s="117"/>
      <c r="D87" s="117"/>
      <c r="E87" s="117"/>
      <c r="F87" s="117"/>
      <c r="G87" s="117"/>
      <c r="H87" s="117"/>
      <c r="I87" s="117"/>
      <c r="J87" s="117"/>
      <c r="K87" s="117"/>
      <c r="L87" s="117"/>
      <c r="M87" s="1"/>
      <c r="N87" s="27"/>
    </row>
    <row r="88" spans="1:26">
      <c r="A88" s="163"/>
      <c r="B88" s="117"/>
      <c r="C88" s="117"/>
      <c r="D88" s="117"/>
      <c r="E88" s="117"/>
      <c r="F88" s="117"/>
      <c r="G88" s="117"/>
      <c r="H88" s="117"/>
      <c r="I88" s="117"/>
      <c r="J88" s="117"/>
      <c r="K88" s="117"/>
      <c r="L88" s="117"/>
      <c r="M88" s="1"/>
      <c r="N88" s="27"/>
    </row>
    <row r="89" spans="1:26">
      <c r="A89" s="163"/>
      <c r="B89" s="117"/>
      <c r="C89" s="117"/>
      <c r="D89" s="117"/>
      <c r="E89" s="117"/>
      <c r="F89" s="117"/>
      <c r="G89" s="117"/>
      <c r="H89" s="117"/>
      <c r="I89" s="117"/>
      <c r="J89" s="117"/>
      <c r="K89" s="117"/>
      <c r="L89" s="117"/>
      <c r="M89" s="1"/>
      <c r="N89" s="27"/>
    </row>
    <row r="90" spans="1:26">
      <c r="A90" s="163"/>
      <c r="B90" s="117"/>
      <c r="C90" s="117"/>
      <c r="D90" s="117"/>
      <c r="E90" s="117"/>
      <c r="F90" s="117"/>
      <c r="G90" s="117"/>
      <c r="H90" s="117"/>
      <c r="I90" s="117"/>
      <c r="J90" s="117"/>
      <c r="K90" s="117"/>
      <c r="L90" s="117"/>
      <c r="M90" s="1"/>
      <c r="N90" s="27"/>
    </row>
    <row r="91" spans="1:26">
      <c r="A91" s="163"/>
      <c r="B91" s="117"/>
      <c r="C91" s="117"/>
      <c r="D91" s="117"/>
      <c r="E91" s="117"/>
      <c r="F91" s="117"/>
      <c r="G91" s="117"/>
      <c r="H91" s="117"/>
      <c r="I91" s="117"/>
      <c r="J91" s="117"/>
      <c r="K91" s="117"/>
      <c r="L91" s="117"/>
      <c r="M91" s="1"/>
      <c r="N91" s="27"/>
    </row>
    <row r="92" spans="1:26">
      <c r="A92" s="163"/>
      <c r="B92" s="117"/>
      <c r="C92" s="117"/>
      <c r="D92" s="117"/>
      <c r="E92" s="117"/>
      <c r="F92" s="117"/>
      <c r="G92" s="117"/>
      <c r="H92" s="117"/>
      <c r="I92" s="117"/>
      <c r="J92" s="117"/>
      <c r="K92" s="117"/>
      <c r="L92" s="117"/>
      <c r="M92" s="1"/>
      <c r="N92" s="27"/>
    </row>
    <row r="93" spans="1:26">
      <c r="A93" s="163"/>
      <c r="B93" s="117"/>
      <c r="C93" s="117"/>
      <c r="D93" s="117"/>
      <c r="E93" s="117"/>
      <c r="F93" s="117"/>
      <c r="G93" s="117"/>
      <c r="H93" s="117"/>
      <c r="I93" s="117"/>
      <c r="J93" s="117"/>
      <c r="K93" s="117"/>
      <c r="L93" s="117"/>
      <c r="M93" s="1"/>
      <c r="N93" s="27"/>
    </row>
    <row r="94" spans="1:26">
      <c r="A94" s="163"/>
      <c r="B94" s="117"/>
      <c r="C94" s="117"/>
      <c r="D94" s="117"/>
      <c r="E94" s="117"/>
      <c r="F94" s="117"/>
      <c r="G94" s="117"/>
      <c r="H94" s="117"/>
      <c r="I94" s="117"/>
      <c r="J94" s="117"/>
      <c r="K94" s="117"/>
      <c r="L94" s="117"/>
      <c r="M94" s="1"/>
      <c r="N94" s="27"/>
    </row>
    <row r="95" spans="1:26">
      <c r="A95" s="163"/>
      <c r="B95" s="117"/>
      <c r="C95" s="117"/>
      <c r="D95" s="117"/>
      <c r="E95" s="117"/>
      <c r="F95" s="117"/>
      <c r="G95" s="117"/>
      <c r="H95" s="117"/>
      <c r="I95" s="117"/>
      <c r="J95" s="117"/>
      <c r="K95" s="117"/>
      <c r="L95" s="117"/>
      <c r="M95" s="1"/>
      <c r="N95" s="27"/>
    </row>
    <row r="96" spans="1:26">
      <c r="A96" s="163"/>
      <c r="B96" s="117"/>
      <c r="C96" s="117"/>
      <c r="D96" s="117"/>
      <c r="E96" s="117"/>
      <c r="F96" s="117"/>
      <c r="G96" s="117"/>
      <c r="H96" s="117"/>
      <c r="I96" s="117"/>
      <c r="J96" s="117"/>
      <c r="K96" s="117"/>
      <c r="L96" s="117"/>
      <c r="M96" s="1"/>
      <c r="N96" s="27"/>
    </row>
    <row r="97" spans="1:14">
      <c r="A97" s="163"/>
      <c r="B97" s="117"/>
      <c r="C97" s="117"/>
      <c r="D97" s="117"/>
      <c r="E97" s="117"/>
      <c r="F97" s="117"/>
      <c r="G97" s="117"/>
      <c r="H97" s="117"/>
      <c r="I97" s="117"/>
      <c r="J97" s="117"/>
      <c r="K97" s="117"/>
      <c r="L97" s="117"/>
      <c r="M97" s="1"/>
      <c r="N97" s="27"/>
    </row>
    <row r="98" spans="1:14">
      <c r="A98" s="163"/>
      <c r="B98" s="117"/>
      <c r="C98" s="117"/>
      <c r="D98" s="117"/>
      <c r="E98" s="117"/>
      <c r="F98" s="117"/>
      <c r="G98" s="117"/>
      <c r="H98" s="117"/>
      <c r="I98" s="117"/>
      <c r="J98" s="117"/>
      <c r="K98" s="117"/>
      <c r="L98" s="117"/>
      <c r="M98" s="1"/>
      <c r="N98" s="27"/>
    </row>
    <row r="99" spans="1:14">
      <c r="A99" s="163"/>
      <c r="B99" s="117"/>
      <c r="C99" s="117"/>
      <c r="D99" s="117"/>
      <c r="E99" s="117"/>
      <c r="F99" s="117"/>
      <c r="G99" s="117"/>
      <c r="H99" s="117"/>
      <c r="I99" s="117"/>
      <c r="J99" s="117"/>
      <c r="K99" s="117"/>
      <c r="L99" s="117"/>
      <c r="M99" s="1"/>
      <c r="N99" s="27"/>
    </row>
    <row r="100" spans="1:14">
      <c r="A100" s="163"/>
      <c r="B100" s="117"/>
      <c r="C100" s="117"/>
      <c r="D100" s="117"/>
      <c r="E100" s="117"/>
      <c r="F100" s="117"/>
      <c r="G100" s="117"/>
      <c r="H100" s="117"/>
      <c r="I100" s="117"/>
      <c r="J100" s="117"/>
      <c r="K100" s="117"/>
      <c r="L100" s="117"/>
      <c r="M100" s="1"/>
      <c r="N100" s="27"/>
    </row>
    <row r="101" spans="1:14">
      <c r="A101" s="163"/>
      <c r="B101" s="117"/>
      <c r="C101" s="117"/>
      <c r="D101" s="117"/>
      <c r="E101" s="117"/>
      <c r="F101" s="117"/>
      <c r="G101" s="117"/>
      <c r="H101" s="117"/>
      <c r="I101" s="117"/>
      <c r="J101" s="117"/>
      <c r="K101" s="117"/>
      <c r="L101" s="117"/>
      <c r="M101" s="1"/>
      <c r="N101" s="27"/>
    </row>
    <row r="102" spans="1:14">
      <c r="A102" s="163"/>
      <c r="B102" s="117"/>
      <c r="C102" s="117"/>
      <c r="D102" s="117"/>
      <c r="E102" s="117"/>
      <c r="F102" s="117"/>
      <c r="G102" s="117"/>
      <c r="H102" s="117"/>
      <c r="I102" s="117"/>
      <c r="J102" s="117"/>
      <c r="K102" s="117"/>
      <c r="L102" s="117"/>
      <c r="M102" s="1"/>
      <c r="N102" s="27"/>
    </row>
    <row r="103" spans="1:14">
      <c r="A103" s="163"/>
      <c r="B103" s="117"/>
      <c r="C103" s="117"/>
      <c r="D103" s="117"/>
      <c r="E103" s="117"/>
      <c r="F103" s="117"/>
      <c r="G103" s="117"/>
      <c r="H103" s="117"/>
      <c r="I103" s="117"/>
      <c r="J103" s="117"/>
      <c r="K103" s="117"/>
      <c r="L103" s="117"/>
      <c r="M103" s="1"/>
      <c r="N103" s="27"/>
    </row>
    <row r="104" spans="1:14">
      <c r="A104" s="163"/>
      <c r="B104" s="117"/>
      <c r="C104" s="117"/>
      <c r="D104" s="117"/>
      <c r="E104" s="117"/>
      <c r="F104" s="117"/>
      <c r="G104" s="117"/>
      <c r="H104" s="117"/>
      <c r="I104" s="117"/>
      <c r="J104" s="117"/>
      <c r="K104" s="117"/>
      <c r="L104" s="117"/>
      <c r="M104" s="1"/>
      <c r="N104" s="27"/>
    </row>
    <row r="105" spans="1:14">
      <c r="A105" s="163"/>
      <c r="B105" s="117"/>
      <c r="C105" s="117"/>
      <c r="D105" s="117"/>
      <c r="E105" s="117"/>
      <c r="F105" s="117"/>
      <c r="G105" s="117"/>
      <c r="H105" s="117"/>
      <c r="I105" s="117"/>
      <c r="J105" s="117"/>
      <c r="K105" s="117"/>
      <c r="L105" s="117"/>
      <c r="M105" s="1"/>
      <c r="N105" s="27"/>
    </row>
    <row r="106" spans="1:14">
      <c r="A106" s="163"/>
      <c r="B106" s="117"/>
      <c r="C106" s="117"/>
      <c r="D106" s="117"/>
      <c r="E106" s="117"/>
      <c r="F106" s="117"/>
      <c r="G106" s="117"/>
      <c r="H106" s="117"/>
      <c r="I106" s="117"/>
      <c r="J106" s="117"/>
      <c r="K106" s="117"/>
      <c r="L106" s="117"/>
      <c r="M106" s="1"/>
      <c r="N106" s="27"/>
    </row>
    <row r="107" spans="1:14">
      <c r="A107" s="163"/>
      <c r="B107" s="117"/>
      <c r="C107" s="117"/>
      <c r="D107" s="117"/>
      <c r="E107" s="117"/>
      <c r="F107" s="117"/>
      <c r="G107" s="117"/>
      <c r="H107" s="117"/>
      <c r="I107" s="117"/>
      <c r="J107" s="117"/>
      <c r="K107" s="117"/>
      <c r="L107" s="117"/>
      <c r="M107" s="1"/>
      <c r="N107" s="27"/>
    </row>
    <row r="108" spans="1:14">
      <c r="A108" s="163"/>
      <c r="B108" s="117"/>
      <c r="C108" s="117"/>
      <c r="D108" s="117"/>
      <c r="E108" s="117"/>
      <c r="F108" s="117"/>
      <c r="G108" s="117"/>
      <c r="H108" s="117"/>
      <c r="I108" s="117"/>
      <c r="J108" s="117"/>
      <c r="K108" s="117"/>
      <c r="L108" s="117"/>
      <c r="M108" s="1"/>
      <c r="N108" s="27"/>
    </row>
    <row r="109" spans="1:14">
      <c r="A109" s="163"/>
      <c r="B109" s="117"/>
      <c r="C109" s="117"/>
      <c r="D109" s="117"/>
      <c r="E109" s="117"/>
      <c r="F109" s="117"/>
      <c r="G109" s="117"/>
      <c r="H109" s="117"/>
      <c r="I109" s="117"/>
      <c r="J109" s="117"/>
      <c r="K109" s="117"/>
      <c r="L109" s="117"/>
      <c r="M109" s="1"/>
      <c r="N109" s="27"/>
    </row>
    <row r="110" spans="1:14">
      <c r="A110" s="163"/>
      <c r="B110" s="117"/>
      <c r="C110" s="117"/>
      <c r="D110" s="117"/>
      <c r="E110" s="117"/>
      <c r="F110" s="117"/>
      <c r="G110" s="117"/>
      <c r="H110" s="117"/>
      <c r="I110" s="117"/>
      <c r="J110" s="117"/>
      <c r="K110" s="117"/>
      <c r="L110" s="117"/>
      <c r="M110" s="1"/>
      <c r="N110" s="27"/>
    </row>
    <row r="111" spans="1:14">
      <c r="A111" s="163"/>
      <c r="B111" s="117"/>
      <c r="C111" s="117"/>
      <c r="D111" s="117"/>
      <c r="E111" s="117"/>
      <c r="F111" s="117"/>
      <c r="G111" s="117"/>
      <c r="H111" s="117"/>
      <c r="I111" s="117"/>
      <c r="J111" s="117"/>
      <c r="K111" s="117"/>
      <c r="L111" s="117"/>
      <c r="M111" s="1"/>
      <c r="N111" s="27"/>
    </row>
    <row r="112" spans="1:14">
      <c r="A112" s="163"/>
      <c r="B112" s="117"/>
      <c r="C112" s="117"/>
      <c r="D112" s="117"/>
      <c r="E112" s="117"/>
      <c r="F112" s="117"/>
      <c r="G112" s="117"/>
      <c r="H112" s="117"/>
      <c r="I112" s="117"/>
      <c r="J112" s="117"/>
      <c r="K112" s="117"/>
      <c r="L112" s="117"/>
      <c r="M112" s="1"/>
      <c r="N112" s="27"/>
    </row>
    <row r="113" spans="1:14">
      <c r="A113" s="163"/>
      <c r="B113" s="117"/>
      <c r="C113" s="117"/>
      <c r="D113" s="117"/>
      <c r="E113" s="117"/>
      <c r="F113" s="117"/>
      <c r="G113" s="117"/>
      <c r="H113" s="117"/>
      <c r="I113" s="117"/>
      <c r="J113" s="117"/>
      <c r="K113" s="117"/>
      <c r="L113" s="117"/>
      <c r="M113" s="1"/>
      <c r="N113" s="27"/>
    </row>
    <row r="114" spans="1:14">
      <c r="A114" s="163"/>
      <c r="B114" s="117"/>
      <c r="C114" s="117"/>
      <c r="D114" s="117"/>
      <c r="E114" s="117"/>
      <c r="F114" s="117"/>
      <c r="G114" s="117"/>
      <c r="H114" s="117"/>
      <c r="I114" s="117"/>
      <c r="J114" s="117"/>
      <c r="K114" s="117"/>
      <c r="L114" s="117"/>
      <c r="M114" s="1"/>
      <c r="N114" s="27"/>
    </row>
    <row r="115" spans="1:14">
      <c r="A115" s="163"/>
      <c r="B115" s="163"/>
      <c r="C115" s="163"/>
      <c r="D115" s="163"/>
      <c r="E115" s="163"/>
      <c r="F115" s="163"/>
      <c r="G115" s="163"/>
      <c r="H115" s="163"/>
      <c r="I115" s="163"/>
      <c r="J115" s="163"/>
      <c r="K115" s="163"/>
      <c r="L115" s="163"/>
      <c r="M115" s="1"/>
      <c r="N115" s="27"/>
    </row>
    <row r="116" spans="1:14">
      <c r="A116" s="163"/>
      <c r="B116" s="163"/>
      <c r="C116" s="163"/>
      <c r="D116" s="163"/>
      <c r="E116" s="163"/>
      <c r="F116" s="163"/>
      <c r="G116" s="163"/>
      <c r="H116" s="163"/>
      <c r="I116" s="163"/>
      <c r="J116" s="163"/>
      <c r="K116" s="163"/>
      <c r="L116" s="163"/>
      <c r="M116" s="1"/>
      <c r="N116" s="27"/>
    </row>
    <row r="117" spans="1:14">
      <c r="A117" s="163"/>
      <c r="B117" s="163"/>
      <c r="C117" s="163"/>
      <c r="D117" s="163"/>
      <c r="E117" s="163"/>
      <c r="F117" s="163"/>
      <c r="G117" s="163"/>
      <c r="H117" s="163"/>
      <c r="I117" s="163"/>
      <c r="J117" s="163"/>
      <c r="K117" s="163"/>
      <c r="L117" s="163"/>
      <c r="M117" s="1"/>
      <c r="N117" s="27"/>
    </row>
    <row r="118" spans="1:14">
      <c r="A118" s="163"/>
      <c r="B118" s="163"/>
      <c r="C118" s="163"/>
      <c r="D118" s="163"/>
      <c r="E118" s="163"/>
      <c r="F118" s="163"/>
      <c r="G118" s="163"/>
      <c r="H118" s="163"/>
      <c r="I118" s="163"/>
      <c r="J118" s="163"/>
      <c r="K118" s="163"/>
      <c r="L118" s="163"/>
      <c r="M118" s="1"/>
      <c r="N118" s="27"/>
    </row>
    <row r="119" spans="1:14">
      <c r="A119" s="163"/>
      <c r="B119" s="163"/>
      <c r="C119" s="163"/>
      <c r="D119" s="163"/>
      <c r="E119" s="163"/>
      <c r="F119" s="163"/>
      <c r="G119" s="163"/>
      <c r="H119" s="163"/>
      <c r="I119" s="163"/>
      <c r="J119" s="163"/>
      <c r="K119" s="163"/>
      <c r="L119" s="163"/>
      <c r="M119" s="1"/>
      <c r="N119" s="27"/>
    </row>
    <row r="120" spans="1:14">
      <c r="A120" s="163"/>
      <c r="B120" s="163"/>
      <c r="C120" s="163"/>
      <c r="D120" s="163"/>
      <c r="E120" s="163"/>
      <c r="F120" s="163"/>
      <c r="G120" s="163"/>
      <c r="H120" s="163"/>
      <c r="I120" s="163"/>
      <c r="J120" s="163"/>
      <c r="K120" s="163"/>
      <c r="L120" s="163"/>
      <c r="M120" s="1"/>
      <c r="N120" s="27"/>
    </row>
    <row r="121" spans="1:14">
      <c r="A121" s="163"/>
      <c r="B121" s="163"/>
      <c r="C121" s="163"/>
      <c r="D121" s="163"/>
      <c r="E121" s="163"/>
      <c r="F121" s="163"/>
      <c r="G121" s="163"/>
      <c r="H121" s="163"/>
      <c r="I121" s="163"/>
      <c r="J121" s="163"/>
      <c r="K121" s="163"/>
      <c r="L121" s="163"/>
      <c r="M121" s="1"/>
      <c r="N121" s="27"/>
    </row>
    <row r="122" spans="1:14">
      <c r="A122" s="163"/>
      <c r="B122" s="163"/>
      <c r="C122" s="163"/>
      <c r="D122" s="163"/>
      <c r="E122" s="163"/>
      <c r="F122" s="163"/>
      <c r="G122" s="163"/>
      <c r="H122" s="163"/>
      <c r="I122" s="163"/>
      <c r="J122" s="163"/>
      <c r="K122" s="163"/>
      <c r="L122" s="163"/>
      <c r="M122" s="1"/>
      <c r="N122" s="27"/>
    </row>
    <row r="123" spans="1:14">
      <c r="A123" s="163"/>
      <c r="B123" s="163"/>
      <c r="C123" s="163"/>
      <c r="D123" s="163"/>
      <c r="E123" s="163"/>
      <c r="F123" s="163"/>
      <c r="G123" s="163"/>
      <c r="H123" s="163"/>
      <c r="I123" s="163"/>
      <c r="J123" s="163"/>
      <c r="K123" s="163"/>
      <c r="L123" s="163"/>
      <c r="M123" s="1"/>
      <c r="N123" s="27"/>
    </row>
    <row r="124" spans="1:14">
      <c r="A124" s="163"/>
      <c r="B124" s="163"/>
      <c r="C124" s="163"/>
      <c r="D124" s="163"/>
      <c r="E124" s="163"/>
      <c r="F124" s="163"/>
      <c r="G124" s="163"/>
      <c r="H124" s="163"/>
      <c r="I124" s="163"/>
      <c r="J124" s="163"/>
      <c r="K124" s="163"/>
      <c r="L124" s="163"/>
      <c r="M124" s="1"/>
      <c r="N124" s="27"/>
    </row>
    <row r="125" spans="1:14">
      <c r="A125" s="163"/>
      <c r="B125" s="163"/>
      <c r="C125" s="163"/>
      <c r="D125" s="163"/>
      <c r="E125" s="163"/>
      <c r="F125" s="163"/>
      <c r="G125" s="163"/>
      <c r="H125" s="163"/>
      <c r="I125" s="163"/>
      <c r="J125" s="163"/>
      <c r="K125" s="163"/>
      <c r="L125" s="163"/>
      <c r="M125" s="1"/>
      <c r="N125" s="27"/>
    </row>
    <row r="126" spans="1:14">
      <c r="A126" s="163"/>
      <c r="B126" s="163"/>
      <c r="C126" s="163"/>
      <c r="D126" s="163"/>
      <c r="E126" s="163"/>
      <c r="F126" s="163"/>
      <c r="G126" s="163"/>
      <c r="H126" s="163"/>
      <c r="I126" s="163"/>
      <c r="J126" s="163"/>
      <c r="K126" s="163"/>
      <c r="L126" s="163"/>
      <c r="M126" s="1"/>
      <c r="N126" s="27"/>
    </row>
    <row r="127" spans="1:14">
      <c r="A127" s="163"/>
      <c r="B127" s="163"/>
      <c r="C127" s="163"/>
      <c r="D127" s="163"/>
      <c r="E127" s="163"/>
      <c r="F127" s="163"/>
      <c r="G127" s="163"/>
      <c r="H127" s="163"/>
      <c r="I127" s="163"/>
      <c r="J127" s="163"/>
      <c r="K127" s="163"/>
      <c r="L127" s="163"/>
      <c r="M127" s="1"/>
      <c r="N127" s="27"/>
    </row>
    <row r="128" spans="1:14">
      <c r="A128" s="163"/>
      <c r="B128" s="163"/>
      <c r="C128" s="163"/>
      <c r="D128" s="163"/>
      <c r="E128" s="163"/>
      <c r="F128" s="163"/>
      <c r="G128" s="163"/>
      <c r="H128" s="163"/>
      <c r="I128" s="163"/>
      <c r="J128" s="163"/>
      <c r="K128" s="163"/>
      <c r="L128" s="163"/>
      <c r="M128" s="1"/>
      <c r="N128" s="27"/>
    </row>
    <row r="129" spans="1:14">
      <c r="A129" s="163"/>
      <c r="B129" s="163"/>
      <c r="C129" s="163"/>
      <c r="D129" s="163"/>
      <c r="E129" s="163"/>
      <c r="F129" s="163"/>
      <c r="G129" s="163"/>
      <c r="H129" s="163"/>
      <c r="I129" s="163"/>
      <c r="J129" s="163"/>
      <c r="K129" s="163"/>
      <c r="L129" s="163"/>
      <c r="M129" s="1"/>
      <c r="N129" s="27"/>
    </row>
    <row r="130" spans="1:14">
      <c r="A130" s="163"/>
      <c r="B130" s="163"/>
      <c r="C130" s="163"/>
      <c r="D130" s="163"/>
      <c r="E130" s="163"/>
      <c r="F130" s="163"/>
      <c r="G130" s="163"/>
      <c r="H130" s="163"/>
      <c r="I130" s="163"/>
      <c r="J130" s="163"/>
      <c r="K130" s="163"/>
      <c r="L130" s="163"/>
      <c r="M130" s="1"/>
      <c r="N130" s="27"/>
    </row>
    <row r="131" spans="1:14">
      <c r="A131" s="163"/>
      <c r="B131" s="163"/>
      <c r="C131" s="163"/>
      <c r="D131" s="163"/>
      <c r="E131" s="163"/>
      <c r="F131" s="163"/>
      <c r="G131" s="163"/>
      <c r="H131" s="163"/>
      <c r="I131" s="163"/>
      <c r="J131" s="163"/>
      <c r="K131" s="163"/>
      <c r="L131" s="163"/>
      <c r="M131" s="1"/>
      <c r="N131" s="27"/>
    </row>
    <row r="132" spans="1:14">
      <c r="A132" s="163"/>
      <c r="B132" s="163"/>
      <c r="C132" s="163"/>
      <c r="D132" s="163"/>
      <c r="E132" s="163"/>
      <c r="F132" s="163"/>
      <c r="G132" s="163"/>
      <c r="H132" s="163"/>
      <c r="I132" s="163"/>
      <c r="J132" s="163"/>
      <c r="K132" s="163"/>
      <c r="L132" s="163"/>
      <c r="M132" s="1"/>
      <c r="N132" s="27"/>
    </row>
    <row r="133" spans="1:14">
      <c r="A133" s="163"/>
      <c r="B133" s="163"/>
      <c r="C133" s="163"/>
      <c r="D133" s="163"/>
      <c r="E133" s="163"/>
      <c r="F133" s="163"/>
      <c r="G133" s="163"/>
      <c r="H133" s="163"/>
      <c r="I133" s="163"/>
      <c r="J133" s="163"/>
      <c r="K133" s="163"/>
      <c r="L133" s="163"/>
      <c r="M133" s="1"/>
      <c r="N133" s="27"/>
    </row>
    <row r="134" spans="1:14">
      <c r="A134" s="163"/>
      <c r="B134" s="163"/>
      <c r="C134" s="163"/>
      <c r="D134" s="163"/>
      <c r="E134" s="163"/>
      <c r="F134" s="163"/>
      <c r="G134" s="163"/>
      <c r="H134" s="163"/>
      <c r="I134" s="163"/>
      <c r="J134" s="163"/>
      <c r="K134" s="163"/>
      <c r="L134" s="163"/>
      <c r="M134" s="1"/>
      <c r="N134" s="27"/>
    </row>
    <row r="135" spans="1:14">
      <c r="A135" s="163"/>
      <c r="B135" s="163"/>
      <c r="C135" s="163"/>
      <c r="D135" s="163"/>
      <c r="E135" s="163"/>
      <c r="F135" s="163"/>
      <c r="G135" s="163"/>
      <c r="H135" s="163"/>
      <c r="I135" s="163"/>
      <c r="J135" s="163"/>
      <c r="K135" s="163"/>
      <c r="L135" s="163"/>
      <c r="M135" s="1"/>
      <c r="N135" s="27"/>
    </row>
    <row r="136" spans="1:14">
      <c r="A136" s="163"/>
      <c r="B136" s="163"/>
      <c r="C136" s="163"/>
      <c r="D136" s="163"/>
      <c r="E136" s="163"/>
      <c r="F136" s="163"/>
      <c r="G136" s="163"/>
      <c r="H136" s="163"/>
      <c r="I136" s="163"/>
      <c r="J136" s="163"/>
      <c r="K136" s="163"/>
      <c r="L136" s="163"/>
      <c r="M136" s="1"/>
      <c r="N136" s="27"/>
    </row>
    <row r="137" spans="1:14">
      <c r="A137" s="163"/>
      <c r="B137" s="163"/>
      <c r="C137" s="163"/>
      <c r="D137" s="163"/>
      <c r="E137" s="163"/>
      <c r="F137" s="163"/>
      <c r="G137" s="163"/>
      <c r="H137" s="163"/>
      <c r="I137" s="163"/>
      <c r="J137" s="163"/>
      <c r="K137" s="163"/>
      <c r="L137" s="163"/>
      <c r="M137" s="1"/>
      <c r="N137" s="27"/>
    </row>
    <row r="138" spans="1:14">
      <c r="A138" s="163"/>
      <c r="B138" s="163"/>
      <c r="C138" s="163"/>
      <c r="D138" s="163"/>
      <c r="E138" s="163"/>
      <c r="F138" s="163"/>
      <c r="G138" s="163"/>
      <c r="H138" s="163"/>
      <c r="I138" s="163"/>
      <c r="J138" s="163"/>
      <c r="K138" s="163"/>
      <c r="L138" s="163"/>
      <c r="M138" s="1"/>
      <c r="N138" s="27"/>
    </row>
    <row r="139" spans="1:14">
      <c r="A139" s="163"/>
      <c r="B139" s="163"/>
      <c r="C139" s="163"/>
      <c r="D139" s="163"/>
      <c r="E139" s="163"/>
      <c r="F139" s="163"/>
      <c r="G139" s="163"/>
      <c r="H139" s="163"/>
      <c r="I139" s="163"/>
      <c r="J139" s="163"/>
      <c r="K139" s="163"/>
      <c r="L139" s="163"/>
      <c r="M139" s="1"/>
      <c r="N139" s="27"/>
    </row>
    <row r="140" spans="1:14">
      <c r="A140" s="163"/>
      <c r="B140" s="163"/>
      <c r="C140" s="163"/>
      <c r="D140" s="163"/>
      <c r="E140" s="163"/>
      <c r="F140" s="163"/>
      <c r="G140" s="163"/>
      <c r="H140" s="163"/>
      <c r="I140" s="163"/>
      <c r="J140" s="163"/>
      <c r="K140" s="163"/>
      <c r="L140" s="163"/>
      <c r="M140" s="1"/>
      <c r="N140" s="27"/>
    </row>
    <row r="141" spans="1:14">
      <c r="A141" s="163"/>
      <c r="B141" s="163"/>
      <c r="C141" s="163"/>
      <c r="D141" s="163"/>
      <c r="E141" s="163"/>
      <c r="F141" s="163"/>
      <c r="G141" s="163"/>
      <c r="H141" s="163"/>
      <c r="I141" s="163"/>
      <c r="J141" s="163"/>
      <c r="K141" s="163"/>
      <c r="L141" s="163"/>
      <c r="M141" s="1"/>
      <c r="N141" s="27"/>
    </row>
    <row r="142" spans="1:14">
      <c r="A142" s="163"/>
      <c r="B142" s="163"/>
      <c r="C142" s="163"/>
      <c r="D142" s="163"/>
      <c r="E142" s="163"/>
      <c r="F142" s="163"/>
      <c r="G142" s="163"/>
      <c r="H142" s="163"/>
      <c r="I142" s="163"/>
      <c r="J142" s="163"/>
      <c r="K142" s="163"/>
      <c r="L142" s="163"/>
      <c r="M142" s="1"/>
      <c r="N142" s="27"/>
    </row>
    <row r="143" spans="1:14">
      <c r="A143" s="163"/>
      <c r="B143" s="163"/>
      <c r="C143" s="163"/>
      <c r="D143" s="163"/>
      <c r="E143" s="163"/>
      <c r="F143" s="163"/>
      <c r="G143" s="163"/>
      <c r="H143" s="163"/>
      <c r="I143" s="163"/>
      <c r="J143" s="163"/>
      <c r="K143" s="163"/>
      <c r="L143" s="163"/>
      <c r="M143" s="1"/>
      <c r="N143" s="27"/>
    </row>
    <row r="144" spans="1:14">
      <c r="A144" s="163"/>
      <c r="B144" s="163"/>
      <c r="C144" s="163"/>
      <c r="D144" s="163"/>
      <c r="E144" s="163"/>
      <c r="F144" s="163"/>
      <c r="G144" s="163"/>
      <c r="H144" s="163"/>
      <c r="I144" s="163"/>
      <c r="J144" s="163"/>
      <c r="K144" s="163"/>
      <c r="L144" s="163"/>
      <c r="M144" s="1"/>
      <c r="N144" s="27"/>
    </row>
    <row r="145" spans="1:14">
      <c r="A145" s="163"/>
      <c r="B145" s="163"/>
      <c r="C145" s="163"/>
      <c r="D145" s="163"/>
      <c r="E145" s="163"/>
      <c r="F145" s="163"/>
      <c r="G145" s="163"/>
      <c r="H145" s="163"/>
      <c r="I145" s="163"/>
      <c r="J145" s="163"/>
      <c r="K145" s="163"/>
      <c r="L145" s="163"/>
      <c r="M145" s="1"/>
      <c r="N145" s="27"/>
    </row>
    <row r="146" spans="1:14">
      <c r="A146" s="163"/>
      <c r="B146" s="163"/>
      <c r="C146" s="163"/>
      <c r="D146" s="163"/>
      <c r="E146" s="163"/>
      <c r="F146" s="163"/>
      <c r="G146" s="163"/>
      <c r="H146" s="163"/>
      <c r="I146" s="163"/>
      <c r="J146" s="163"/>
      <c r="K146" s="163"/>
      <c r="L146" s="163"/>
      <c r="M146" s="1"/>
      <c r="N146" s="27"/>
    </row>
    <row r="147" spans="1:14">
      <c r="A147" s="163"/>
      <c r="B147" s="163"/>
      <c r="C147" s="163"/>
      <c r="D147" s="163"/>
      <c r="E147" s="163"/>
      <c r="F147" s="163"/>
      <c r="G147" s="163"/>
      <c r="H147" s="163"/>
      <c r="I147" s="163"/>
      <c r="J147" s="163"/>
      <c r="K147" s="163"/>
      <c r="L147" s="163"/>
      <c r="M147" s="1"/>
      <c r="N147" s="27"/>
    </row>
    <row r="148" spans="1:14">
      <c r="A148" s="163"/>
      <c r="B148" s="163"/>
      <c r="C148" s="163"/>
      <c r="D148" s="163"/>
      <c r="E148" s="163"/>
      <c r="F148" s="163"/>
      <c r="G148" s="163"/>
      <c r="H148" s="163"/>
      <c r="I148" s="163"/>
      <c r="J148" s="163"/>
      <c r="K148" s="163"/>
      <c r="L148" s="163"/>
      <c r="M148" s="1"/>
      <c r="N148" s="27"/>
    </row>
    <row r="149" spans="1:14">
      <c r="A149" s="163"/>
      <c r="B149" s="163"/>
      <c r="C149" s="163"/>
      <c r="D149" s="163"/>
      <c r="E149" s="163"/>
      <c r="F149" s="163"/>
      <c r="G149" s="163"/>
      <c r="H149" s="163"/>
      <c r="I149" s="163"/>
      <c r="J149" s="163"/>
      <c r="K149" s="163"/>
      <c r="L149" s="163"/>
      <c r="M149" s="1"/>
      <c r="N149" s="27"/>
    </row>
    <row r="150" spans="1:14">
      <c r="A150" s="163"/>
      <c r="B150" s="163"/>
      <c r="C150" s="163"/>
      <c r="D150" s="163"/>
      <c r="E150" s="163"/>
      <c r="F150" s="163"/>
      <c r="G150" s="163"/>
      <c r="H150" s="163"/>
      <c r="I150" s="163"/>
      <c r="J150" s="163"/>
      <c r="K150" s="163"/>
      <c r="L150" s="163"/>
      <c r="M150" s="1"/>
      <c r="N150" s="27"/>
    </row>
    <row r="151" spans="1:14">
      <c r="A151" s="163"/>
      <c r="B151" s="163"/>
      <c r="C151" s="163"/>
      <c r="D151" s="163"/>
      <c r="E151" s="163"/>
      <c r="F151" s="163"/>
      <c r="G151" s="163"/>
      <c r="H151" s="163"/>
      <c r="I151" s="163"/>
      <c r="J151" s="163"/>
      <c r="K151" s="163"/>
      <c r="L151" s="163"/>
      <c r="M151" s="1"/>
      <c r="N151" s="27"/>
    </row>
    <row r="152" spans="1:14">
      <c r="A152" s="163"/>
      <c r="B152" s="163"/>
      <c r="C152" s="163"/>
      <c r="D152" s="163"/>
      <c r="E152" s="163"/>
      <c r="F152" s="163"/>
      <c r="G152" s="163"/>
      <c r="H152" s="163"/>
      <c r="I152" s="163"/>
      <c r="J152" s="163"/>
      <c r="K152" s="163"/>
      <c r="L152" s="163"/>
      <c r="M152" s="1"/>
      <c r="N152" s="27"/>
    </row>
    <row r="153" spans="1:14">
      <c r="A153" s="163"/>
      <c r="B153" s="163"/>
      <c r="C153" s="163"/>
      <c r="D153" s="163"/>
      <c r="E153" s="163"/>
      <c r="F153" s="163"/>
      <c r="G153" s="163"/>
      <c r="H153" s="163"/>
      <c r="I153" s="163"/>
      <c r="J153" s="163"/>
      <c r="K153" s="163"/>
      <c r="L153" s="163"/>
      <c r="M153" s="1"/>
      <c r="N153" s="27"/>
    </row>
    <row r="154" spans="1:14">
      <c r="A154" s="163"/>
      <c r="B154" s="163"/>
      <c r="C154" s="163"/>
      <c r="D154" s="163"/>
      <c r="E154" s="163"/>
      <c r="F154" s="163"/>
      <c r="G154" s="163"/>
      <c r="H154" s="163"/>
      <c r="I154" s="163"/>
      <c r="J154" s="163"/>
      <c r="K154" s="163"/>
      <c r="L154" s="163"/>
      <c r="M154" s="1"/>
      <c r="N154" s="27"/>
    </row>
    <row r="155" spans="1:14">
      <c r="A155" s="163"/>
      <c r="B155" s="163"/>
      <c r="C155" s="163"/>
      <c r="D155" s="163"/>
      <c r="E155" s="163"/>
      <c r="F155" s="163"/>
      <c r="G155" s="163"/>
      <c r="H155" s="163"/>
      <c r="I155" s="163"/>
      <c r="J155" s="163"/>
      <c r="K155" s="163"/>
      <c r="L155" s="163"/>
      <c r="M155" s="1"/>
      <c r="N155" s="27"/>
    </row>
    <row r="156" spans="1:14">
      <c r="A156" s="163"/>
      <c r="B156" s="163"/>
      <c r="C156" s="163"/>
      <c r="D156" s="163"/>
      <c r="E156" s="163"/>
      <c r="F156" s="163"/>
      <c r="G156" s="163"/>
      <c r="H156" s="163"/>
      <c r="I156" s="163"/>
      <c r="J156" s="163"/>
      <c r="K156" s="163"/>
      <c r="L156" s="163"/>
      <c r="M156" s="1"/>
      <c r="N156" s="27"/>
    </row>
    <row r="157" spans="1:14">
      <c r="A157" s="163"/>
      <c r="B157" s="163"/>
      <c r="C157" s="163"/>
      <c r="D157" s="163"/>
      <c r="E157" s="163"/>
      <c r="F157" s="163"/>
      <c r="G157" s="163"/>
      <c r="H157" s="163"/>
      <c r="I157" s="163"/>
      <c r="J157" s="163"/>
      <c r="K157" s="163"/>
      <c r="L157" s="163"/>
      <c r="M157" s="1"/>
      <c r="N157" s="27"/>
    </row>
    <row r="158" spans="1:14">
      <c r="A158" s="163"/>
      <c r="B158" s="163"/>
      <c r="C158" s="163"/>
      <c r="D158" s="163"/>
      <c r="E158" s="163"/>
      <c r="F158" s="163"/>
      <c r="G158" s="163"/>
      <c r="H158" s="163"/>
      <c r="I158" s="163"/>
      <c r="J158" s="163"/>
      <c r="K158" s="163"/>
      <c r="L158" s="163"/>
      <c r="M158" s="1"/>
      <c r="N158" s="27"/>
    </row>
    <row r="159" spans="1:14">
      <c r="A159" s="163"/>
      <c r="B159" s="163"/>
      <c r="C159" s="163"/>
      <c r="D159" s="163"/>
      <c r="E159" s="163"/>
      <c r="F159" s="163"/>
      <c r="G159" s="163"/>
      <c r="H159" s="163"/>
      <c r="I159" s="163"/>
      <c r="J159" s="163"/>
      <c r="K159" s="163"/>
      <c r="L159" s="163"/>
      <c r="M159" s="1"/>
      <c r="N159" s="27"/>
    </row>
    <row r="160" spans="1:14">
      <c r="A160" s="163"/>
      <c r="B160" s="163"/>
      <c r="C160" s="163"/>
      <c r="D160" s="163"/>
      <c r="E160" s="163"/>
      <c r="F160" s="163"/>
      <c r="G160" s="163"/>
      <c r="H160" s="163"/>
      <c r="I160" s="163"/>
      <c r="J160" s="163"/>
      <c r="K160" s="163"/>
      <c r="L160" s="163"/>
      <c r="M160" s="1"/>
      <c r="N160" s="27"/>
    </row>
    <row r="161" spans="1:14">
      <c r="A161" s="163"/>
      <c r="B161" s="163"/>
      <c r="C161" s="163"/>
      <c r="D161" s="163"/>
      <c r="E161" s="163"/>
      <c r="F161" s="163"/>
      <c r="G161" s="163"/>
      <c r="H161" s="163"/>
      <c r="I161" s="163"/>
      <c r="J161" s="163"/>
      <c r="K161" s="163"/>
      <c r="L161" s="163"/>
      <c r="N161" s="19"/>
    </row>
    <row r="162" spans="1:14">
      <c r="A162" s="163"/>
      <c r="B162" s="163"/>
      <c r="C162" s="163"/>
      <c r="D162" s="163"/>
      <c r="E162" s="163"/>
      <c r="F162" s="163"/>
      <c r="G162" s="163"/>
      <c r="H162" s="163"/>
      <c r="I162" s="163"/>
      <c r="J162" s="163"/>
      <c r="K162" s="163"/>
      <c r="L162" s="163"/>
      <c r="N162" s="19"/>
    </row>
    <row r="163" spans="1:14">
      <c r="A163" s="163"/>
      <c r="B163" s="163"/>
      <c r="C163" s="163"/>
      <c r="D163" s="163"/>
      <c r="E163" s="163"/>
      <c r="F163" s="163"/>
      <c r="G163" s="163"/>
      <c r="H163" s="163"/>
      <c r="I163" s="163"/>
      <c r="J163" s="163"/>
      <c r="K163" s="163"/>
      <c r="L163" s="163"/>
      <c r="N163" s="19"/>
    </row>
    <row r="164" spans="1:14">
      <c r="A164" s="163"/>
      <c r="B164" s="163"/>
      <c r="C164" s="163"/>
      <c r="D164" s="163"/>
      <c r="E164" s="163"/>
      <c r="F164" s="163"/>
      <c r="G164" s="163"/>
      <c r="H164" s="163"/>
      <c r="I164" s="163"/>
      <c r="J164" s="163"/>
      <c r="K164" s="163"/>
      <c r="L164" s="163"/>
      <c r="N164" s="19"/>
    </row>
    <row r="165" spans="1:14">
      <c r="A165" s="163"/>
      <c r="B165" s="163"/>
      <c r="C165" s="163"/>
      <c r="D165" s="163"/>
      <c r="E165" s="163"/>
      <c r="F165" s="163"/>
      <c r="G165" s="163"/>
      <c r="H165" s="163"/>
      <c r="I165" s="163"/>
      <c r="J165" s="163"/>
      <c r="K165" s="163"/>
      <c r="L165" s="163"/>
      <c r="N165" s="19"/>
    </row>
    <row r="166" spans="1:14">
      <c r="A166" s="163"/>
      <c r="B166" s="163"/>
      <c r="C166" s="163"/>
      <c r="D166" s="163"/>
      <c r="E166" s="163"/>
      <c r="F166" s="163"/>
      <c r="G166" s="163"/>
      <c r="H166" s="163"/>
      <c r="I166" s="163"/>
      <c r="J166" s="163"/>
      <c r="K166" s="163"/>
      <c r="L166" s="163"/>
      <c r="N166" s="19"/>
    </row>
    <row r="167" spans="1:14">
      <c r="A167" s="163"/>
      <c r="B167" s="163"/>
      <c r="C167" s="163"/>
      <c r="D167" s="163"/>
      <c r="E167" s="163"/>
      <c r="F167" s="163"/>
      <c r="G167" s="163"/>
      <c r="H167" s="163"/>
      <c r="I167" s="163"/>
      <c r="J167" s="163"/>
      <c r="K167" s="163"/>
      <c r="L167" s="163"/>
      <c r="N167" s="19"/>
    </row>
    <row r="168" spans="1:14">
      <c r="A168" s="163"/>
      <c r="B168" s="163"/>
      <c r="C168" s="163"/>
      <c r="D168" s="163"/>
      <c r="E168" s="163"/>
      <c r="F168" s="163"/>
      <c r="G168" s="163"/>
      <c r="H168" s="163"/>
      <c r="I168" s="163"/>
      <c r="J168" s="163"/>
      <c r="K168" s="163"/>
      <c r="L168" s="163"/>
      <c r="N168" s="19"/>
    </row>
    <row r="169" spans="1:14">
      <c r="A169" s="163"/>
      <c r="B169" s="163"/>
      <c r="C169" s="163"/>
      <c r="D169" s="163"/>
      <c r="E169" s="163"/>
      <c r="F169" s="163"/>
      <c r="G169" s="163"/>
      <c r="H169" s="163"/>
      <c r="I169" s="163"/>
      <c r="J169" s="163"/>
      <c r="K169" s="163"/>
      <c r="L169" s="163"/>
      <c r="N169" s="19"/>
    </row>
    <row r="170" spans="1:14">
      <c r="A170" s="163"/>
      <c r="B170" s="163"/>
      <c r="C170" s="163"/>
      <c r="D170" s="163"/>
      <c r="E170" s="163"/>
      <c r="F170" s="163"/>
      <c r="G170" s="163"/>
      <c r="H170" s="163"/>
      <c r="I170" s="163"/>
      <c r="J170" s="163"/>
      <c r="K170" s="163"/>
      <c r="L170" s="163"/>
      <c r="N170" s="19"/>
    </row>
    <row r="171" spans="1:14">
      <c r="A171" s="163"/>
      <c r="B171" s="163"/>
      <c r="C171" s="163"/>
      <c r="D171" s="163"/>
      <c r="E171" s="163"/>
      <c r="F171" s="163"/>
      <c r="G171" s="163"/>
      <c r="H171" s="163"/>
      <c r="I171" s="163"/>
      <c r="J171" s="163"/>
      <c r="K171" s="163"/>
      <c r="L171" s="163"/>
      <c r="N171" s="19"/>
    </row>
    <row r="172" spans="1:14">
      <c r="A172" s="163"/>
      <c r="B172" s="163"/>
      <c r="C172" s="163"/>
      <c r="D172" s="163"/>
      <c r="E172" s="163"/>
      <c r="F172" s="163"/>
      <c r="G172" s="163"/>
      <c r="H172" s="163"/>
      <c r="I172" s="163"/>
      <c r="J172" s="163"/>
      <c r="K172" s="163"/>
      <c r="L172" s="163"/>
      <c r="N172" s="19"/>
    </row>
    <row r="173" spans="1:14">
      <c r="A173" s="163"/>
      <c r="B173" s="163"/>
      <c r="C173" s="163"/>
      <c r="D173" s="163"/>
      <c r="E173" s="163"/>
      <c r="F173" s="163"/>
      <c r="G173" s="163"/>
      <c r="H173" s="163"/>
      <c r="I173" s="163"/>
      <c r="J173" s="163"/>
      <c r="K173" s="163"/>
      <c r="L173" s="163"/>
      <c r="N173" s="19"/>
    </row>
    <row r="174" spans="1:14">
      <c r="A174" s="163"/>
      <c r="B174" s="163"/>
      <c r="C174" s="163"/>
      <c r="D174" s="163"/>
      <c r="E174" s="163"/>
      <c r="F174" s="163"/>
      <c r="G174" s="163"/>
      <c r="H174" s="163"/>
      <c r="I174" s="163"/>
      <c r="J174" s="163"/>
      <c r="K174" s="163"/>
      <c r="L174" s="163"/>
      <c r="N174" s="19"/>
    </row>
    <row r="175" spans="1:14">
      <c r="N175" s="19"/>
    </row>
    <row r="176" spans="1:14">
      <c r="N176" s="19"/>
    </row>
    <row r="177" spans="14:14">
      <c r="N177" s="19"/>
    </row>
    <row r="178" spans="14:14">
      <c r="N178" s="19"/>
    </row>
    <row r="179" spans="14:14">
      <c r="N179" s="19"/>
    </row>
    <row r="180" spans="14:14">
      <c r="N180" s="19"/>
    </row>
    <row r="181" spans="14:14">
      <c r="N181" s="19"/>
    </row>
    <row r="182" spans="14:14">
      <c r="N182" s="19"/>
    </row>
    <row r="183" spans="14:14">
      <c r="N183" s="19"/>
    </row>
    <row r="184" spans="14:14">
      <c r="N184" s="19"/>
    </row>
    <row r="185" spans="14:14">
      <c r="N185" s="19"/>
    </row>
    <row r="186" spans="14:14">
      <c r="N186" s="19"/>
    </row>
    <row r="187" spans="14:14">
      <c r="N187" s="19"/>
    </row>
    <row r="188" spans="14:14">
      <c r="N188" s="19"/>
    </row>
    <row r="189" spans="14:14">
      <c r="N189" s="19"/>
    </row>
    <row r="190" spans="14:14">
      <c r="N190" s="19"/>
    </row>
    <row r="191" spans="14:14">
      <c r="N191" s="19"/>
    </row>
    <row r="192" spans="14:14">
      <c r="N192" s="19"/>
    </row>
    <row r="193" spans="14:14">
      <c r="N193" s="19"/>
    </row>
    <row r="194" spans="14:14">
      <c r="N194" s="19"/>
    </row>
    <row r="195" spans="14:14">
      <c r="N195" s="19"/>
    </row>
    <row r="196" spans="14:14">
      <c r="N196" s="19"/>
    </row>
    <row r="197" spans="14:14">
      <c r="N197" s="19"/>
    </row>
    <row r="198" spans="14:14">
      <c r="N198" s="19"/>
    </row>
    <row r="199" spans="14:14">
      <c r="N199" s="19"/>
    </row>
    <row r="200" spans="14:14">
      <c r="N200" s="19"/>
    </row>
    <row r="201" spans="14:14">
      <c r="N201" s="19"/>
    </row>
    <row r="202" spans="14:14">
      <c r="N202" s="19"/>
    </row>
    <row r="203" spans="14:14">
      <c r="N203" s="19"/>
    </row>
    <row r="204" spans="14:14">
      <c r="N204" s="19"/>
    </row>
    <row r="205" spans="14:14">
      <c r="N205" s="19"/>
    </row>
    <row r="206" spans="14:14">
      <c r="N206" s="19"/>
    </row>
    <row r="207" spans="14:14">
      <c r="N207" s="19"/>
    </row>
    <row r="208" spans="14:14">
      <c r="N208" s="19"/>
    </row>
    <row r="209" spans="14:14">
      <c r="N209" s="19"/>
    </row>
    <row r="210" spans="14:14">
      <c r="N210" s="19"/>
    </row>
    <row r="211" spans="14:14">
      <c r="N211" s="19"/>
    </row>
    <row r="212" spans="14:14">
      <c r="N212" s="19"/>
    </row>
    <row r="213" spans="14:14">
      <c r="N213" s="19"/>
    </row>
    <row r="214" spans="14:14">
      <c r="N214" s="19"/>
    </row>
    <row r="215" spans="14:14">
      <c r="N215" s="19"/>
    </row>
    <row r="216" spans="14:14">
      <c r="N216" s="19"/>
    </row>
    <row r="217" spans="14:14">
      <c r="N217" s="19"/>
    </row>
    <row r="218" spans="14:14">
      <c r="N218" s="19"/>
    </row>
    <row r="219" spans="14:14">
      <c r="N219" s="19"/>
    </row>
    <row r="220" spans="14:14">
      <c r="N220" s="19"/>
    </row>
    <row r="221" spans="14:14">
      <c r="N221" s="19"/>
    </row>
    <row r="222" spans="14:14">
      <c r="N222" s="19"/>
    </row>
    <row r="223" spans="14:14">
      <c r="N223" s="19"/>
    </row>
    <row r="224" spans="14:14">
      <c r="N224" s="19"/>
    </row>
    <row r="225" spans="14:14">
      <c r="N225" s="19"/>
    </row>
    <row r="226" spans="14:14">
      <c r="N226" s="19"/>
    </row>
    <row r="227" spans="14:14">
      <c r="N227" s="19"/>
    </row>
    <row r="228" spans="14:14">
      <c r="N228" s="19"/>
    </row>
    <row r="229" spans="14:14">
      <c r="N229" s="19"/>
    </row>
    <row r="230" spans="14:14">
      <c r="N230" s="19"/>
    </row>
    <row r="231" spans="14:14">
      <c r="N231" s="19"/>
    </row>
    <row r="232" spans="14:14">
      <c r="N232" s="19"/>
    </row>
    <row r="233" spans="14:14">
      <c r="N233" s="19"/>
    </row>
    <row r="234" spans="14:14">
      <c r="N234" s="19"/>
    </row>
    <row r="235" spans="14:14">
      <c r="N235" s="19"/>
    </row>
    <row r="236" spans="14:14">
      <c r="N236" s="19"/>
    </row>
    <row r="237" spans="14:14">
      <c r="N237" s="19"/>
    </row>
    <row r="238" spans="14:14">
      <c r="N238" s="19"/>
    </row>
    <row r="239" spans="14:14">
      <c r="N239" s="19"/>
    </row>
    <row r="240" spans="14:14">
      <c r="N240" s="19"/>
    </row>
    <row r="241" spans="14:14">
      <c r="N241" s="19"/>
    </row>
    <row r="242" spans="14:14">
      <c r="N242" s="19"/>
    </row>
    <row r="243" spans="14:14" s="19" customFormat="1"/>
    <row r="244" spans="14:14" s="19" customFormat="1"/>
    <row r="245" spans="14:14" s="19" customFormat="1"/>
    <row r="246" spans="14:14" s="19" customFormat="1"/>
    <row r="247" spans="14:14" s="19" customFormat="1"/>
    <row r="248" spans="14:14" s="19" customFormat="1"/>
    <row r="249" spans="14:14" s="19" customFormat="1"/>
    <row r="250" spans="14:14" s="19" customFormat="1"/>
    <row r="251" spans="14:14" s="19" customFormat="1"/>
    <row r="252" spans="14:14" s="19" customFormat="1"/>
    <row r="253" spans="14:14" s="19" customFormat="1"/>
    <row r="254" spans="14:14" s="19" customFormat="1"/>
    <row r="255" spans="14:14" s="19" customFormat="1"/>
    <row r="256" spans="14:14"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pans="1:12" s="19" customFormat="1"/>
    <row r="322" spans="1:12" s="19" customFormat="1"/>
    <row r="323" spans="1:12" s="19" customFormat="1"/>
    <row r="324" spans="1:12" s="19" customFormat="1"/>
    <row r="325" spans="1:12" s="19" customFormat="1"/>
    <row r="326" spans="1:12" s="19" customFormat="1"/>
    <row r="327" spans="1:12" s="19" customFormat="1"/>
    <row r="328" spans="1:12" s="19" customFormat="1"/>
    <row r="329" spans="1:12" s="19" customFormat="1"/>
    <row r="330" spans="1:12" s="19" customFormat="1"/>
    <row r="331" spans="1:12" s="19" customFormat="1"/>
    <row r="332" spans="1:12" s="19" customFormat="1">
      <c r="A332"/>
      <c r="B332" s="1"/>
      <c r="C332" s="1"/>
      <c r="D332" s="1"/>
      <c r="E332" s="1"/>
      <c r="F332" s="1"/>
      <c r="G332" s="1"/>
      <c r="H332" s="1"/>
      <c r="I332" s="1"/>
      <c r="J332" s="1"/>
      <c r="K332" s="1"/>
      <c r="L332" s="1"/>
    </row>
    <row r="333" spans="1:12" s="19" customFormat="1">
      <c r="A333"/>
      <c r="B333" s="1"/>
      <c r="C333" s="1"/>
      <c r="D333" s="1"/>
      <c r="E333" s="1"/>
      <c r="F333" s="1"/>
      <c r="G333" s="1"/>
      <c r="H333" s="1"/>
      <c r="I333" s="1"/>
      <c r="J333" s="1"/>
      <c r="K333" s="1"/>
      <c r="L333" s="1"/>
    </row>
    <row r="334" spans="1:12" s="19" customFormat="1">
      <c r="A334"/>
      <c r="B334" s="1"/>
      <c r="C334" s="1"/>
      <c r="D334" s="1"/>
      <c r="E334" s="1"/>
      <c r="F334" s="1"/>
      <c r="G334" s="1"/>
      <c r="H334" s="1"/>
      <c r="I334" s="1"/>
      <c r="J334" s="1"/>
      <c r="K334" s="1"/>
      <c r="L334" s="1"/>
    </row>
    <row r="335" spans="1:12" s="19" customFormat="1">
      <c r="A335"/>
      <c r="B335" s="1"/>
      <c r="C335" s="1"/>
      <c r="D335" s="1"/>
      <c r="E335" s="1"/>
      <c r="F335" s="1"/>
      <c r="G335" s="1"/>
      <c r="H335" s="1"/>
      <c r="I335" s="1"/>
      <c r="J335" s="1"/>
      <c r="K335" s="1"/>
      <c r="L335" s="1"/>
    </row>
    <row r="336" spans="1:12" s="19" customFormat="1">
      <c r="A336"/>
      <c r="B336" s="1"/>
      <c r="C336" s="1"/>
      <c r="D336" s="1"/>
      <c r="E336" s="1"/>
      <c r="F336" s="1"/>
      <c r="G336" s="1"/>
      <c r="H336" s="1"/>
      <c r="I336" s="1"/>
      <c r="J336" s="1"/>
      <c r="K336" s="1"/>
      <c r="L336" s="1"/>
    </row>
    <row r="337" spans="1:12" s="19" customFormat="1">
      <c r="A337"/>
      <c r="B337" s="1"/>
      <c r="C337" s="1"/>
      <c r="D337" s="1"/>
      <c r="E337" s="1"/>
      <c r="F337" s="1"/>
      <c r="G337" s="1"/>
      <c r="H337" s="1"/>
      <c r="I337" s="1"/>
      <c r="J337" s="1"/>
      <c r="K337" s="1"/>
      <c r="L337" s="1"/>
    </row>
    <row r="338" spans="1:12" s="19" customFormat="1">
      <c r="A338"/>
      <c r="B338" s="1"/>
      <c r="C338" s="1"/>
      <c r="D338" s="1"/>
      <c r="E338" s="1"/>
      <c r="F338" s="1"/>
      <c r="G338" s="1"/>
      <c r="H338" s="1"/>
      <c r="I338" s="1"/>
      <c r="J338" s="1"/>
      <c r="K338" s="1"/>
      <c r="L338" s="1"/>
    </row>
    <row r="339" spans="1:12" s="19" customFormat="1">
      <c r="A339"/>
      <c r="B339" s="1"/>
      <c r="C339" s="1"/>
      <c r="D339" s="1"/>
      <c r="E339" s="1"/>
      <c r="F339" s="1"/>
      <c r="G339" s="1"/>
      <c r="H339" s="1"/>
      <c r="I339" s="1"/>
      <c r="J339" s="1"/>
      <c r="K339" s="1"/>
      <c r="L339" s="1"/>
    </row>
    <row r="340" spans="1:12" s="19" customFormat="1">
      <c r="A340"/>
      <c r="B340" s="1"/>
      <c r="C340" s="1"/>
      <c r="D340" s="1"/>
      <c r="E340" s="1"/>
      <c r="F340" s="1"/>
      <c r="G340" s="1"/>
      <c r="H340" s="1"/>
      <c r="I340" s="1"/>
      <c r="J340" s="1"/>
      <c r="K340" s="1"/>
      <c r="L340" s="1"/>
    </row>
    <row r="341" spans="1:12" s="19" customFormat="1">
      <c r="A341"/>
      <c r="B341" s="1"/>
      <c r="C341" s="1"/>
      <c r="D341" s="1"/>
      <c r="E341" s="1"/>
      <c r="F341" s="1"/>
      <c r="G341" s="1"/>
      <c r="H341" s="1"/>
      <c r="I341" s="1"/>
      <c r="J341" s="1"/>
      <c r="K341" s="1"/>
      <c r="L341" s="1"/>
    </row>
    <row r="342" spans="1:12" s="19" customFormat="1">
      <c r="A342"/>
      <c r="B342" s="1"/>
      <c r="C342" s="1"/>
      <c r="D342" s="1"/>
      <c r="E342" s="1"/>
      <c r="F342" s="1"/>
      <c r="G342" s="1"/>
      <c r="H342" s="1"/>
      <c r="I342" s="1"/>
      <c r="J342" s="1"/>
      <c r="K342" s="1"/>
      <c r="L342" s="1"/>
    </row>
    <row r="343" spans="1:12" s="19" customFormat="1">
      <c r="A343"/>
      <c r="B343" s="1"/>
      <c r="C343" s="1"/>
      <c r="D343" s="1"/>
      <c r="E343" s="1"/>
      <c r="F343" s="1"/>
      <c r="G343" s="1"/>
      <c r="H343" s="1"/>
      <c r="I343" s="1"/>
      <c r="J343" s="1"/>
      <c r="K343" s="1"/>
      <c r="L343" s="1"/>
    </row>
    <row r="344" spans="1:12" s="19" customFormat="1">
      <c r="A344"/>
      <c r="B344" s="1"/>
      <c r="C344" s="1"/>
      <c r="D344" s="1"/>
      <c r="E344" s="1"/>
      <c r="F344" s="1"/>
      <c r="G344" s="1"/>
      <c r="H344" s="1"/>
      <c r="I344" s="1"/>
      <c r="J344" s="1"/>
      <c r="K344" s="1"/>
      <c r="L344" s="1"/>
    </row>
    <row r="345" spans="1:12" s="19" customFormat="1">
      <c r="A345"/>
      <c r="B345" s="1"/>
      <c r="C345" s="1"/>
      <c r="D345" s="1"/>
      <c r="E345" s="1"/>
      <c r="F345" s="1"/>
      <c r="G345" s="1"/>
      <c r="H345" s="1"/>
      <c r="I345" s="1"/>
      <c r="J345" s="1"/>
      <c r="K345" s="1"/>
      <c r="L345" s="1"/>
    </row>
    <row r="346" spans="1:12" s="19" customFormat="1">
      <c r="A346"/>
      <c r="B346" s="1"/>
      <c r="C346" s="1"/>
      <c r="D346" s="1"/>
      <c r="E346" s="1"/>
      <c r="F346" s="1"/>
      <c r="G346" s="1"/>
      <c r="H346" s="1"/>
      <c r="I346" s="1"/>
      <c r="J346" s="1"/>
      <c r="K346" s="1"/>
      <c r="L346" s="1"/>
    </row>
    <row r="347" spans="1:12" s="19" customFormat="1">
      <c r="A347"/>
      <c r="B347" s="1"/>
      <c r="C347" s="1"/>
      <c r="D347" s="1"/>
      <c r="E347" s="1"/>
      <c r="F347" s="1"/>
      <c r="G347" s="1"/>
      <c r="H347" s="1"/>
      <c r="I347" s="1"/>
      <c r="J347" s="1"/>
      <c r="K347" s="1"/>
      <c r="L347" s="1"/>
    </row>
    <row r="348" spans="1:12" s="19" customFormat="1">
      <c r="A348"/>
      <c r="B348" s="1"/>
      <c r="C348" s="1"/>
      <c r="D348" s="1"/>
      <c r="E348" s="1"/>
      <c r="F348" s="1"/>
      <c r="G348" s="1"/>
      <c r="H348" s="1"/>
      <c r="I348" s="1"/>
      <c r="J348" s="1"/>
      <c r="K348" s="1"/>
      <c r="L348" s="1"/>
    </row>
    <row r="349" spans="1:12" s="19" customFormat="1">
      <c r="A349"/>
      <c r="B349" s="1"/>
      <c r="C349" s="1"/>
      <c r="D349" s="1"/>
      <c r="E349" s="1"/>
      <c r="F349" s="1"/>
      <c r="G349" s="1"/>
      <c r="H349" s="1"/>
      <c r="I349" s="1"/>
      <c r="J349" s="1"/>
      <c r="K349" s="1"/>
      <c r="L349" s="1"/>
    </row>
    <row r="350" spans="1:12" s="19" customFormat="1">
      <c r="A350"/>
      <c r="B350" s="1"/>
      <c r="C350" s="1"/>
      <c r="D350" s="1"/>
      <c r="E350" s="1"/>
      <c r="F350" s="1"/>
      <c r="G350" s="1"/>
      <c r="H350" s="1"/>
      <c r="I350" s="1"/>
      <c r="J350" s="1"/>
      <c r="K350" s="1"/>
      <c r="L350" s="1"/>
    </row>
    <row r="351" spans="1:12" s="19" customFormat="1">
      <c r="A351"/>
      <c r="B351" s="1"/>
      <c r="C351" s="1"/>
      <c r="D351" s="1"/>
      <c r="E351" s="1"/>
      <c r="F351" s="1"/>
      <c r="G351" s="1"/>
      <c r="H351" s="1"/>
      <c r="I351" s="1"/>
      <c r="J351" s="1"/>
      <c r="K351" s="1"/>
      <c r="L351" s="1"/>
    </row>
    <row r="352" spans="1:12" s="19" customFormat="1">
      <c r="A352"/>
      <c r="B352" s="1"/>
      <c r="C352" s="1"/>
      <c r="D352" s="1"/>
      <c r="E352" s="1"/>
      <c r="F352" s="1"/>
      <c r="G352" s="1"/>
      <c r="H352" s="1"/>
      <c r="I352" s="1"/>
      <c r="J352" s="1"/>
      <c r="K352" s="1"/>
      <c r="L352" s="1"/>
    </row>
    <row r="353" spans="1:12" s="19" customFormat="1">
      <c r="A353"/>
      <c r="B353" s="1"/>
      <c r="C353" s="1"/>
      <c r="D353" s="1"/>
      <c r="E353" s="1"/>
      <c r="F353" s="1"/>
      <c r="G353" s="1"/>
      <c r="H353" s="1"/>
      <c r="I353" s="1"/>
      <c r="J353" s="1"/>
      <c r="K353" s="1"/>
      <c r="L353" s="1"/>
    </row>
    <row r="354" spans="1:12" s="19" customFormat="1">
      <c r="A354"/>
      <c r="B354" s="1"/>
      <c r="C354" s="1"/>
      <c r="D354" s="1"/>
      <c r="E354" s="1"/>
      <c r="F354" s="1"/>
      <c r="G354" s="1"/>
      <c r="H354" s="1"/>
      <c r="I354" s="1"/>
      <c r="J354" s="1"/>
      <c r="K354" s="1"/>
      <c r="L354" s="1"/>
    </row>
    <row r="355" spans="1:12" s="19" customFormat="1">
      <c r="A355"/>
      <c r="B355" s="1"/>
      <c r="C355" s="1"/>
      <c r="D355" s="1"/>
      <c r="E355" s="1"/>
      <c r="F355" s="1"/>
      <c r="G355" s="1"/>
      <c r="H355" s="1"/>
      <c r="I355" s="1"/>
      <c r="J355" s="1"/>
      <c r="K355" s="1"/>
      <c r="L355" s="1"/>
    </row>
    <row r="356" spans="1:12" s="19" customFormat="1">
      <c r="A356"/>
      <c r="B356" s="1"/>
      <c r="C356" s="1"/>
      <c r="D356" s="1"/>
      <c r="E356" s="1"/>
      <c r="F356" s="1"/>
      <c r="G356" s="1"/>
      <c r="H356" s="1"/>
      <c r="I356" s="1"/>
      <c r="J356" s="1"/>
      <c r="K356" s="1"/>
      <c r="L356" s="1"/>
    </row>
    <row r="357" spans="1:12" s="19" customFormat="1">
      <c r="A357"/>
      <c r="B357" s="1"/>
      <c r="C357" s="1"/>
      <c r="D357" s="1"/>
      <c r="E357" s="1"/>
      <c r="F357" s="1"/>
      <c r="G357" s="1"/>
      <c r="H357" s="1"/>
      <c r="I357" s="1"/>
      <c r="J357" s="1"/>
      <c r="K357" s="1"/>
      <c r="L357" s="1"/>
    </row>
    <row r="358" spans="1:12" s="19" customFormat="1">
      <c r="A358"/>
      <c r="B358" s="1"/>
      <c r="C358" s="1"/>
      <c r="D358" s="1"/>
      <c r="E358" s="1"/>
      <c r="F358" s="1"/>
      <c r="G358" s="1"/>
      <c r="H358" s="1"/>
      <c r="I358" s="1"/>
      <c r="J358" s="1"/>
      <c r="K358" s="1"/>
      <c r="L358" s="1"/>
    </row>
    <row r="359" spans="1:12" s="19" customFormat="1">
      <c r="A359"/>
      <c r="B359" s="1"/>
      <c r="C359" s="1"/>
      <c r="D359" s="1"/>
      <c r="E359" s="1"/>
      <c r="F359" s="1"/>
      <c r="G359" s="1"/>
      <c r="H359" s="1"/>
      <c r="I359" s="1"/>
      <c r="J359" s="1"/>
      <c r="K359" s="1"/>
      <c r="L359" s="1"/>
    </row>
    <row r="360" spans="1:12" s="19" customFormat="1">
      <c r="A360"/>
      <c r="B360" s="1"/>
      <c r="C360" s="1"/>
      <c r="D360" s="1"/>
      <c r="E360" s="1"/>
      <c r="F360" s="1"/>
      <c r="G360" s="1"/>
      <c r="H360" s="1"/>
      <c r="I360" s="1"/>
      <c r="J360" s="1"/>
      <c r="K360" s="1"/>
      <c r="L360" s="1"/>
    </row>
    <row r="361" spans="1:12" s="19" customFormat="1">
      <c r="A361"/>
      <c r="B361" s="1"/>
      <c r="C361" s="1"/>
      <c r="D361" s="1"/>
      <c r="E361" s="1"/>
      <c r="F361" s="1"/>
      <c r="G361" s="1"/>
      <c r="H361" s="1"/>
      <c r="I361" s="1"/>
      <c r="J361" s="1"/>
      <c r="K361" s="1"/>
      <c r="L361" s="1"/>
    </row>
    <row r="362" spans="1:12" s="19" customFormat="1">
      <c r="A362"/>
      <c r="B362" s="1"/>
      <c r="C362" s="1"/>
      <c r="D362" s="1"/>
      <c r="E362" s="1"/>
      <c r="F362" s="1"/>
      <c r="G362" s="1"/>
      <c r="H362" s="1"/>
      <c r="I362" s="1"/>
      <c r="J362" s="1"/>
      <c r="K362" s="1"/>
      <c r="L362" s="1"/>
    </row>
    <row r="363" spans="1:12" s="19" customFormat="1">
      <c r="A363"/>
      <c r="B363" s="1"/>
      <c r="C363" s="1"/>
      <c r="D363" s="1"/>
      <c r="E363" s="1"/>
      <c r="F363" s="1"/>
      <c r="G363" s="1"/>
      <c r="H363" s="1"/>
      <c r="I363" s="1"/>
      <c r="J363" s="1"/>
      <c r="K363" s="1"/>
      <c r="L363" s="1"/>
    </row>
    <row r="364" spans="1:12" s="19" customFormat="1">
      <c r="A364"/>
      <c r="B364" s="1"/>
      <c r="C364" s="1"/>
      <c r="D364" s="1"/>
      <c r="E364" s="1"/>
      <c r="F364" s="1"/>
      <c r="G364" s="1"/>
      <c r="H364" s="1"/>
      <c r="I364" s="1"/>
      <c r="J364" s="1"/>
      <c r="K364" s="1"/>
      <c r="L364" s="1"/>
    </row>
    <row r="365" spans="1:12" s="19" customFormat="1">
      <c r="A365"/>
      <c r="B365" s="1"/>
      <c r="C365" s="1"/>
      <c r="D365" s="1"/>
      <c r="E365" s="1"/>
      <c r="F365" s="1"/>
      <c r="G365" s="1"/>
      <c r="H365" s="1"/>
      <c r="I365" s="1"/>
      <c r="J365" s="1"/>
      <c r="K365" s="1"/>
      <c r="L365" s="1"/>
    </row>
    <row r="366" spans="1:12" s="19" customFormat="1">
      <c r="A366"/>
      <c r="B366" s="1"/>
      <c r="C366" s="1"/>
      <c r="D366" s="1"/>
      <c r="E366" s="1"/>
      <c r="F366" s="1"/>
      <c r="G366" s="1"/>
      <c r="H366" s="1"/>
      <c r="I366" s="1"/>
      <c r="J366" s="1"/>
      <c r="K366" s="1"/>
      <c r="L366" s="1"/>
    </row>
    <row r="367" spans="1:12" s="19" customFormat="1">
      <c r="A367"/>
      <c r="B367" s="1"/>
      <c r="C367" s="1"/>
      <c r="D367" s="1"/>
      <c r="E367" s="1"/>
      <c r="F367" s="1"/>
      <c r="G367" s="1"/>
      <c r="H367" s="1"/>
      <c r="I367" s="1"/>
      <c r="J367" s="1"/>
      <c r="K367" s="1"/>
      <c r="L367" s="1"/>
    </row>
    <row r="368" spans="1:12" s="19" customFormat="1">
      <c r="A368"/>
      <c r="B368" s="1"/>
      <c r="C368" s="1"/>
      <c r="D368" s="1"/>
      <c r="E368" s="1"/>
      <c r="F368" s="1"/>
      <c r="G368" s="1"/>
      <c r="H368" s="1"/>
      <c r="I368" s="1"/>
      <c r="J368" s="1"/>
      <c r="K368" s="1"/>
      <c r="L368" s="1"/>
    </row>
    <row r="369" spans="1:12" s="19" customFormat="1">
      <c r="A369"/>
      <c r="B369" s="1"/>
      <c r="C369" s="1"/>
      <c r="D369" s="1"/>
      <c r="E369" s="1"/>
      <c r="F369" s="1"/>
      <c r="G369" s="1"/>
      <c r="H369" s="1"/>
      <c r="I369" s="1"/>
      <c r="J369" s="1"/>
      <c r="K369" s="1"/>
      <c r="L369" s="1"/>
    </row>
    <row r="370" spans="1:12" s="19" customFormat="1">
      <c r="A370"/>
      <c r="B370" s="1"/>
      <c r="C370" s="1"/>
      <c r="D370" s="1"/>
      <c r="E370" s="1"/>
      <c r="F370" s="1"/>
      <c r="G370" s="1"/>
      <c r="H370" s="1"/>
      <c r="I370" s="1"/>
      <c r="J370" s="1"/>
      <c r="K370" s="1"/>
      <c r="L370" s="1"/>
    </row>
    <row r="371" spans="1:12" s="19" customFormat="1">
      <c r="A371"/>
      <c r="B371" s="1"/>
      <c r="C371" s="1"/>
      <c r="D371" s="1"/>
      <c r="E371" s="1"/>
      <c r="F371" s="1"/>
      <c r="G371" s="1"/>
      <c r="H371" s="1"/>
      <c r="I371" s="1"/>
      <c r="J371" s="1"/>
      <c r="K371" s="1"/>
      <c r="L371" s="1"/>
    </row>
    <row r="372" spans="1:12" s="19" customFormat="1">
      <c r="A372"/>
      <c r="B372" s="1"/>
      <c r="C372" s="1"/>
      <c r="D372" s="1"/>
      <c r="E372" s="1"/>
      <c r="F372" s="1"/>
      <c r="G372" s="1"/>
      <c r="H372" s="1"/>
      <c r="I372" s="1"/>
      <c r="J372" s="1"/>
      <c r="K372" s="1"/>
      <c r="L372" s="1"/>
    </row>
    <row r="373" spans="1:12" s="19" customFormat="1">
      <c r="A373"/>
      <c r="B373" s="1"/>
      <c r="C373" s="1"/>
      <c r="D373" s="1"/>
      <c r="E373" s="1"/>
      <c r="F373" s="1"/>
      <c r="G373" s="1"/>
      <c r="H373" s="1"/>
      <c r="I373" s="1"/>
      <c r="J373" s="1"/>
      <c r="K373" s="1"/>
      <c r="L373" s="1"/>
    </row>
    <row r="374" spans="1:12" s="19" customFormat="1">
      <c r="A374"/>
      <c r="B374" s="1"/>
      <c r="C374" s="1"/>
      <c r="D374" s="1"/>
      <c r="E374" s="1"/>
      <c r="F374" s="1"/>
      <c r="G374" s="1"/>
      <c r="H374" s="1"/>
      <c r="I374" s="1"/>
      <c r="J374" s="1"/>
      <c r="K374" s="1"/>
      <c r="L374" s="1"/>
    </row>
    <row r="375" spans="1:12" s="19" customFormat="1">
      <c r="A375"/>
      <c r="B375" s="1"/>
      <c r="C375" s="1"/>
      <c r="D375" s="1"/>
      <c r="E375" s="1"/>
      <c r="F375" s="1"/>
      <c r="G375" s="1"/>
      <c r="H375" s="1"/>
      <c r="I375" s="1"/>
      <c r="J375" s="1"/>
      <c r="K375" s="1"/>
      <c r="L375" s="1"/>
    </row>
    <row r="376" spans="1:12" s="19" customFormat="1">
      <c r="A376"/>
      <c r="B376" s="1"/>
      <c r="C376" s="1"/>
      <c r="D376" s="1"/>
      <c r="E376" s="1"/>
      <c r="F376" s="1"/>
      <c r="G376" s="1"/>
      <c r="H376" s="1"/>
      <c r="I376" s="1"/>
      <c r="J376" s="1"/>
      <c r="K376" s="1"/>
      <c r="L376" s="1"/>
    </row>
    <row r="377" spans="1:12" s="19" customFormat="1">
      <c r="A377"/>
      <c r="B377" s="1"/>
      <c r="C377" s="1"/>
      <c r="D377" s="1"/>
      <c r="E377" s="1"/>
      <c r="F377" s="1"/>
      <c r="G377" s="1"/>
      <c r="H377" s="1"/>
      <c r="I377" s="1"/>
      <c r="J377" s="1"/>
      <c r="K377" s="1"/>
      <c r="L377" s="1"/>
    </row>
    <row r="378" spans="1:12" s="19" customFormat="1">
      <c r="A378"/>
      <c r="B378" s="1"/>
      <c r="C378" s="1"/>
      <c r="D378" s="1"/>
      <c r="E378" s="1"/>
      <c r="F378" s="1"/>
      <c r="G378" s="1"/>
      <c r="H378" s="1"/>
      <c r="I378" s="1"/>
      <c r="J378" s="1"/>
      <c r="K378" s="1"/>
      <c r="L378" s="1"/>
    </row>
    <row r="379" spans="1:12" s="19" customFormat="1">
      <c r="A379"/>
      <c r="B379" s="1"/>
      <c r="C379" s="1"/>
      <c r="D379" s="1"/>
      <c r="E379" s="1"/>
      <c r="F379" s="1"/>
      <c r="G379" s="1"/>
      <c r="H379" s="1"/>
      <c r="I379" s="1"/>
      <c r="J379" s="1"/>
      <c r="K379" s="1"/>
      <c r="L379" s="1"/>
    </row>
    <row r="380" spans="1:12" s="19" customFormat="1">
      <c r="A380"/>
      <c r="B380" s="1"/>
      <c r="C380" s="1"/>
      <c r="D380" s="1"/>
      <c r="E380" s="1"/>
      <c r="F380" s="1"/>
      <c r="G380" s="1"/>
      <c r="H380" s="1"/>
      <c r="I380" s="1"/>
      <c r="J380" s="1"/>
      <c r="K380" s="1"/>
      <c r="L380" s="1"/>
    </row>
    <row r="381" spans="1:12" s="19" customFormat="1">
      <c r="A381"/>
      <c r="B381" s="1"/>
      <c r="C381" s="1"/>
      <c r="D381" s="1"/>
      <c r="E381" s="1"/>
      <c r="F381" s="1"/>
      <c r="G381" s="1"/>
      <c r="H381" s="1"/>
      <c r="I381" s="1"/>
      <c r="J381" s="1"/>
      <c r="K381" s="1"/>
      <c r="L381" s="1"/>
    </row>
    <row r="382" spans="1:12" s="19" customFormat="1">
      <c r="A382"/>
      <c r="B382" s="1"/>
      <c r="C382" s="1"/>
      <c r="D382" s="1"/>
      <c r="E382" s="1"/>
      <c r="F382" s="1"/>
      <c r="G382" s="1"/>
      <c r="H382" s="1"/>
      <c r="I382" s="1"/>
      <c r="J382" s="1"/>
      <c r="K382" s="1"/>
      <c r="L382" s="1"/>
    </row>
    <row r="383" spans="1:12" s="19" customFormat="1">
      <c r="A383"/>
      <c r="B383"/>
      <c r="C383"/>
      <c r="D383"/>
      <c r="E383"/>
      <c r="F383"/>
      <c r="G383"/>
      <c r="H383"/>
      <c r="I383"/>
      <c r="J383"/>
      <c r="K383"/>
      <c r="L383"/>
    </row>
    <row r="384" spans="1:12" s="19" customFormat="1">
      <c r="A384"/>
      <c r="B384"/>
      <c r="C384"/>
      <c r="D384"/>
      <c r="E384"/>
      <c r="F384"/>
      <c r="G384"/>
      <c r="H384"/>
      <c r="I384"/>
      <c r="J384"/>
      <c r="K384"/>
      <c r="L384"/>
    </row>
    <row r="385" spans="1:12" s="19" customFormat="1">
      <c r="A385"/>
      <c r="B385"/>
      <c r="C385"/>
      <c r="D385"/>
      <c r="E385"/>
      <c r="F385"/>
      <c r="G385"/>
      <c r="H385"/>
      <c r="I385"/>
      <c r="J385"/>
      <c r="K385"/>
      <c r="L385"/>
    </row>
    <row r="386" spans="1:12" s="19" customFormat="1">
      <c r="A386"/>
      <c r="B386"/>
      <c r="C386"/>
      <c r="D386"/>
      <c r="E386"/>
      <c r="F386"/>
      <c r="G386"/>
      <c r="H386"/>
      <c r="I386"/>
      <c r="J386"/>
      <c r="K386"/>
      <c r="L386"/>
    </row>
    <row r="387" spans="1:12" s="19" customFormat="1">
      <c r="A387"/>
      <c r="B387"/>
      <c r="C387"/>
      <c r="D387"/>
      <c r="E387"/>
      <c r="F387"/>
      <c r="G387"/>
      <c r="H387"/>
      <c r="I387"/>
      <c r="J387"/>
      <c r="K387"/>
      <c r="L387"/>
    </row>
    <row r="388" spans="1:12" s="19" customFormat="1">
      <c r="A388"/>
      <c r="B388"/>
      <c r="C388"/>
      <c r="D388"/>
      <c r="E388"/>
      <c r="F388"/>
      <c r="G388"/>
      <c r="H388"/>
      <c r="I388"/>
      <c r="J388"/>
      <c r="K388"/>
      <c r="L388"/>
    </row>
    <row r="389" spans="1:12" s="19" customFormat="1">
      <c r="A389"/>
      <c r="B389"/>
      <c r="C389"/>
      <c r="D389"/>
      <c r="E389"/>
      <c r="F389"/>
      <c r="G389"/>
      <c r="H389"/>
      <c r="I389"/>
      <c r="J389"/>
      <c r="K389"/>
      <c r="L389"/>
    </row>
    <row r="390" spans="1:12" s="19" customFormat="1">
      <c r="A390"/>
      <c r="B390"/>
      <c r="C390"/>
      <c r="D390"/>
      <c r="E390"/>
      <c r="F390"/>
      <c r="G390"/>
      <c r="H390"/>
      <c r="I390"/>
      <c r="J390"/>
      <c r="K390"/>
      <c r="L390"/>
    </row>
    <row r="391" spans="1:12" s="19" customFormat="1">
      <c r="A391"/>
      <c r="B391"/>
      <c r="C391"/>
      <c r="D391"/>
      <c r="E391"/>
      <c r="F391"/>
      <c r="G391"/>
      <c r="H391"/>
      <c r="I391"/>
      <c r="J391"/>
      <c r="K391"/>
      <c r="L391"/>
    </row>
    <row r="392" spans="1:12" s="19" customFormat="1">
      <c r="A392"/>
      <c r="B392"/>
      <c r="C392"/>
      <c r="D392"/>
      <c r="E392"/>
      <c r="F392"/>
      <c r="G392"/>
      <c r="H392"/>
      <c r="I392"/>
      <c r="J392"/>
      <c r="K392"/>
      <c r="L392"/>
    </row>
    <row r="393" spans="1:12" s="19" customFormat="1">
      <c r="A393"/>
      <c r="B393"/>
      <c r="C393"/>
      <c r="D393"/>
      <c r="E393"/>
      <c r="F393"/>
      <c r="G393"/>
      <c r="H393"/>
      <c r="I393"/>
      <c r="J393"/>
      <c r="K393"/>
      <c r="L393"/>
    </row>
    <row r="394" spans="1:12" s="19" customFormat="1">
      <c r="A394"/>
      <c r="B394"/>
      <c r="C394"/>
      <c r="D394"/>
      <c r="E394"/>
      <c r="F394"/>
      <c r="G394"/>
      <c r="H394"/>
      <c r="I394"/>
      <c r="J394"/>
      <c r="K394"/>
      <c r="L394"/>
    </row>
    <row r="395" spans="1:12" s="19" customFormat="1">
      <c r="A395"/>
      <c r="B395"/>
      <c r="C395"/>
      <c r="D395"/>
      <c r="E395"/>
      <c r="F395"/>
      <c r="G395"/>
      <c r="H395"/>
      <c r="I395"/>
      <c r="J395"/>
      <c r="K395"/>
      <c r="L395"/>
    </row>
    <row r="396" spans="1:12" s="19" customFormat="1">
      <c r="A396"/>
      <c r="B396"/>
      <c r="C396"/>
      <c r="D396"/>
      <c r="E396"/>
      <c r="F396"/>
      <c r="G396"/>
      <c r="H396"/>
      <c r="I396"/>
      <c r="J396"/>
      <c r="K396"/>
      <c r="L396"/>
    </row>
    <row r="397" spans="1:12" s="19" customFormat="1">
      <c r="A397"/>
      <c r="B397"/>
      <c r="C397"/>
      <c r="D397"/>
      <c r="E397"/>
      <c r="F397"/>
      <c r="G397"/>
      <c r="H397"/>
      <c r="I397"/>
      <c r="J397"/>
      <c r="K397"/>
      <c r="L397"/>
    </row>
    <row r="398" spans="1:12" s="19" customFormat="1">
      <c r="A398"/>
      <c r="B398"/>
      <c r="C398"/>
      <c r="D398"/>
      <c r="E398"/>
      <c r="F398"/>
      <c r="G398"/>
      <c r="H398"/>
      <c r="I398"/>
      <c r="J398"/>
      <c r="K398"/>
      <c r="L398"/>
    </row>
    <row r="399" spans="1:12" s="19" customFormat="1">
      <c r="A399"/>
      <c r="B399"/>
      <c r="C399"/>
      <c r="D399"/>
      <c r="E399"/>
      <c r="F399"/>
      <c r="G399"/>
      <c r="H399"/>
      <c r="I399"/>
      <c r="J399"/>
      <c r="K399"/>
      <c r="L399"/>
    </row>
    <row r="400" spans="1:12" s="19" customFormat="1">
      <c r="A400"/>
      <c r="B400"/>
      <c r="C400"/>
      <c r="D400"/>
      <c r="E400"/>
      <c r="F400"/>
      <c r="G400"/>
      <c r="H400"/>
      <c r="I400"/>
      <c r="J400"/>
      <c r="K400"/>
      <c r="L400"/>
    </row>
    <row r="401" spans="1:12" s="19" customFormat="1">
      <c r="A401"/>
      <c r="B401"/>
      <c r="C401"/>
      <c r="D401"/>
      <c r="E401"/>
      <c r="F401"/>
      <c r="G401"/>
      <c r="H401"/>
      <c r="I401"/>
      <c r="J401"/>
      <c r="K401"/>
      <c r="L401"/>
    </row>
    <row r="402" spans="1:12" s="19" customFormat="1">
      <c r="A402"/>
      <c r="B402"/>
      <c r="C402"/>
      <c r="D402"/>
      <c r="E402"/>
      <c r="F402"/>
      <c r="G402"/>
      <c r="H402"/>
      <c r="I402"/>
      <c r="J402"/>
      <c r="K402"/>
      <c r="L402"/>
    </row>
    <row r="403" spans="1:12" s="19" customFormat="1">
      <c r="A403"/>
      <c r="B403"/>
      <c r="C403"/>
      <c r="D403"/>
      <c r="E403"/>
      <c r="F403"/>
      <c r="G403"/>
      <c r="H403"/>
      <c r="I403"/>
      <c r="J403"/>
      <c r="K403"/>
      <c r="L403"/>
    </row>
    <row r="404" spans="1:12" s="19" customFormat="1">
      <c r="A404"/>
      <c r="B404"/>
      <c r="C404"/>
      <c r="D404"/>
      <c r="E404"/>
      <c r="F404"/>
      <c r="G404"/>
      <c r="H404"/>
      <c r="I404"/>
      <c r="J404"/>
      <c r="K404"/>
      <c r="L404"/>
    </row>
    <row r="405" spans="1:12" s="19" customFormat="1">
      <c r="A405"/>
      <c r="B405"/>
      <c r="C405"/>
      <c r="D405"/>
      <c r="E405"/>
      <c r="F405"/>
      <c r="G405"/>
      <c r="H405"/>
      <c r="I405"/>
      <c r="J405"/>
      <c r="K405"/>
      <c r="L405"/>
    </row>
    <row r="406" spans="1:12" s="19" customFormat="1">
      <c r="A406"/>
      <c r="B406"/>
      <c r="C406"/>
      <c r="D406"/>
      <c r="E406"/>
      <c r="F406"/>
      <c r="G406"/>
      <c r="H406"/>
      <c r="I406"/>
      <c r="J406"/>
      <c r="K406"/>
      <c r="L406"/>
    </row>
    <row r="407" spans="1:12" s="19" customFormat="1">
      <c r="A407"/>
      <c r="B407"/>
      <c r="C407"/>
      <c r="D407"/>
      <c r="E407"/>
      <c r="F407"/>
      <c r="G407"/>
      <c r="H407"/>
      <c r="I407"/>
      <c r="J407"/>
      <c r="K407"/>
      <c r="L407"/>
    </row>
    <row r="408" spans="1:12" s="19" customFormat="1">
      <c r="A408"/>
      <c r="B408"/>
      <c r="C408"/>
      <c r="D408"/>
      <c r="E408"/>
      <c r="F408"/>
      <c r="G408"/>
      <c r="H408"/>
      <c r="I408"/>
      <c r="J408"/>
      <c r="K408"/>
      <c r="L408"/>
    </row>
    <row r="409" spans="1:12" s="19" customFormat="1">
      <c r="A409"/>
      <c r="B409"/>
      <c r="C409"/>
      <c r="D409"/>
      <c r="E409"/>
      <c r="F409"/>
      <c r="G409"/>
      <c r="H409"/>
      <c r="I409"/>
      <c r="J409"/>
      <c r="K409"/>
      <c r="L409"/>
    </row>
    <row r="410" spans="1:12" s="19" customFormat="1">
      <c r="A410"/>
      <c r="B410"/>
      <c r="C410"/>
      <c r="D410"/>
      <c r="E410"/>
      <c r="F410"/>
      <c r="G410"/>
      <c r="H410"/>
      <c r="I410"/>
      <c r="J410"/>
      <c r="K410"/>
      <c r="L410"/>
    </row>
    <row r="411" spans="1:12" s="19" customFormat="1">
      <c r="A411"/>
      <c r="B411"/>
      <c r="C411"/>
      <c r="D411"/>
      <c r="E411"/>
      <c r="F411"/>
      <c r="G411"/>
      <c r="H411"/>
      <c r="I411"/>
      <c r="J411"/>
      <c r="K411"/>
      <c r="L411"/>
    </row>
    <row r="412" spans="1:12" s="19" customFormat="1">
      <c r="A412"/>
      <c r="B412"/>
      <c r="C412"/>
      <c r="D412"/>
      <c r="E412"/>
      <c r="F412"/>
      <c r="G412"/>
      <c r="H412"/>
      <c r="I412"/>
      <c r="J412"/>
      <c r="K412"/>
      <c r="L412"/>
    </row>
    <row r="413" spans="1:12" s="19" customFormat="1">
      <c r="A413"/>
      <c r="B413"/>
      <c r="C413"/>
      <c r="D413"/>
      <c r="E413"/>
      <c r="F413"/>
      <c r="G413"/>
      <c r="H413"/>
      <c r="I413"/>
      <c r="J413"/>
      <c r="K413"/>
      <c r="L413"/>
    </row>
    <row r="414" spans="1:12" s="19" customFormat="1">
      <c r="A414"/>
      <c r="B414"/>
      <c r="C414"/>
      <c r="D414"/>
      <c r="E414"/>
      <c r="F414"/>
      <c r="G414"/>
      <c r="H414"/>
      <c r="I414"/>
      <c r="J414"/>
      <c r="K414"/>
      <c r="L414"/>
    </row>
    <row r="415" spans="1:12" s="19" customFormat="1">
      <c r="A415"/>
      <c r="B415"/>
      <c r="C415"/>
      <c r="D415"/>
      <c r="E415"/>
      <c r="F415"/>
      <c r="G415"/>
      <c r="H415"/>
      <c r="I415"/>
      <c r="J415"/>
      <c r="K415"/>
      <c r="L415"/>
    </row>
    <row r="416" spans="1:12" s="19" customFormat="1">
      <c r="A416"/>
      <c r="B416"/>
      <c r="C416"/>
      <c r="D416"/>
      <c r="E416"/>
      <c r="F416"/>
      <c r="G416"/>
      <c r="H416"/>
      <c r="I416"/>
      <c r="J416"/>
      <c r="K416"/>
      <c r="L416"/>
    </row>
    <row r="417" spans="1:12" s="19" customFormat="1">
      <c r="A417"/>
      <c r="B417"/>
      <c r="C417"/>
      <c r="D417"/>
      <c r="E417"/>
      <c r="F417"/>
      <c r="G417"/>
      <c r="H417"/>
      <c r="I417"/>
      <c r="J417"/>
      <c r="K417"/>
      <c r="L417"/>
    </row>
    <row r="418" spans="1:12" s="19" customFormat="1">
      <c r="A418"/>
      <c r="B418"/>
      <c r="C418"/>
      <c r="D418"/>
      <c r="E418"/>
      <c r="F418"/>
      <c r="G418"/>
      <c r="H418"/>
      <c r="I418"/>
      <c r="J418"/>
      <c r="K418"/>
      <c r="L418"/>
    </row>
    <row r="419" spans="1:12" s="19" customFormat="1">
      <c r="A419"/>
      <c r="B419"/>
      <c r="C419"/>
      <c r="D419"/>
      <c r="E419"/>
      <c r="F419"/>
      <c r="G419"/>
      <c r="H419"/>
      <c r="I419"/>
      <c r="J419"/>
      <c r="K419"/>
      <c r="L419"/>
    </row>
    <row r="420" spans="1:12" s="19" customFormat="1">
      <c r="A420"/>
      <c r="B420"/>
      <c r="C420"/>
      <c r="D420"/>
      <c r="E420"/>
      <c r="F420"/>
      <c r="G420"/>
      <c r="H420"/>
      <c r="I420"/>
      <c r="J420"/>
      <c r="K420"/>
      <c r="L420"/>
    </row>
    <row r="421" spans="1:12" s="19" customFormat="1">
      <c r="A421"/>
      <c r="B421"/>
      <c r="C421"/>
      <c r="D421"/>
      <c r="E421"/>
      <c r="F421"/>
      <c r="G421"/>
      <c r="H421"/>
      <c r="I421"/>
      <c r="J421"/>
      <c r="K421"/>
      <c r="L421"/>
    </row>
    <row r="422" spans="1:12" s="19" customFormat="1">
      <c r="A422"/>
      <c r="B422"/>
      <c r="C422"/>
      <c r="D422"/>
      <c r="E422"/>
      <c r="F422"/>
      <c r="G422"/>
      <c r="H422"/>
      <c r="I422"/>
      <c r="J422"/>
      <c r="K422"/>
      <c r="L422"/>
    </row>
    <row r="423" spans="1:12" s="19" customFormat="1">
      <c r="A423"/>
      <c r="B423"/>
      <c r="C423"/>
      <c r="D423"/>
      <c r="E423"/>
      <c r="F423"/>
      <c r="G423"/>
      <c r="H423"/>
      <c r="I423"/>
      <c r="J423"/>
      <c r="K423"/>
      <c r="L423"/>
    </row>
    <row r="424" spans="1:12" s="19" customFormat="1">
      <c r="A424"/>
      <c r="B424"/>
      <c r="C424"/>
      <c r="D424"/>
      <c r="E424"/>
      <c r="F424"/>
      <c r="G424"/>
      <c r="H424"/>
      <c r="I424"/>
      <c r="J424"/>
      <c r="K424"/>
      <c r="L424"/>
    </row>
    <row r="425" spans="1:12" s="19" customFormat="1">
      <c r="A425"/>
      <c r="B425"/>
      <c r="C425"/>
      <c r="D425"/>
      <c r="E425"/>
      <c r="F425"/>
      <c r="G425"/>
      <c r="H425"/>
      <c r="I425"/>
      <c r="J425"/>
      <c r="K425"/>
      <c r="L425"/>
    </row>
    <row r="426" spans="1:12" s="19" customFormat="1">
      <c r="A426"/>
      <c r="B426"/>
      <c r="C426"/>
      <c r="D426"/>
      <c r="E426"/>
      <c r="F426"/>
      <c r="G426"/>
      <c r="H426"/>
      <c r="I426"/>
      <c r="J426"/>
      <c r="K426"/>
      <c r="L426"/>
    </row>
    <row r="427" spans="1:12" s="19" customFormat="1">
      <c r="A427"/>
      <c r="B427"/>
      <c r="C427"/>
      <c r="D427"/>
      <c r="E427"/>
      <c r="F427"/>
      <c r="G427"/>
      <c r="H427"/>
      <c r="I427"/>
      <c r="J427"/>
      <c r="K427"/>
      <c r="L427"/>
    </row>
    <row r="428" spans="1:12" s="19" customFormat="1">
      <c r="A428"/>
      <c r="B428"/>
      <c r="C428"/>
      <c r="D428"/>
      <c r="E428"/>
      <c r="F428"/>
      <c r="G428"/>
      <c r="H428"/>
      <c r="I428"/>
      <c r="J428"/>
      <c r="K428"/>
      <c r="L428"/>
    </row>
    <row r="429" spans="1:12" s="19" customFormat="1">
      <c r="A429"/>
      <c r="B429"/>
      <c r="C429"/>
      <c r="D429"/>
      <c r="E429"/>
      <c r="F429"/>
      <c r="G429"/>
      <c r="H429"/>
      <c r="I429"/>
      <c r="J429"/>
      <c r="K429"/>
      <c r="L429"/>
    </row>
    <row r="430" spans="1:12" s="19" customFormat="1">
      <c r="A430"/>
      <c r="B430"/>
      <c r="C430"/>
      <c r="D430"/>
      <c r="E430"/>
      <c r="F430"/>
      <c r="G430"/>
      <c r="H430"/>
      <c r="I430"/>
      <c r="J430"/>
      <c r="K430"/>
      <c r="L430"/>
    </row>
    <row r="431" spans="1:12" s="19" customFormat="1">
      <c r="A431"/>
      <c r="B431"/>
      <c r="C431"/>
      <c r="D431"/>
      <c r="E431"/>
      <c r="F431"/>
      <c r="G431"/>
      <c r="H431"/>
      <c r="I431"/>
      <c r="J431"/>
      <c r="K431"/>
      <c r="L431"/>
    </row>
    <row r="432" spans="1:12" s="19" customFormat="1">
      <c r="A432"/>
      <c r="B432"/>
      <c r="C432"/>
      <c r="D432"/>
      <c r="E432"/>
      <c r="F432"/>
      <c r="G432"/>
      <c r="H432"/>
      <c r="I432"/>
      <c r="J432"/>
      <c r="K432"/>
      <c r="L432"/>
    </row>
    <row r="433" spans="1:12" s="19" customFormat="1">
      <c r="A433"/>
      <c r="B433"/>
      <c r="C433"/>
      <c r="D433"/>
      <c r="E433"/>
      <c r="F433"/>
      <c r="G433"/>
      <c r="H433"/>
      <c r="I433"/>
      <c r="J433"/>
      <c r="K433"/>
      <c r="L433"/>
    </row>
    <row r="434" spans="1:12" s="19" customFormat="1">
      <c r="A434"/>
      <c r="B434"/>
      <c r="C434"/>
      <c r="D434"/>
      <c r="E434"/>
      <c r="F434"/>
      <c r="G434"/>
      <c r="H434"/>
      <c r="I434"/>
      <c r="J434"/>
      <c r="K434"/>
      <c r="L434"/>
    </row>
    <row r="435" spans="1:12" s="19" customFormat="1">
      <c r="A435"/>
      <c r="B435"/>
      <c r="C435"/>
      <c r="D435"/>
      <c r="E435"/>
      <c r="F435"/>
      <c r="G435"/>
      <c r="H435"/>
      <c r="I435"/>
      <c r="J435"/>
      <c r="K435"/>
      <c r="L435"/>
    </row>
    <row r="436" spans="1:12" s="19" customFormat="1">
      <c r="A436"/>
      <c r="B436"/>
      <c r="C436"/>
      <c r="D436"/>
      <c r="E436"/>
      <c r="F436"/>
      <c r="G436"/>
      <c r="H436"/>
      <c r="I436"/>
      <c r="J436"/>
      <c r="K436"/>
      <c r="L436"/>
    </row>
    <row r="437" spans="1:12" s="19" customFormat="1">
      <c r="A437"/>
      <c r="B437"/>
      <c r="C437"/>
      <c r="D437"/>
      <c r="E437"/>
      <c r="F437"/>
      <c r="G437"/>
      <c r="H437"/>
      <c r="I437"/>
      <c r="J437"/>
      <c r="K437"/>
      <c r="L437"/>
    </row>
    <row r="438" spans="1:12" s="19" customFormat="1">
      <c r="A438"/>
      <c r="B438"/>
      <c r="C438"/>
      <c r="D438"/>
      <c r="E438"/>
      <c r="F438"/>
      <c r="G438"/>
      <c r="H438"/>
      <c r="I438"/>
      <c r="J438"/>
      <c r="K438"/>
      <c r="L438"/>
    </row>
    <row r="439" spans="1:12" s="19" customFormat="1">
      <c r="A439"/>
      <c r="B439"/>
      <c r="C439"/>
      <c r="D439"/>
      <c r="E439"/>
      <c r="F439"/>
      <c r="G439"/>
      <c r="H439"/>
      <c r="I439"/>
      <c r="J439"/>
      <c r="K439"/>
      <c r="L439"/>
    </row>
    <row r="440" spans="1:12" s="19" customFormat="1">
      <c r="A440"/>
      <c r="B440"/>
      <c r="C440"/>
      <c r="D440"/>
      <c r="E440"/>
      <c r="F440"/>
      <c r="G440"/>
      <c r="H440"/>
      <c r="I440"/>
      <c r="J440"/>
      <c r="K440"/>
      <c r="L440"/>
    </row>
    <row r="441" spans="1:12" s="19" customFormat="1">
      <c r="A441"/>
      <c r="B441"/>
      <c r="C441"/>
      <c r="D441"/>
      <c r="E441"/>
      <c r="F441"/>
      <c r="G441"/>
      <c r="H441"/>
      <c r="I441"/>
      <c r="J441"/>
      <c r="K441"/>
      <c r="L441"/>
    </row>
    <row r="442" spans="1:12" s="19" customFormat="1">
      <c r="A442"/>
      <c r="B442"/>
      <c r="C442"/>
      <c r="D442"/>
      <c r="E442"/>
      <c r="F442"/>
      <c r="G442"/>
      <c r="H442"/>
      <c r="I442"/>
      <c r="J442"/>
      <c r="K442"/>
      <c r="L442"/>
    </row>
    <row r="443" spans="1:12" s="19" customFormat="1">
      <c r="A443"/>
      <c r="B443"/>
      <c r="C443"/>
      <c r="D443"/>
      <c r="E443"/>
      <c r="F443"/>
      <c r="G443"/>
      <c r="H443"/>
      <c r="I443"/>
      <c r="J443"/>
      <c r="K443"/>
      <c r="L443"/>
    </row>
    <row r="444" spans="1:12" s="19" customFormat="1">
      <c r="A444"/>
      <c r="B444"/>
      <c r="C444"/>
      <c r="D444"/>
      <c r="E444"/>
      <c r="F444"/>
      <c r="G444"/>
      <c r="H444"/>
      <c r="I444"/>
      <c r="J444"/>
      <c r="K444"/>
      <c r="L444"/>
    </row>
    <row r="445" spans="1:12" s="19" customFormat="1">
      <c r="A445"/>
      <c r="B445"/>
      <c r="C445"/>
      <c r="D445"/>
      <c r="E445"/>
      <c r="F445"/>
      <c r="G445"/>
      <c r="H445"/>
      <c r="I445"/>
      <c r="J445"/>
      <c r="K445"/>
      <c r="L445"/>
    </row>
    <row r="446" spans="1:12" s="19" customFormat="1">
      <c r="A446"/>
      <c r="B446"/>
      <c r="C446"/>
      <c r="D446"/>
      <c r="E446"/>
      <c r="F446"/>
      <c r="G446"/>
      <c r="H446"/>
      <c r="I446"/>
      <c r="J446"/>
      <c r="K446"/>
      <c r="L446"/>
    </row>
    <row r="447" spans="1:12" s="19" customFormat="1">
      <c r="A447"/>
      <c r="B447"/>
      <c r="C447"/>
      <c r="D447"/>
      <c r="E447"/>
      <c r="F447"/>
      <c r="G447"/>
      <c r="H447"/>
      <c r="I447"/>
      <c r="J447"/>
      <c r="K447"/>
      <c r="L447"/>
    </row>
    <row r="448" spans="1:12" s="19" customFormat="1">
      <c r="A448"/>
      <c r="B448"/>
      <c r="C448"/>
      <c r="D448"/>
      <c r="E448"/>
      <c r="F448"/>
      <c r="G448"/>
      <c r="H448"/>
      <c r="I448"/>
      <c r="J448"/>
      <c r="K448"/>
      <c r="L448"/>
    </row>
    <row r="449" spans="1:12" s="19" customFormat="1">
      <c r="A449"/>
      <c r="B449"/>
      <c r="C449"/>
      <c r="D449"/>
      <c r="E449"/>
      <c r="F449"/>
      <c r="G449"/>
      <c r="H449"/>
      <c r="I449"/>
      <c r="J449"/>
      <c r="K449"/>
      <c r="L449"/>
    </row>
    <row r="450" spans="1:12" s="19" customFormat="1">
      <c r="A450"/>
      <c r="B450"/>
      <c r="C450"/>
      <c r="D450"/>
      <c r="E450"/>
      <c r="F450"/>
      <c r="G450"/>
      <c r="H450"/>
      <c r="I450"/>
      <c r="J450"/>
      <c r="K450"/>
      <c r="L450"/>
    </row>
    <row r="451" spans="1:12" s="19" customFormat="1">
      <c r="A451"/>
      <c r="B451"/>
      <c r="C451"/>
      <c r="D451"/>
      <c r="E451"/>
      <c r="F451"/>
      <c r="G451"/>
      <c r="H451"/>
      <c r="I451"/>
      <c r="J451"/>
      <c r="K451"/>
      <c r="L451"/>
    </row>
    <row r="452" spans="1:12" s="19" customFormat="1">
      <c r="A452"/>
      <c r="B452"/>
      <c r="C452"/>
      <c r="D452"/>
      <c r="E452"/>
      <c r="F452"/>
      <c r="G452"/>
      <c r="H452"/>
      <c r="I452"/>
      <c r="J452"/>
      <c r="K452"/>
      <c r="L452"/>
    </row>
    <row r="453" spans="1:12" s="19" customFormat="1">
      <c r="A453"/>
      <c r="B453"/>
      <c r="C453"/>
      <c r="D453"/>
      <c r="E453"/>
      <c r="F453"/>
      <c r="G453"/>
      <c r="H453"/>
      <c r="I453"/>
      <c r="J453"/>
      <c r="K453"/>
      <c r="L453"/>
    </row>
    <row r="454" spans="1:12" s="19" customFormat="1">
      <c r="A454"/>
      <c r="B454"/>
      <c r="C454"/>
      <c r="D454"/>
      <c r="E454"/>
      <c r="F454"/>
      <c r="G454"/>
      <c r="H454"/>
      <c r="I454"/>
      <c r="J454"/>
      <c r="K454"/>
      <c r="L454"/>
    </row>
    <row r="455" spans="1:12" s="19" customFormat="1">
      <c r="A455"/>
      <c r="B455"/>
      <c r="C455"/>
      <c r="D455"/>
      <c r="E455"/>
      <c r="F455"/>
      <c r="G455"/>
      <c r="H455"/>
      <c r="I455"/>
      <c r="J455"/>
      <c r="K455"/>
      <c r="L455"/>
    </row>
    <row r="456" spans="1:12" s="19" customFormat="1">
      <c r="A456"/>
      <c r="B456"/>
      <c r="C456"/>
      <c r="D456"/>
      <c r="E456"/>
      <c r="F456"/>
      <c r="G456"/>
      <c r="H456"/>
      <c r="I456"/>
      <c r="J456"/>
      <c r="K456"/>
      <c r="L456"/>
    </row>
    <row r="457" spans="1:12" s="19" customFormat="1">
      <c r="A457"/>
      <c r="B457"/>
      <c r="C457"/>
      <c r="D457"/>
      <c r="E457"/>
      <c r="F457"/>
      <c r="G457"/>
      <c r="H457"/>
      <c r="I457"/>
      <c r="J457"/>
      <c r="K457"/>
      <c r="L457"/>
    </row>
    <row r="458" spans="1:12" s="19" customFormat="1">
      <c r="A458"/>
      <c r="B458"/>
      <c r="C458"/>
      <c r="D458"/>
      <c r="E458"/>
      <c r="F458"/>
      <c r="G458"/>
      <c r="H458"/>
      <c r="I458"/>
      <c r="J458"/>
      <c r="K458"/>
      <c r="L458"/>
    </row>
    <row r="459" spans="1:12" s="19" customFormat="1">
      <c r="A459"/>
      <c r="B459"/>
      <c r="C459"/>
      <c r="D459"/>
      <c r="E459"/>
      <c r="F459"/>
      <c r="G459"/>
      <c r="H459"/>
      <c r="I459"/>
      <c r="J459"/>
      <c r="K459"/>
      <c r="L459"/>
    </row>
    <row r="460" spans="1:12" s="19" customFormat="1">
      <c r="A460"/>
      <c r="B460"/>
      <c r="C460"/>
      <c r="D460"/>
      <c r="E460"/>
      <c r="F460"/>
      <c r="G460"/>
      <c r="H460"/>
      <c r="I460"/>
      <c r="J460"/>
      <c r="K460"/>
      <c r="L460"/>
    </row>
    <row r="461" spans="1:12" s="19" customFormat="1">
      <c r="A461"/>
      <c r="B461"/>
      <c r="C461"/>
      <c r="D461"/>
      <c r="E461"/>
      <c r="F461"/>
      <c r="G461"/>
      <c r="H461"/>
      <c r="I461"/>
      <c r="J461"/>
      <c r="K461"/>
      <c r="L461"/>
    </row>
    <row r="462" spans="1:12" s="19" customFormat="1">
      <c r="A462"/>
      <c r="B462"/>
      <c r="C462"/>
      <c r="D462"/>
      <c r="E462"/>
      <c r="F462"/>
      <c r="G462"/>
      <c r="H462"/>
      <c r="I462"/>
      <c r="J462"/>
      <c r="K462"/>
      <c r="L462"/>
    </row>
    <row r="463" spans="1:12" s="19" customFormat="1">
      <c r="A463"/>
      <c r="B463"/>
      <c r="C463"/>
      <c r="D463"/>
      <c r="E463"/>
      <c r="F463"/>
      <c r="G463"/>
      <c r="H463"/>
      <c r="I463"/>
      <c r="J463"/>
      <c r="K463"/>
      <c r="L463"/>
    </row>
    <row r="464" spans="1:12" s="19" customFormat="1">
      <c r="A464"/>
      <c r="B464"/>
      <c r="C464"/>
      <c r="D464"/>
      <c r="E464"/>
      <c r="F464"/>
      <c r="G464"/>
      <c r="H464"/>
      <c r="I464"/>
      <c r="J464"/>
      <c r="K464"/>
      <c r="L464"/>
    </row>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sheetData>
  <sheetProtection algorithmName="SHA-512" hashValue="o/W9VZ2I8nzjr+dUTk6XTjIvEdWgtmYjSjeypm4V1n/tIGGAZrOCZybB7Iu/ul3ZNGO+BAvTIYKwE6HZdZ2LLg==" saltValue="SgqnTM9eU1+rsUH2ofLKVg==" spinCount="100000" sheet="1" objects="1" scenarios="1"/>
  <mergeCells count="1">
    <mergeCell ref="J1:L1"/>
  </mergeCells>
  <pageMargins left="0.75" right="0.75" top="1" bottom="1" header="0.5" footer="0.5"/>
  <pageSetup orientation="portrait" horizontalDpi="4294967292" verticalDpi="4294967292"/>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32</vt:i4>
      </vt:variant>
    </vt:vector>
  </HeadingPairs>
  <TitlesOfParts>
    <vt:vector size="62" baseType="lpstr">
      <vt:lpstr>All Depts</vt:lpstr>
      <vt:lpstr>Stats</vt:lpstr>
      <vt:lpstr>Template</vt:lpstr>
      <vt:lpstr>Legis</vt:lpstr>
      <vt:lpstr>Exec-Legal</vt:lpstr>
      <vt:lpstr>City Manager only</vt:lpstr>
      <vt:lpstr>City Attorney only</vt:lpstr>
      <vt:lpstr>Municipal Court only</vt:lpstr>
      <vt:lpstr>CClerk</vt:lpstr>
      <vt:lpstr>CS</vt:lpstr>
      <vt:lpstr>DS</vt:lpstr>
      <vt:lpstr>ED</vt:lpstr>
      <vt:lpstr>FIN</vt:lpstr>
      <vt:lpstr>HR</vt:lpstr>
      <vt:lpstr>IT</vt:lpstr>
      <vt:lpstr>LIB</vt:lpstr>
      <vt:lpstr>P&amp;R</vt:lpstr>
      <vt:lpstr>POL</vt:lpstr>
      <vt:lpstr>PW</vt:lpstr>
      <vt:lpstr>W&amp;P</vt:lpstr>
      <vt:lpstr>LFRA</vt:lpstr>
      <vt:lpstr>Airport</vt:lpstr>
      <vt:lpstr>Non Dept </vt:lpstr>
      <vt:lpstr>Non Dept Detail</vt:lpstr>
      <vt:lpstr>Undistributed GF Rev</vt:lpstr>
      <vt:lpstr>Contrib</vt:lpstr>
      <vt:lpstr>Transfers</vt:lpstr>
      <vt:lpstr>Cap Proj</vt:lpstr>
      <vt:lpstr>Other Spec Revenue</vt:lpstr>
      <vt:lpstr>Sheet3</vt:lpstr>
      <vt:lpstr>City_Atty_Graphs</vt:lpstr>
      <vt:lpstr>City_Manager_Graphs</vt:lpstr>
      <vt:lpstr>cityclerkgraphs</vt:lpstr>
      <vt:lpstr>Cultual_serv_graphs</vt:lpstr>
      <vt:lpstr>Devel_Serv_graphs</vt:lpstr>
      <vt:lpstr>Econ_Develop_graphs</vt:lpstr>
      <vt:lpstr>Exec_Legal_Graphs</vt:lpstr>
      <vt:lpstr>Finance_graphs</vt:lpstr>
      <vt:lpstr>Fire_Graphs</vt:lpstr>
      <vt:lpstr>HR_graphs</vt:lpstr>
      <vt:lpstr>IT_graphs</vt:lpstr>
      <vt:lpstr>Legislative_Graphs</vt:lpstr>
      <vt:lpstr>LFRA_graphs</vt:lpstr>
      <vt:lpstr>Library_graphs</vt:lpstr>
      <vt:lpstr>Municipal_Court_Graphs</vt:lpstr>
      <vt:lpstr>ParksRec_Graphs</vt:lpstr>
      <vt:lpstr>Police_graphs</vt:lpstr>
      <vt:lpstr>'All Depts'!Print_Area</vt:lpstr>
      <vt:lpstr>CS!Print_Area</vt:lpstr>
      <vt:lpstr>DS!Print_Area</vt:lpstr>
      <vt:lpstr>FIN!Print_Area</vt:lpstr>
      <vt:lpstr>POL!Print_Area</vt:lpstr>
      <vt:lpstr>PW!Print_Area</vt:lpstr>
      <vt:lpstr>'All Depts'!Print_Titles</vt:lpstr>
      <vt:lpstr>CS!Print_Titles</vt:lpstr>
      <vt:lpstr>DS!Print_Titles</vt:lpstr>
      <vt:lpstr>FIN!Print_Titles</vt:lpstr>
      <vt:lpstr>POL!Print_Titles</vt:lpstr>
      <vt:lpstr>PW!Print_Titles</vt:lpstr>
      <vt:lpstr>PublicWorks_graphs</vt:lpstr>
      <vt:lpstr>Total_City_Graphs</vt:lpstr>
      <vt:lpstr>Water_and_Power_Graphs</vt:lpstr>
    </vt:vector>
  </TitlesOfParts>
  <Company>Financial Management Resources,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Olson</dc:creator>
  <cp:lastModifiedBy>Chloe Romero</cp:lastModifiedBy>
  <cp:lastPrinted>2018-09-10T18:17:46Z</cp:lastPrinted>
  <dcterms:created xsi:type="dcterms:W3CDTF">2017-04-14T04:09:54Z</dcterms:created>
  <dcterms:modified xsi:type="dcterms:W3CDTF">2018-09-10T22:25:16Z</dcterms:modified>
</cp:coreProperties>
</file>